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4240" windowHeight="13740" tabRatio="678" firstSheet="6" activeTab="6"/>
  </bookViews>
  <sheets>
    <sheet name="Instruções" sheetId="4" r:id="rId1"/>
    <sheet name="Estructura del Proyecto" sheetId="3" r:id="rId2"/>
    <sheet name="Plan de Adquisiciones 5anos" sheetId="2" state="hidden" r:id="rId3"/>
    <sheet name="Detalhe PA US$ - 5 anos" sheetId="11" state="hidden" r:id="rId4"/>
    <sheet name="Folha de Comentários 5anos" sheetId="10" state="hidden" r:id="rId5"/>
    <sheet name="Plan de Adquisiciones 18 mese" sheetId="14" r:id="rId6"/>
    <sheet name="Detalhe PA  US$ - 18 meses" sheetId="9" r:id="rId7"/>
    <sheet name="Folha de Comentários 18m" sheetId="13" r:id="rId8"/>
    <sheet name="Gráfico" sheetId="15" state="hidden" r:id="rId9"/>
  </sheets>
  <externalReferences>
    <externalReference r:id="rId10"/>
  </externalReferences>
  <definedNames>
    <definedName name="_xlnm._FilterDatabase" localSheetId="6" hidden="1">'Detalhe PA  US$ - 18 meses'!$B$12:$T$185</definedName>
    <definedName name="_xlnm.Print_Area" localSheetId="6">'Detalhe PA  US$ - 18 meses'!$A$2:$T$188</definedName>
    <definedName name="_xlnm.Print_Area" localSheetId="3">'Detalhe PA US$ - 5 anos'!$B$1:$T$153</definedName>
    <definedName name="_xlnm.Print_Area" localSheetId="7">'Folha de Comentários 18m'!$B$1:$D$206</definedName>
    <definedName name="_xlnm.Print_Area" localSheetId="8">Gráfico!$A$38:$N$73</definedName>
    <definedName name="capacitacao">'[1]Detalhes Plano de Aquisições'!$E$99:$E$107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4" i="9" l="1"/>
  <c r="L154" i="9"/>
  <c r="J128" i="9"/>
  <c r="K112" i="9" l="1"/>
  <c r="M112" i="9" s="1"/>
  <c r="J112" i="9"/>
  <c r="J186" i="9" l="1"/>
  <c r="C18" i="14" s="1"/>
  <c r="C25" i="14" s="1"/>
  <c r="B18" i="14"/>
  <c r="B25" i="14"/>
  <c r="J28" i="9"/>
  <c r="C11" i="14" s="1"/>
  <c r="C24" i="14" s="1"/>
  <c r="B11" i="14"/>
  <c r="B24" i="14" s="1"/>
  <c r="B30" i="14" s="1"/>
  <c r="B14" i="14"/>
  <c r="L143" i="9"/>
  <c r="L148" i="9"/>
  <c r="L149" i="9"/>
  <c r="L150" i="9"/>
  <c r="L144" i="9"/>
  <c r="L145" i="9"/>
  <c r="L146" i="9"/>
  <c r="L147" i="9"/>
  <c r="L151" i="9"/>
  <c r="L152" i="9"/>
  <c r="C12" i="15" s="1"/>
  <c r="L153" i="9"/>
  <c r="J138" i="9"/>
  <c r="E11" i="15" s="1"/>
  <c r="J155" i="9"/>
  <c r="J167" i="9"/>
  <c r="E13" i="15" s="1"/>
  <c r="J86" i="9"/>
  <c r="C13" i="14" s="1"/>
  <c r="J53" i="9"/>
  <c r="E9" i="15" s="1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65" i="9"/>
  <c r="L164" i="9"/>
  <c r="L163" i="9"/>
  <c r="L162" i="9"/>
  <c r="L161" i="9"/>
  <c r="L160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47" i="9"/>
  <c r="L48" i="9"/>
  <c r="L49" i="9"/>
  <c r="L50" i="9"/>
  <c r="L51" i="9"/>
  <c r="L52" i="9"/>
  <c r="L46" i="9"/>
  <c r="B7" i="13"/>
  <c r="B6" i="13"/>
  <c r="B14" i="15"/>
  <c r="B13" i="15"/>
  <c r="B12" i="15"/>
  <c r="B11" i="15"/>
  <c r="B10" i="15"/>
  <c r="B9" i="15"/>
  <c r="B8" i="15"/>
  <c r="J116" i="11"/>
  <c r="C18" i="2"/>
  <c r="Q115" i="11"/>
  <c r="V115" i="11"/>
  <c r="L115" i="11"/>
  <c r="Q114" i="11"/>
  <c r="V114" i="11"/>
  <c r="L114" i="11"/>
  <c r="L116" i="11"/>
  <c r="B18" i="2"/>
  <c r="Q113" i="11"/>
  <c r="V113" i="11"/>
  <c r="L113" i="11"/>
  <c r="Q112" i="11"/>
  <c r="V112" i="11"/>
  <c r="L112" i="11"/>
  <c r="J107" i="11"/>
  <c r="C14" i="2"/>
  <c r="Q106" i="11"/>
  <c r="V106" i="11"/>
  <c r="L106" i="11"/>
  <c r="V105" i="11"/>
  <c r="L105" i="11"/>
  <c r="Q104" i="11"/>
  <c r="V104" i="11"/>
  <c r="L104" i="11"/>
  <c r="Q103" i="11"/>
  <c r="V103" i="11"/>
  <c r="L103" i="11"/>
  <c r="J98" i="11"/>
  <c r="J118" i="11"/>
  <c r="Q97" i="11"/>
  <c r="V97" i="11"/>
  <c r="L97" i="11"/>
  <c r="Q96" i="11"/>
  <c r="V96" i="11"/>
  <c r="L96" i="11"/>
  <c r="Q95" i="11"/>
  <c r="V95" i="11"/>
  <c r="L95" i="11"/>
  <c r="Q94" i="11"/>
  <c r="V94" i="11"/>
  <c r="L94" i="11"/>
  <c r="Q93" i="11"/>
  <c r="V93" i="11"/>
  <c r="L93" i="11"/>
  <c r="Q92" i="11"/>
  <c r="V92" i="11"/>
  <c r="L92" i="11"/>
  <c r="L98" i="11"/>
  <c r="Q86" i="11"/>
  <c r="V86" i="11"/>
  <c r="L86" i="11"/>
  <c r="Q85" i="11"/>
  <c r="V85" i="11"/>
  <c r="L85" i="11"/>
  <c r="Q84" i="11"/>
  <c r="V84" i="11"/>
  <c r="L84" i="11"/>
  <c r="Q83" i="11"/>
  <c r="V83" i="11"/>
  <c r="L83" i="11"/>
  <c r="Q82" i="11"/>
  <c r="V82" i="11"/>
  <c r="L82" i="11"/>
  <c r="Q81" i="11"/>
  <c r="V81" i="11"/>
  <c r="J81" i="11"/>
  <c r="L81" i="11"/>
  <c r="Q80" i="11"/>
  <c r="V80" i="11"/>
  <c r="L80" i="11"/>
  <c r="Q79" i="11"/>
  <c r="U79" i="11"/>
  <c r="Q78" i="11"/>
  <c r="U78" i="11"/>
  <c r="Q77" i="11"/>
  <c r="V77" i="11"/>
  <c r="L77" i="11"/>
  <c r="Q76" i="11"/>
  <c r="V76" i="11"/>
  <c r="J76" i="11"/>
  <c r="J87" i="11"/>
  <c r="C16" i="2"/>
  <c r="Q75" i="11"/>
  <c r="V75" i="11"/>
  <c r="L75" i="11"/>
  <c r="Q74" i="11"/>
  <c r="V74" i="11"/>
  <c r="L74" i="11"/>
  <c r="Q73" i="11"/>
  <c r="V73" i="11"/>
  <c r="L73" i="11"/>
  <c r="Q72" i="11"/>
  <c r="V72" i="11"/>
  <c r="L72" i="11"/>
  <c r="L87" i="11"/>
  <c r="B16" i="2"/>
  <c r="V66" i="11"/>
  <c r="L66" i="11"/>
  <c r="Q65" i="11"/>
  <c r="V65" i="11"/>
  <c r="L65" i="11"/>
  <c r="V64" i="11"/>
  <c r="L64" i="11"/>
  <c r="V63" i="11"/>
  <c r="L63" i="11"/>
  <c r="Q62" i="11"/>
  <c r="V62" i="11"/>
  <c r="L62" i="11"/>
  <c r="V61" i="11"/>
  <c r="L61" i="11"/>
  <c r="V60" i="11"/>
  <c r="L60" i="11"/>
  <c r="V59" i="11"/>
  <c r="L59" i="11"/>
  <c r="Q58" i="11"/>
  <c r="V58" i="11"/>
  <c r="L58" i="11"/>
  <c r="Q57" i="11"/>
  <c r="V57" i="11"/>
  <c r="J57" i="11"/>
  <c r="J67" i="11"/>
  <c r="C13" i="2"/>
  <c r="Q56" i="11"/>
  <c r="V56" i="11"/>
  <c r="L56" i="11"/>
  <c r="Q55" i="11"/>
  <c r="V55" i="11"/>
  <c r="L55" i="11"/>
  <c r="Q54" i="11"/>
  <c r="V54" i="11"/>
  <c r="L54" i="11"/>
  <c r="Q53" i="11"/>
  <c r="V53" i="11"/>
  <c r="L53" i="11"/>
  <c r="Q47" i="11"/>
  <c r="V47" i="11"/>
  <c r="L47" i="11"/>
  <c r="Q46" i="11"/>
  <c r="V46" i="11"/>
  <c r="L46" i="11"/>
  <c r="Q45" i="11"/>
  <c r="V45" i="11"/>
  <c r="L45" i="11"/>
  <c r="Q44" i="11"/>
  <c r="V44" i="11"/>
  <c r="L44" i="11"/>
  <c r="Q43" i="11"/>
  <c r="V43" i="11"/>
  <c r="L43" i="11"/>
  <c r="Q42" i="11"/>
  <c r="V42" i="11"/>
  <c r="J42" i="11"/>
  <c r="L42" i="11"/>
  <c r="Q41" i="11"/>
  <c r="V41" i="11"/>
  <c r="L41" i="11"/>
  <c r="Q40" i="11"/>
  <c r="V40" i="11"/>
  <c r="L40" i="11"/>
  <c r="Q39" i="11"/>
  <c r="V39" i="11"/>
  <c r="L39" i="11"/>
  <c r="Q38" i="11"/>
  <c r="V38" i="11"/>
  <c r="L38" i="11"/>
  <c r="Q37" i="11"/>
  <c r="V37" i="11"/>
  <c r="L37" i="11"/>
  <c r="Q36" i="11"/>
  <c r="V36" i="11"/>
  <c r="L36" i="11"/>
  <c r="V35" i="11"/>
  <c r="L35" i="11"/>
  <c r="Q34" i="11"/>
  <c r="V34" i="11"/>
  <c r="J34" i="11"/>
  <c r="L34" i="11"/>
  <c r="Q33" i="11"/>
  <c r="V33" i="11"/>
  <c r="J33" i="11"/>
  <c r="L33" i="11"/>
  <c r="Q32" i="11"/>
  <c r="V32" i="11"/>
  <c r="J32" i="11"/>
  <c r="J48" i="11"/>
  <c r="C12" i="2"/>
  <c r="C20" i="2"/>
  <c r="V26" i="11"/>
  <c r="L26" i="11"/>
  <c r="V25" i="11"/>
  <c r="L25" i="11"/>
  <c r="Q24" i="11"/>
  <c r="V24" i="11"/>
  <c r="J24" i="11"/>
  <c r="L24" i="11"/>
  <c r="Q23" i="11"/>
  <c r="V23" i="11"/>
  <c r="J23" i="11"/>
  <c r="J27" i="11"/>
  <c r="C11" i="2"/>
  <c r="V22" i="11"/>
  <c r="L22" i="11"/>
  <c r="Q21" i="11"/>
  <c r="V21" i="11"/>
  <c r="L21" i="11"/>
  <c r="Q20" i="11"/>
  <c r="V20" i="11"/>
  <c r="L20" i="11"/>
  <c r="V19" i="11"/>
  <c r="L19" i="11"/>
  <c r="V18" i="11"/>
  <c r="L18" i="11"/>
  <c r="V17" i="11"/>
  <c r="L17" i="11"/>
  <c r="V16" i="11"/>
  <c r="L16" i="11"/>
  <c r="L27" i="11"/>
  <c r="B11" i="2"/>
  <c r="V15" i="11"/>
  <c r="L15" i="11"/>
  <c r="C30" i="2"/>
  <c r="B30" i="2"/>
  <c r="L107" i="11"/>
  <c r="B14" i="2"/>
  <c r="L23" i="11"/>
  <c r="L76" i="11"/>
  <c r="E12" i="15"/>
  <c r="C13" i="15"/>
  <c r="C12" i="14"/>
  <c r="C9" i="15"/>
  <c r="B12" i="14"/>
  <c r="E10" i="15"/>
  <c r="B13" i="14"/>
  <c r="C10" i="15"/>
  <c r="C20" i="15" s="1"/>
  <c r="C11" i="15"/>
  <c r="E8" i="15"/>
  <c r="C8" i="15"/>
  <c r="C14" i="15"/>
  <c r="L67" i="11"/>
  <c r="B13" i="2"/>
  <c r="L32" i="11"/>
  <c r="L48" i="11"/>
  <c r="B12" i="2"/>
  <c r="B20" i="2"/>
  <c r="L57" i="11"/>
  <c r="E14" i="15" l="1"/>
  <c r="C21" i="15"/>
  <c r="D11" i="15"/>
  <c r="D21" i="15" s="1"/>
  <c r="D9" i="15"/>
  <c r="D19" i="15" s="1"/>
  <c r="C22" i="15"/>
  <c r="D8" i="15"/>
  <c r="D18" i="15" s="1"/>
  <c r="C30" i="14"/>
  <c r="D10" i="15"/>
  <c r="D20" i="15" s="1"/>
  <c r="E20" i="15" s="1"/>
  <c r="C19" i="15"/>
  <c r="L155" i="9"/>
  <c r="B16" i="14" s="1"/>
  <c r="B20" i="14" s="1"/>
  <c r="C18" i="15"/>
  <c r="D13" i="15"/>
  <c r="D23" i="15" s="1"/>
  <c r="C23" i="15"/>
  <c r="D12" i="15"/>
  <c r="D22" i="15" s="1"/>
  <c r="C14" i="14"/>
  <c r="E15" i="15"/>
  <c r="C15" i="15"/>
  <c r="D14" i="15" l="1"/>
  <c r="D24" i="15" s="1"/>
  <c r="C24" i="15"/>
  <c r="E18" i="15"/>
  <c r="E23" i="15"/>
  <c r="E21" i="15"/>
  <c r="E22" i="15"/>
  <c r="C16" i="14"/>
  <c r="C20" i="14" s="1"/>
  <c r="E19" i="15"/>
  <c r="C25" i="15"/>
  <c r="D15" i="15"/>
  <c r="D25" i="15" s="1"/>
  <c r="E24" i="15" l="1"/>
  <c r="E25" i="15"/>
</calcChain>
</file>

<file path=xl/comments1.xml><?xml version="1.0" encoding="utf-8"?>
<comments xmlns="http://schemas.openxmlformats.org/spreadsheetml/2006/main">
  <authors>
    <author>THAIS</author>
    <author>USUARIO PLANEJAMENTO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atualizado pela planilha da engenharia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atualizado pela planilha da engenharia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Sub-bacias 1, 2 e UNA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>THAIS:</t>
        </r>
        <r>
          <rPr>
            <sz val="9"/>
            <color indexed="81"/>
            <rFont val="Tahoma"/>
            <family val="2"/>
          </rPr>
          <t xml:space="preserve">
aplicada a correção do dólar a 3,17</t>
        </r>
      </text>
    </comment>
    <comment ref="S110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NO MOMENTO FINAL DA CONTRAAÇÃO E RECEBIMENTO DO NUMERO PRISME, ATUALIZAR VALORES</t>
        </r>
      </text>
    </comment>
    <comment ref="Q111" authorId="1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SATA DO INÍCIO DA 1ª TRANSFERENCIA = QUANDO SE INICIA O PROCESSO DE CONTRATAAÇÃO E TRABALHO</t>
        </r>
      </text>
    </comment>
  </commentList>
</comments>
</file>

<file path=xl/comments2.xml><?xml version="1.0" encoding="utf-8"?>
<comments xmlns="http://schemas.openxmlformats.org/spreadsheetml/2006/main">
  <authors>
    <author>USUARIO PLANEJAMENTO</author>
  </authors>
  <commentList>
    <comment ref="S170" authorId="0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NO MOMENTO FINAL DA CONTRAAÇÃO E RECEBIMENTO DO NUMERO PRISME, ATUALIZAR VALORES</t>
        </r>
      </text>
    </comment>
    <comment ref="Q171" authorId="0">
      <text>
        <r>
          <rPr>
            <b/>
            <sz val="9"/>
            <color indexed="81"/>
            <rFont val="Tahoma"/>
            <family val="2"/>
          </rPr>
          <t>USUARIO PLANEJAMENTO:</t>
        </r>
        <r>
          <rPr>
            <sz val="9"/>
            <color indexed="81"/>
            <rFont val="Tahoma"/>
            <family val="2"/>
          </rPr>
          <t xml:space="preserve">
SATA DO INÍCIO DA 1ª TRANSFERENCIA = QUANDO SE INICIA O PROCESSO DE CONTRATAAÇÃO E TRABALHO</t>
        </r>
      </text>
    </comment>
  </commentList>
</comments>
</file>

<file path=xl/sharedStrings.xml><?xml version="1.0" encoding="utf-8"?>
<sst xmlns="http://schemas.openxmlformats.org/spreadsheetml/2006/main" count="3197" uniqueCount="1006">
  <si>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disponiveis:</t>
  </si>
  <si>
    <t xml:space="preserve">Instrucções Gerais </t>
  </si>
  <si>
    <t>Pregão eletronico/Ata</t>
  </si>
  <si>
    <t>Colocar "sistema nacional" na coluna de método e na coluna de revisão/supervisão + indicar o método (pregão eletrônico ou ata de registro de preços) na coluna de "comentário". Não serão aceitos os processos usando um sistema nacional com revisão ex-ante nem ex-post</t>
  </si>
  <si>
    <t>Procesos com 100% de contrapartida</t>
  </si>
  <si>
    <t>Colocar "sistema nacional" na coluna de método e na coluna de revisão/supervisão + indicar o método e "contrapartida"' na coluna" "comentário"</t>
  </si>
  <si>
    <t xml:space="preserve">Instruções </t>
  </si>
  <si>
    <t>Categoria/ Componente</t>
  </si>
  <si>
    <t>colocar o Nº de componente associado</t>
  </si>
  <si>
    <t>OK</t>
  </si>
  <si>
    <t>Objeto</t>
  </si>
  <si>
    <t>Objeto principal da licitação</t>
  </si>
  <si>
    <t>Descrição Adicional</t>
  </si>
  <si>
    <t>Complementar as informações do objeto</t>
  </si>
  <si>
    <t>NÃO</t>
  </si>
  <si>
    <t>Selecionar no menu suspenso</t>
  </si>
  <si>
    <t>Revisão/Supervisão</t>
  </si>
  <si>
    <t>Sistema Nacional</t>
  </si>
  <si>
    <t>Ex-Post</t>
  </si>
  <si>
    <t>Ex-Ante</t>
  </si>
  <si>
    <t>Status</t>
  </si>
  <si>
    <t>Previsto</t>
  </si>
  <si>
    <t>Processo em curso</t>
  </si>
  <si>
    <t>ReLicitação</t>
  </si>
  <si>
    <t>Processo Cancelado</t>
  </si>
  <si>
    <t>Declaração de Licitação Deserta</t>
  </si>
  <si>
    <t>Rejeição de todas as propostas</t>
  </si>
  <si>
    <t>Contrato em Execução</t>
  </si>
  <si>
    <t>Contrato concluído</t>
  </si>
  <si>
    <t>Categoria</t>
  </si>
  <si>
    <t xml:space="preserve">Metodos 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</si>
  <si>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</si>
  <si>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</si>
  <si>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</si>
  <si>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</si>
  <si>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</si>
  <si>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</si>
  <si>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</si>
  <si>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</si>
  <si>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</si>
  <si>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</si>
  <si>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</si>
  <si>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</si>
  <si>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Internacional Limitada (LIL)</t>
  </si>
  <si>
    <t>Licitação Pública Internacional com Pré-qualificação</t>
  </si>
  <si>
    <t>Licitação Pública Internacional em 2 etapas </t>
  </si>
  <si>
    <t>Consultoria Individual</t>
  </si>
  <si>
    <t>Comparação de Qualificações (3 CV's)</t>
  </si>
  <si>
    <t>Exemplos</t>
  </si>
  <si>
    <t>Metodos de licitação nacional</t>
  </si>
  <si>
    <t>Pregão Presencial</t>
  </si>
  <si>
    <t>Pregão Eletrônico</t>
  </si>
  <si>
    <t>Ata de registro de preços</t>
  </si>
  <si>
    <t>Concorrencia Publica Nacional</t>
  </si>
  <si>
    <t>Tomada de preços</t>
  </si>
  <si>
    <t>Carta convite</t>
  </si>
  <si>
    <t>Contrataçõ direta</t>
  </si>
  <si>
    <t>Nombre Organismo Prestatario</t>
  </si>
  <si>
    <t>Nombre Organismo Sub-Ejecutor (si aplica)</t>
  </si>
  <si>
    <t>Iniciales Organismo Sub-ejecutor</t>
  </si>
  <si>
    <t>UCP PROMABEN</t>
  </si>
  <si>
    <t>NÃO SE APLICA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</si>
  <si>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</si>
  <si>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</si>
  <si>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</si>
  <si>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sim</t>
  </si>
  <si>
    <t>Componente  1: Obras de Infraestrutura</t>
  </si>
  <si>
    <t>Componente 2: Sustentabilidade e Fortalecimento Institucional</t>
  </si>
  <si>
    <t xml:space="preserve">Categoria: Engenharia e Administração </t>
  </si>
  <si>
    <t>Categoria: Custos Concorrentes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</si>
  <si>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</si>
  <si>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</si>
  <si>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INFORMACIÓN PARA CARGA INICIAL DEL PLAN DE ADQUISICIONES 
EN CURSO Y/O ULTIMO PRESENTADO - 5 anos</t>
  </si>
  <si>
    <t>1. Cobertura del Plan de Adquisiciones</t>
  </si>
  <si>
    <t>Dato</t>
  </si>
  <si>
    <t>Desde</t>
  </si>
  <si>
    <t>Hasta</t>
  </si>
  <si>
    <t>Cobertura del Plan de Adquisiciones:</t>
  </si>
  <si>
    <t>3º TRIMESTRE 2017</t>
  </si>
  <si>
    <t>2° TRIMESTRE 2022</t>
  </si>
  <si>
    <t>2. Versión del Plan de Adquisiciones</t>
  </si>
  <si>
    <t>Versión 04</t>
  </si>
  <si>
    <t>CONTRATO DE EMPRÉSTIMO 3303/0C-BR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</si>
  <si>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</si>
  <si>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</si>
  <si>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</si>
  <si>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</si>
  <si>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</si>
  <si>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</si>
  <si>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</si>
  <si>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</si>
  <si>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</si>
  <si>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</si>
  <si>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</si>
  <si>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</si>
  <si>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</si>
  <si>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</si>
  <si>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</si>
  <si>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</si>
  <si>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t>Componente 1 - OBRAS DE INFRAESTRUTURA</t>
  </si>
  <si>
    <t>Componente 2 - SUSTENTABILIDADE E FORTALECIMENTO INSTITUCIONAL</t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</si>
  <si>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</si>
  <si>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</si>
  <si>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</si>
  <si>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</si>
  <si>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BRASIL</t>
  </si>
  <si>
    <t>Programa de Saneamento Básico da Bacia da Estrada Nova - PROMABEN II</t>
  </si>
  <si>
    <r>
      <t xml:space="preserve">Contrato de Empréstimo: </t>
    </r>
    <r>
      <rPr>
        <b/>
        <sz val="12"/>
        <rFont val="Calibri"/>
        <family val="2"/>
        <scheme val="minor"/>
      </rPr>
      <t xml:space="preserve">3303/ </t>
    </r>
    <r>
      <rPr>
        <b/>
        <sz val="12"/>
        <color rgb="FF000000"/>
        <rFont val="Calibri"/>
        <family val="2"/>
        <scheme val="minor"/>
      </rPr>
      <t>OC-BR</t>
    </r>
  </si>
  <si>
    <t xml:space="preserve">PLANO DE AQUISIÇÕES (PA) - 5 anos de projeto (2018 a 2022) </t>
  </si>
  <si>
    <t xml:space="preserve"> </t>
  </si>
  <si>
    <t>Atualizado em: 20/12/2017</t>
  </si>
  <si>
    <r>
      <t xml:space="preserve">Revisão Nº: </t>
    </r>
    <r>
      <rPr>
        <b/>
        <sz val="12"/>
        <rFont val="Calibri"/>
        <family val="2"/>
        <scheme val="minor"/>
      </rPr>
      <t>04</t>
    </r>
  </si>
  <si>
    <t>Atualizado por: Equipe UCP</t>
  </si>
  <si>
    <t>*: Campos obrigatorios</t>
  </si>
  <si>
    <t>INFORMAÇÃO PARA PREENCHIMENTO INICIAL DO PLANO DE AQUISIÇÕES (EM CURSO E/OU ÚLTIMO APRESENTADO)</t>
  </si>
  <si>
    <t>OBRAS</t>
  </si>
  <si>
    <t>Unidade Executora*</t>
  </si>
  <si>
    <t>Objeto*</t>
  </si>
  <si>
    <t>Itemização PEP (Revisão  28/12/17)</t>
  </si>
  <si>
    <t>Itemização PA Anterior (No.02)</t>
  </si>
  <si>
    <t>Descrição adicional:</t>
  </si>
  <si>
    <r>
      <t xml:space="preserve">Método 
</t>
    </r>
    <r>
      <rPr>
        <i/>
        <sz val="10"/>
        <color indexed="9"/>
        <rFont val="Calibri"/>
        <family val="2"/>
      </rPr>
      <t>(Selecionar uma das Opções)</t>
    </r>
    <r>
      <rPr>
        <sz val="10"/>
        <color indexed="9"/>
        <rFont val="Calibri"/>
        <family val="2"/>
      </rPr>
      <t>:*</t>
    </r>
  </si>
  <si>
    <t>Quantidade de Lotes:</t>
  </si>
  <si>
    <t>Número de Processo:</t>
  </si>
  <si>
    <t>Montante Estimado *</t>
  </si>
  <si>
    <t>Componente/Categoria :*</t>
  </si>
  <si>
    <t>Método de Revisão (Selecionar uma das opções):*</t>
  </si>
  <si>
    <t>Datas Estimadas*</t>
  </si>
  <si>
    <t>Comentários - para Sistema Nacional incluir modalidade de licitação</t>
  </si>
  <si>
    <t>Numero PRISM</t>
  </si>
  <si>
    <t>Montante Estimado em US$:</t>
  </si>
  <si>
    <t>Montante Estimado % BID:</t>
  </si>
  <si>
    <t>Montante Estimado US$ BID:</t>
  </si>
  <si>
    <t>Montante Estimado % Contrapartida:</t>
  </si>
  <si>
    <t>Publicação do Anúncio/Convite</t>
  </si>
  <si>
    <t>Assinatura do Contrato</t>
  </si>
  <si>
    <t>1.1</t>
  </si>
  <si>
    <t>UCP</t>
  </si>
  <si>
    <t>Microdrenagem; complementação do sistema viário da Rua dos Caripunas (entre Tv.de Breves e Tv. Honório dos Santos); implantação da ETE, das EEE com fornecimento de equipamentos; emissários e rede coletora de esgoto, rede de abastecimento de água, todos na sub-bacia 1.</t>
  </si>
  <si>
    <t>2.1.1</t>
  </si>
  <si>
    <t>2.1</t>
  </si>
  <si>
    <t>1.2</t>
  </si>
  <si>
    <t>Reestruturação física do prédio da UCP.</t>
  </si>
  <si>
    <t>1.1.16</t>
  </si>
  <si>
    <t>2.7</t>
  </si>
  <si>
    <t>1.3</t>
  </si>
  <si>
    <t>Saneamento e aterro em áreas de cota baixa e densamento ocupadas, todas na sub-bacia 1.</t>
  </si>
  <si>
    <t>2.1.3</t>
  </si>
  <si>
    <t>2.2</t>
  </si>
  <si>
    <t>1.4</t>
  </si>
  <si>
    <t>Recuperação do sistema de macrodrenagem, microdrenagem e viário na sub-bacia 2 (Passivo).</t>
  </si>
  <si>
    <t>2.1.4</t>
  </si>
  <si>
    <t>2.3</t>
  </si>
  <si>
    <t>1.5</t>
  </si>
  <si>
    <t>Reabilitação e recuperação dos canais da bacia do UNA.</t>
  </si>
  <si>
    <t>2.1.5</t>
  </si>
  <si>
    <t>2.4</t>
  </si>
  <si>
    <t>1.6</t>
  </si>
  <si>
    <t xml:space="preserve">Construção de Unidades Habitacionais </t>
  </si>
  <si>
    <t>2.1.6</t>
  </si>
  <si>
    <t>2.6</t>
  </si>
  <si>
    <t>Para os reassentados da área de intervenção do Programa.</t>
  </si>
  <si>
    <t>1.7</t>
  </si>
  <si>
    <t xml:space="preserve">Construção de Unidades  Comerciais </t>
  </si>
  <si>
    <t>2.1.7</t>
  </si>
  <si>
    <t xml:space="preserve">Para os reassentados da área de intervenção do Programa. </t>
  </si>
  <si>
    <t>1.8</t>
  </si>
  <si>
    <t>COMPORTAS - Execução de obras civis, fornecimento e montagem de equipamentos eletromecanicos do sistema de comportas da Sub-bacia II da Estrada Nova - CT213.323-94</t>
  </si>
  <si>
    <t>2.1.8</t>
  </si>
  <si>
    <t>Ver Folha de Comentários</t>
  </si>
  <si>
    <t>Concorrência Pública</t>
  </si>
  <si>
    <t>1.9</t>
  </si>
  <si>
    <t xml:space="preserve">URB - Execução do serviço de urbanização da Sub-bacia II - PAC - CT10.2.1833.1 </t>
  </si>
  <si>
    <t>2.1.9</t>
  </si>
  <si>
    <t>RDC</t>
  </si>
  <si>
    <t>1.10</t>
  </si>
  <si>
    <t>MACRO - Execução do sistema de macrodrenagem da Sub-bacia 2 da Estrada Nova - PAC  (contrato de repasse 229.025/26)</t>
  </si>
  <si>
    <t>2.1.10</t>
  </si>
  <si>
    <t>1.11</t>
  </si>
  <si>
    <t xml:space="preserve">Revitalização da Granja Modelo </t>
  </si>
  <si>
    <t>2.2.3.7.4</t>
  </si>
  <si>
    <t xml:space="preserve"> Fortalecimento da SEMMA ( Ver Folha de Comentários)</t>
  </si>
  <si>
    <t>1.12</t>
  </si>
  <si>
    <t xml:space="preserve">Construção da UBS (Unidade Basica de Saúde) Portal </t>
  </si>
  <si>
    <t>2.2.3.8.2</t>
  </si>
  <si>
    <t>2.5</t>
  </si>
  <si>
    <t>Para fortalecimento da SESMA. (ver comentário na Folha Anexa)</t>
  </si>
  <si>
    <t>SUBTOTAL DE OBRAS</t>
  </si>
  <si>
    <t>BENS</t>
  </si>
  <si>
    <t>Unidade Executora:</t>
  </si>
  <si>
    <t xml:space="preserve">Montante Estimado </t>
  </si>
  <si>
    <t>Categoria de Investimento:</t>
  </si>
  <si>
    <t>Método de Revisão (Selecionar uma das opções):</t>
  </si>
  <si>
    <t>Datas Estimadas</t>
  </si>
  <si>
    <t xml:space="preserve">Fibra Ótica com instalação </t>
  </si>
  <si>
    <t>2.2.3.7.2</t>
  </si>
  <si>
    <r>
      <rPr>
        <b/>
        <sz val="10"/>
        <rFont val="Calibri"/>
        <family val="2"/>
        <scheme val="minor"/>
      </rPr>
      <t>Pregão Eletrônico</t>
    </r>
    <r>
      <rPr>
        <sz val="10"/>
        <rFont val="Calibri"/>
        <family val="2"/>
        <scheme val="minor"/>
      </rPr>
      <t>.</t>
    </r>
  </si>
  <si>
    <t xml:space="preserve">Ferramentas (licenças) de informatica com instalação </t>
  </si>
  <si>
    <t>Equipamentos de infraestutura de informática com instalação</t>
  </si>
  <si>
    <t xml:space="preserve">Licença para Sistema de Informações Gerenciais - SIG </t>
  </si>
  <si>
    <t>1.1.13</t>
  </si>
  <si>
    <t>3.2</t>
  </si>
  <si>
    <t>Para execução e controle financeiro do PROMABEN II. (Ver Folha de Comentários)</t>
  </si>
  <si>
    <t>Software e hardware</t>
  </si>
  <si>
    <t>2.2.3.1.6</t>
  </si>
  <si>
    <t>3.3</t>
  </si>
  <si>
    <t>Equipamentos de multimídia e novas tecnologias</t>
  </si>
  <si>
    <t>2.2.3.2.4</t>
  </si>
  <si>
    <t>3.4</t>
  </si>
  <si>
    <t>Equipamentos e mobiliario para Saúde</t>
  </si>
  <si>
    <t>2.2.3.8.3</t>
  </si>
  <si>
    <t>3.5</t>
  </si>
  <si>
    <t>2.8</t>
  </si>
  <si>
    <t xml:space="preserve">Aquisição de 5.000 hidrômetros. </t>
  </si>
  <si>
    <t>2.1.2</t>
  </si>
  <si>
    <t>3.6</t>
  </si>
  <si>
    <t>50% do volume em 2019</t>
  </si>
  <si>
    <t>2.9</t>
  </si>
  <si>
    <t>Aquisição de 5.000 hidrômetros.</t>
  </si>
  <si>
    <t>50% do volume em 2020</t>
  </si>
  <si>
    <t>2.10</t>
  </si>
  <si>
    <t>Equipamentos de manutenção de parques e jardins e de medição de parâmetros de controle ambiental.</t>
  </si>
  <si>
    <t>2.2.3.7.3</t>
  </si>
  <si>
    <t>3.7</t>
  </si>
  <si>
    <t>Fortalecimento da SEMMA</t>
  </si>
  <si>
    <t>2.11</t>
  </si>
  <si>
    <t>Veículos para manutenção de parques e jardins</t>
  </si>
  <si>
    <t>2.12</t>
  </si>
  <si>
    <t>Equipamentos multimídia - (Tablet Galaxy)</t>
  </si>
  <si>
    <t>2.13</t>
  </si>
  <si>
    <t xml:space="preserve">Licenças de MS Project </t>
  </si>
  <si>
    <t>1.1.14</t>
  </si>
  <si>
    <t>Para o fortalecimento da UCP.</t>
  </si>
  <si>
    <t>2.14</t>
  </si>
  <si>
    <t>Software e Hardware</t>
  </si>
  <si>
    <t>2.2.3.3.6</t>
  </si>
  <si>
    <t xml:space="preserve">Para suportar o controle de execução  de projetos. Fortalecimento da SESAN </t>
  </si>
  <si>
    <t>2.15</t>
  </si>
  <si>
    <t>3.8</t>
  </si>
  <si>
    <t>2.16</t>
  </si>
  <si>
    <t>Equipamentos e mobiliário para escritório</t>
  </si>
  <si>
    <t>SUBTOTAL DE BENS</t>
  </si>
  <si>
    <t>SERVIÇOS QUE NÃO SÃO DE CONSULTORIA</t>
  </si>
  <si>
    <t>3.1</t>
  </si>
  <si>
    <t>Educação Ambiental</t>
  </si>
  <si>
    <t>2.2.2.3</t>
  </si>
  <si>
    <t>Participação Comunitária</t>
  </si>
  <si>
    <t xml:space="preserve">2.2.2.4  </t>
  </si>
  <si>
    <t>Comunicação Social</t>
  </si>
  <si>
    <t>2.2.2.5</t>
  </si>
  <si>
    <t>Contratar serviços diversos para regularização fundiária</t>
  </si>
  <si>
    <t>2.2.2.1.1 e 2.2.2.1.2</t>
  </si>
  <si>
    <t>Calibragem de Decibelímetro</t>
  </si>
  <si>
    <t>Equipamento de medição de parâmetro de controle ambiental</t>
  </si>
  <si>
    <t>Pregão Eletrônico/Ata de registro de preço</t>
  </si>
  <si>
    <t>Locação de veículos para acompanhamento da execução das obras e serviços para UCP.</t>
  </si>
  <si>
    <t>1.1.1</t>
  </si>
  <si>
    <t>4.1</t>
  </si>
  <si>
    <t>Limpeza e manutenção das dependências da UCP.</t>
  </si>
  <si>
    <t>1.1.2</t>
  </si>
  <si>
    <t>4.2</t>
  </si>
  <si>
    <t>Vigilância e segurança armada para UCP.</t>
  </si>
  <si>
    <t>1.1.3</t>
  </si>
  <si>
    <t>4.3</t>
  </si>
  <si>
    <t>3.9</t>
  </si>
  <si>
    <t>Locação de equipamentos fotocopiador digital com material e manutenção inclusos para UCP.</t>
  </si>
  <si>
    <t>1.1.4</t>
  </si>
  <si>
    <t>4.4</t>
  </si>
  <si>
    <t>3.10</t>
  </si>
  <si>
    <t>Manutenção preventiva e corretiva para centrais de ar condicionado da UCP.</t>
  </si>
  <si>
    <t>1.1.5</t>
  </si>
  <si>
    <t>4.5</t>
  </si>
  <si>
    <t>3.11</t>
  </si>
  <si>
    <t xml:space="preserve">Telefonia fixa e móvel </t>
  </si>
  <si>
    <t>1.1.11</t>
  </si>
  <si>
    <t>3.12</t>
  </si>
  <si>
    <t xml:space="preserve">Internet - Transmissão de dados </t>
  </si>
  <si>
    <t>1.1.12</t>
  </si>
  <si>
    <t>3.13</t>
  </si>
  <si>
    <t>Reservas, emissão, marcação, remarcação e fornecimento de bilhetes de passagens aéreas, marítimas, terrestres, nacionais e internacionais.</t>
  </si>
  <si>
    <t>1.1.6</t>
  </si>
  <si>
    <t>4.6</t>
  </si>
  <si>
    <t>Ajustar para aporte e alterar para CD alterando o pari passu</t>
  </si>
  <si>
    <t>3.14</t>
  </si>
  <si>
    <t>Material e gêneros alimentícios para o funcionamento do escritório da UCP.</t>
  </si>
  <si>
    <t>1.1.7 e 1.1.8</t>
  </si>
  <si>
    <t>4.7</t>
  </si>
  <si>
    <t>SUBTOTAL DE SERVIÇOS QUE NÃO SÃO DE CONSULTORIA</t>
  </si>
  <si>
    <t>CONSULTORIAS FIRMAS</t>
  </si>
  <si>
    <t>Número do Processo:</t>
  </si>
  <si>
    <t>Publicação  Manifestação de Interesse</t>
  </si>
  <si>
    <t>Avaliação Intermediária do Programa.</t>
  </si>
  <si>
    <t>3.2.2</t>
  </si>
  <si>
    <t>1.24</t>
  </si>
  <si>
    <t>Auditoria Externa das Demonstrações Financeiras do Programa.</t>
  </si>
  <si>
    <t>3.1.1</t>
  </si>
  <si>
    <t xml:space="preserve">  </t>
  </si>
  <si>
    <t>Seleção Baseada na Qualidade e Custo (SBQC)</t>
  </si>
  <si>
    <t>Elaboração de projetos executivos e supervisão de obras do Programa.</t>
  </si>
  <si>
    <t>1.2.1 e 1.3.1.</t>
  </si>
  <si>
    <t>1.2 / 1.3</t>
  </si>
  <si>
    <t>Elaboração do projeto da Estação de Tratamento de Esgoto - ETE</t>
  </si>
  <si>
    <t>1.3.2</t>
  </si>
  <si>
    <t>Revisão da Lei Municipal nº 8.630 de criação da Agência Reguladora AMAE/Belém e Revisão do Contrato de Programa firmado entre COSANPA e PMB.</t>
  </si>
  <si>
    <t>2.2.3.5.2</t>
  </si>
  <si>
    <t>Fortalecimento AMAE</t>
  </si>
  <si>
    <r>
      <t xml:space="preserve">Desenvolvimento e implantação Sistema Integrado de Gestão Fundiária (SIGEF) E </t>
    </r>
    <r>
      <rPr>
        <u/>
        <sz val="10"/>
        <color indexed="8"/>
        <rFont val="Calibri"/>
        <family val="2"/>
        <scheme val="minor"/>
      </rPr>
      <t xml:space="preserve">Módulo </t>
    </r>
    <r>
      <rPr>
        <sz val="10"/>
        <color indexed="8"/>
        <rFont val="Calibri"/>
        <family val="2"/>
        <scheme val="minor"/>
      </rPr>
      <t>de Gestão e Atendimento à demanda habitacional de baixa renda.</t>
    </r>
  </si>
  <si>
    <t>2.2.2.2.1</t>
  </si>
  <si>
    <t>Fortalecimento CODEM</t>
  </si>
  <si>
    <t>Elaboração do Plano Municipal de Drenagem Urbana e Resíduos Sólidos</t>
  </si>
  <si>
    <t>2.2.3.3.8</t>
  </si>
  <si>
    <t>Fortalecimento SESAN</t>
  </si>
  <si>
    <t>4.8</t>
  </si>
  <si>
    <t>Elaboração do Plano Muncipal de Saneamento Básico de Belém</t>
  </si>
  <si>
    <t>2.2.3.3.10</t>
  </si>
  <si>
    <t>Fortalecimento SESAN (Ver Folha de Comentários)</t>
  </si>
  <si>
    <t>4.9</t>
  </si>
  <si>
    <t>Elaboração do EIA, EIV, PCA e outorga para a emissão de Licença Ambiental do Sistema de Esgotamento Sanitário.</t>
  </si>
  <si>
    <t>1.3.4</t>
  </si>
  <si>
    <t>4.10</t>
  </si>
  <si>
    <t>Redefinição da estrutura organizacional, revisão dos processos, procedimentos e políticas voltadas a melhores práticas, planejamento estratégico e diagnostico e prognostico para implantação de novas tecnologias.</t>
  </si>
  <si>
    <t>2.2.3.1.2/2.2.3.2.3/2.2.3.3.3</t>
  </si>
  <si>
    <t>Fortalecimento da SEGEP/SEMAD/SESAN - (Ver Folha de Comentários)</t>
  </si>
  <si>
    <t>4.11</t>
  </si>
  <si>
    <t>Concepção,  desenvolvimento, implantação e capacitação do Sistema de Informação Municipal (SIB)</t>
  </si>
  <si>
    <t>2.2.3.1.4</t>
  </si>
  <si>
    <t>Fortalecimento da SEGEP</t>
  </si>
  <si>
    <t>Concorrência publica</t>
  </si>
  <si>
    <t>4.12</t>
  </si>
  <si>
    <t>Escritório de Gestão Participativa PROMABEN II</t>
  </si>
  <si>
    <t>2.2.2.6.1</t>
  </si>
  <si>
    <t>1.20</t>
  </si>
  <si>
    <t>Apoio à sustentabilidade socioambiental das obras das Sub Bacias 1, 2 e Bacia do Una.</t>
  </si>
  <si>
    <t>4.13</t>
  </si>
  <si>
    <t>Execução de serviços especializados de apoio a SUPERVISÃO das OBRAS de reabilitação dos canais da bacia do Una.</t>
  </si>
  <si>
    <t>2.2.3.4.2</t>
  </si>
  <si>
    <t>1.21</t>
  </si>
  <si>
    <t>4.14</t>
  </si>
  <si>
    <t>Implantar infrestrutura lógica e logística para melhoria das instalações logísticas existentes</t>
  </si>
  <si>
    <t>2.2.3.3.7</t>
  </si>
  <si>
    <t>4.15</t>
  </si>
  <si>
    <r>
      <rPr>
        <b/>
        <u/>
        <sz val="10"/>
        <rFont val="Calibri"/>
        <family val="2"/>
        <scheme val="minor"/>
      </rPr>
      <t>Elaboração de</t>
    </r>
    <r>
      <rPr>
        <sz val="10"/>
        <rFont val="Calibri"/>
        <family val="2"/>
        <scheme val="minor"/>
      </rPr>
      <t xml:space="preserve"> Estudo de caracterização urbana e social da área de baixa renda adjacente ao canal de descarga e Av. Bernardo Sayão compreendida entre R. dos Mundurucus e Av. Fernando Guilhon;</t>
    </r>
  </si>
  <si>
    <t xml:space="preserve">Comparação de Qualificações (3 CV's) </t>
  </si>
  <si>
    <t>SUBTOTAL DE CONSULTORIAS FIRMAS</t>
  </si>
  <si>
    <t>CONSULTORIAS INDIVIDUAL</t>
  </si>
  <si>
    <t>Não Objeção aos  TDR da Atividade</t>
  </si>
  <si>
    <t>Assinatura Contrato</t>
  </si>
  <si>
    <t>5.1</t>
  </si>
  <si>
    <t>Apoio no Planejamento Estratégico e Gestão do Programa - PROMABEN II</t>
  </si>
  <si>
    <t>1.1.10</t>
  </si>
  <si>
    <t>5.2</t>
  </si>
  <si>
    <t>Execução de serviços de: (a) Monitoramento do Plano Diretor de Relocalização de População e atividades Econômicas, (b)Programa Específico de Reassentamento (PER) e dos (c)Projetos Técnicos Social da Sub-bacia 2 - CEF.</t>
  </si>
  <si>
    <t>3.2.1</t>
  </si>
  <si>
    <t>5.3</t>
  </si>
  <si>
    <t>Elaboração do TDR e do orçamento para a redefinição da estrutura organizacional e quantitativo de pessoal da SEMAD.</t>
  </si>
  <si>
    <t>2.2.3.2.2</t>
  </si>
  <si>
    <t>1.14</t>
  </si>
  <si>
    <t>Fortalecimento SEMAD</t>
  </si>
  <si>
    <t>5.4</t>
  </si>
  <si>
    <t>Elaboração do TDR e do orçamento para a redefinição da estrutura organizacional e quantitativo de pessoal da SESAN, para atender as normativas da lei Federal nº 11.445/2007</t>
  </si>
  <si>
    <t>2.2.3.3.3</t>
  </si>
  <si>
    <t>1.15</t>
  </si>
  <si>
    <t>5.5</t>
  </si>
  <si>
    <t>Consultoria de Avaliação Final do Programa.</t>
  </si>
  <si>
    <t>3.2.3</t>
  </si>
  <si>
    <t>1.25</t>
  </si>
  <si>
    <t>5.6</t>
  </si>
  <si>
    <t>Consultoria de Avaliação Ex-Post</t>
  </si>
  <si>
    <t>3.3.1</t>
  </si>
  <si>
    <t>SUBTOTAL DE CONSULTORIAS INDIVIDUAL</t>
  </si>
  <si>
    <t>CAPACITAÇÃO</t>
  </si>
  <si>
    <t xml:space="preserve"> Publicação  Manifestação de Interesse</t>
  </si>
  <si>
    <t>6.1</t>
  </si>
  <si>
    <t>Capacitação e treinamento para 40 servidores municipais em apoio a gestão de projetos, promovidos pela Escola de Gestão Municipal.</t>
  </si>
  <si>
    <t>2.2.3.2.5</t>
  </si>
  <si>
    <t>1.22</t>
  </si>
  <si>
    <t>Fortalecimento SEGEP, SEMAD e UCP. (ver folha de comentários)</t>
  </si>
  <si>
    <t>Tomada de preço</t>
  </si>
  <si>
    <t>6.2</t>
  </si>
  <si>
    <t>Capacitação e treinamento de gestores em Saneamento Básico, abordando temas constantes nos Planos Municipais revisados de: Água e Esgoto;  Limpeza Urbana e Manejo de Resíduos e Drenagem Urbana e Águas Pluvais, para servidores da SESAN.</t>
  </si>
  <si>
    <t>2.2.3.3.9</t>
  </si>
  <si>
    <t>6.3</t>
  </si>
  <si>
    <t>Seminário de Encerramento do Programa - PROMABEN II</t>
  </si>
  <si>
    <t>6.4</t>
  </si>
  <si>
    <t>Capacitação e treinamento em Gestão para fortalecimento UCP</t>
  </si>
  <si>
    <t>1.1.15</t>
  </si>
  <si>
    <t>SUBTOTAL DE CAPACITAÇÃO</t>
  </si>
  <si>
    <t xml:space="preserve">SUBPROJETOS </t>
  </si>
  <si>
    <t>Objeto da Transferencia:</t>
  </si>
  <si>
    <t>Quantidade Estimada de Subprojetos:</t>
  </si>
  <si>
    <t>Comentários</t>
  </si>
  <si>
    <t>Assinatura do Contrato/ Convênio por Adjudicação dos Subprojetos</t>
  </si>
  <si>
    <t>Data de 
Transferencia</t>
  </si>
  <si>
    <t>7.1</t>
  </si>
  <si>
    <t xml:space="preserve">FIRMAR CONVÊNIO COM A CODEM </t>
  </si>
  <si>
    <t>2.2.2.1</t>
  </si>
  <si>
    <t>Regularização fundiária - PROMABEN I (remanescente) + (passivo) e SIGEF. (Ver Folha de Comentários)</t>
  </si>
  <si>
    <t>7.2</t>
  </si>
  <si>
    <t xml:space="preserve">FIRMAR CONVÊNIO COM CINBESA x SEMMA x UCP  </t>
  </si>
  <si>
    <t>Para desenvolvimento e implantação do Sistema de Gestão Ambienal - SGA - (Ver Folha de Comentários)</t>
  </si>
  <si>
    <t>7.3</t>
  </si>
  <si>
    <t xml:space="preserve">FIRMAR TERMO DE COLABORAÇÃO COM A UFPA </t>
  </si>
  <si>
    <t>1.3.3</t>
  </si>
  <si>
    <t>PARA: (i) elaboração dos estudos de impacto em corpo receptor  com definição do nível de tratamento da ETE (lançado conforme proposta comercial); (ii) elaboração do TDR para a contratação da ETE; (iii) apoiar a UCP nas atividades necessárias junto aos consultores contratados e  órgãos licenciadores do projeto; (iv) fortalecer através de curso as ações de educação ambiental na técnica de reuso; (v) apoio a introdução de tecnologias voltadas a adaptção ao câmbio climático nas obras e ações do programa (NEXUS)</t>
  </si>
  <si>
    <t>7.4</t>
  </si>
  <si>
    <t>Monitoramento e Avaliação dos Indicadores da Matriz de Resultados (UFPA)</t>
  </si>
  <si>
    <t>3.2.4</t>
  </si>
  <si>
    <t>Instrumento Jurídico: TERMO DE COLABORAÇÃO</t>
  </si>
  <si>
    <t>SUBTOTAL DE SUBPROJETOS  - (ONEROSOS CONVÊNIOS)</t>
  </si>
  <si>
    <t>TOTAL (R$)</t>
  </si>
  <si>
    <t>Rejeição de todas as Propostas</t>
  </si>
  <si>
    <t>Contrato Concluído</t>
  </si>
  <si>
    <t>Consultoria firmas</t>
  </si>
  <si>
    <t>Seleção Baseada na Qualidade (SBQ)</t>
  </si>
  <si>
    <t>Seleção Baseada no Menor Custo (SBMC) </t>
  </si>
  <si>
    <t>Licitação Internacional Limitada (LIL)</t>
  </si>
  <si>
    <t>Licitação Pública Internacional com Pre-qualificação</t>
  </si>
  <si>
    <t>ENXUGAR O PA PARA ENVIO AO BID PARA PUBLICAÇÃO</t>
  </si>
  <si>
    <t>País</t>
  </si>
  <si>
    <t>CONTRATO DE EMPRÉSTIMO: 3303/ OC-BR</t>
  </si>
  <si>
    <t xml:space="preserve">PLANO DE AQUISIÇÕES (PA) - 18 MESES </t>
  </si>
  <si>
    <t>Data:11/12/2017</t>
  </si>
  <si>
    <t>Atualização Nº: 04</t>
  </si>
  <si>
    <t>FOLHA DE COMENTÁRIOS</t>
  </si>
  <si>
    <t>ATIVIDADE</t>
  </si>
  <si>
    <t>COMENTÁRIO</t>
  </si>
  <si>
    <t>1. Obras</t>
  </si>
  <si>
    <t>1.8. Contrato de Sistema de Comportas - CAIXA</t>
  </si>
  <si>
    <t>Esse contrato tem como objeto, a construção de 1 (um) Sistema de Comportas, localizado na Sub-bacia 2. Entrará como contrapartida da Prefeitura Municipal de Belém.</t>
  </si>
  <si>
    <t>1.9. Contrato de Urbanização - CAIXA</t>
  </si>
  <si>
    <t>Esse contrato tem como objeto, a Urbanização do Miolo do Jurunas, localizado na Sub-bacia 2. Entrará como contrapartida da Prefeitura Municipal de Belém.</t>
  </si>
  <si>
    <t>1.10. Contrato de Macrodrenagem - CAIXA</t>
  </si>
  <si>
    <t>Esse contrato tem como objeto, a construção de Sistema de Macrodrenagem, localizado na Sub-bacia 2. Entrará como contrapartida da Prefeitura Municipal de Belém.</t>
  </si>
  <si>
    <t xml:space="preserve">1.11. Revitalização da Granja Modelo </t>
  </si>
  <si>
    <t>Estufa de mudas. Apresentada proposta de revitalização na Missão de 19 a 22/09/17.</t>
  </si>
  <si>
    <t>1.12 Construção de Unidade Básica de Saúde - UBS</t>
  </si>
  <si>
    <t>Embora a cláusula 2.02 do Anexo Único, preveja a construção de 2 (duas) Unidades Básicas de Saúde até o final do Programa, nessa versão de PA, estamos prevendo 1 (uma).</t>
  </si>
  <si>
    <t>2. Bens</t>
  </si>
  <si>
    <t>2.1. Fibra Ótica com instalação</t>
  </si>
  <si>
    <r>
      <t xml:space="preserve">Para interligação do Sistema de Gestão Ambiental - SGA </t>
    </r>
    <r>
      <rPr>
        <b/>
        <sz val="12"/>
        <color theme="1"/>
        <rFont val="Times New Roman"/>
        <family val="1"/>
      </rPr>
      <t>(Bens de prateleira)</t>
    </r>
  </si>
  <si>
    <t xml:space="preserve">2.2 Ferramentas (licenças) de informatica com instalação </t>
  </si>
  <si>
    <r>
      <t xml:space="preserve">RazorSQL; ItelliJ; Corel Draw e Photoshop. Para o desenvolvimento do Sistema de Gestão Ambiental - SGA </t>
    </r>
    <r>
      <rPr>
        <b/>
        <sz val="12"/>
        <color theme="1"/>
        <rFont val="Times New Roman"/>
        <family val="1"/>
      </rPr>
      <t>(Bens de prateleira</t>
    </r>
    <r>
      <rPr>
        <sz val="12"/>
        <color theme="1"/>
        <rFont val="Times New Roman"/>
        <family val="1"/>
      </rPr>
      <t>)</t>
    </r>
  </si>
  <si>
    <t>2.3. Equipamentos de infraestutura de informática com instalação</t>
  </si>
  <si>
    <r>
      <t xml:space="preserve">Swicht Óptico backbone; Swicht Óptico Atendimento; Nobreaks e Rack em hiperconvergência. Para suporte à Fibra ótica e interligação do Sistema de Gestão Ambiental - SGA </t>
    </r>
    <r>
      <rPr>
        <b/>
        <sz val="12"/>
        <color theme="1"/>
        <rFont val="Times New Roman"/>
        <family val="1"/>
      </rPr>
      <t>(Bens de prateleira)</t>
    </r>
  </si>
  <si>
    <t>2.4. SIG - Aquisição pelo método Contratação Direta (CD)</t>
  </si>
  <si>
    <t>Método de Aquisição autorizado previamente pelo Banco, conforme Anexo III, item 6.7 do contrato BR-L1369</t>
  </si>
  <si>
    <t>2.5. Software e hardware</t>
  </si>
  <si>
    <r>
      <t>Para a implantação, acompanhamento e controle da execução dos Projetos do Sistema de Informações (SIB). Fortalecimento da SEGEP.</t>
    </r>
    <r>
      <rPr>
        <b/>
        <sz val="12"/>
        <color theme="1"/>
        <rFont val="Times New Roman"/>
        <family val="1"/>
      </rPr>
      <t>(Bens de prateleira)</t>
    </r>
  </si>
  <si>
    <t>2.6. Equipamentos de multimídia e novas tecnologias</t>
  </si>
  <si>
    <t>Para fortalecimento da Escola de Gestão Municipal (SEMAD)</t>
  </si>
  <si>
    <t>2.7. Equipamentos e mobiliario para Saúde</t>
  </si>
  <si>
    <t>Item alterado. Incluído mobiliario.Para atendimento da Unidade Básica de Saúde. Fortalecimento SESMA</t>
  </si>
  <si>
    <t>3. Serviços que Não São de consultoria</t>
  </si>
  <si>
    <t>3.1/3.2/3.3 - Serviços socioambientais (Educação Ambiental/Participação Comunitária/Comunicação Social)</t>
  </si>
  <si>
    <t>Prestação de serviços, classifacados como "comuns" (serviços de prateleira)</t>
  </si>
  <si>
    <t>3.4. Contratar serviços diversos para regularização fundiária</t>
  </si>
  <si>
    <t xml:space="preserve">3.7. Telefonia fixa e móvel </t>
  </si>
  <si>
    <t>Item novo incluído nessa versão 4.</t>
  </si>
  <si>
    <t xml:space="preserve">3.8. Internet - Transmissão de dados </t>
  </si>
  <si>
    <t>4. Consultorias Firmas</t>
  </si>
  <si>
    <t>4.3. Elaboração de projetos executivos e supervisão de obras do Programa.</t>
  </si>
  <si>
    <t>Considerando o quantitativo reduzido de projetos executivos previstos para o PROMABEN II, é recomendável a junção dos serviços dos itens 4.1 e 4.2 (antigos 1.1 e 1.2 na versão 02 do PA),  com o objetivo de se realizar um único processo de seleção para contratação de empresa de consultoria que realize a supervisão das obras (H/Mês) e outra que elabore os projetos executivos (produto), em face ao princípio da economicidade na Administração Pública, garantindo a redução de gastos que entendemos desnecessários.</t>
  </si>
  <si>
    <t>4.4. Elaboração do projeto da Estação de Tratamento de Esgoto - ETE</t>
  </si>
  <si>
    <t>Item novo. Projeto incluido conforme Ajuda Memória de Missão de Inspeção de 19 à 22/09/17</t>
  </si>
  <si>
    <t>4.8. Revisão do Plano Muncipal de Saneamento Básico de Belém</t>
  </si>
  <si>
    <t>Essa revisão inclui as revisões: Plano Municipal de Água e Esgoto + Pl. Municipal de Limpeza Urbana e Manejo de Resíduos + Pl. Municipal de Drenagem Urbana e Águas Pluvais</t>
  </si>
  <si>
    <t>4.9.Elaboração do EIA, EIV, PCA e outorga para a emissão de Licença Ambiental do Sistema de Esgotamento Sanitário.</t>
  </si>
  <si>
    <t>Documentos necessários à emissão da Licença Ambiental do Sistema de Esgotamento Sanitário, que estavam previstos para ocorrer no PROMABEN I, passaram para realização no PROMABEN II, sendo transferida, por conseguinte, a respectiva contratação.</t>
  </si>
  <si>
    <t>4.10.Redefinição da estrutura organizacional, revisão dos processos, procedimentos e políticas voltadas a melhores práticas, planejamento estratégico e diagnostico e prognostico para implantação de novas tecnologias.</t>
  </si>
  <si>
    <r>
      <t xml:space="preserve">Essa contratação será feita </t>
    </r>
    <r>
      <rPr>
        <b/>
        <u/>
        <sz val="12"/>
        <color theme="1"/>
        <rFont val="Times New Roman"/>
        <family val="1"/>
      </rPr>
      <t>em lotes</t>
    </r>
    <r>
      <rPr>
        <sz val="12"/>
        <color theme="1"/>
        <rFont val="Times New Roman"/>
        <family val="1"/>
      </rPr>
      <t xml:space="preserve"> pois contemplará as seguintes Secretárias: SEGEP, SEMAD e SESAN.</t>
    </r>
  </si>
  <si>
    <t>4.13. Execução de serviços especializados de apoio a SUPERVISÃO das OBRAS de reabilitação dos canais da bacia do Una.</t>
  </si>
  <si>
    <t>Supervisão de Obras para a Bacia do UNA</t>
  </si>
  <si>
    <t>5. Consultorias Individuais</t>
  </si>
  <si>
    <t>5.1. Consultoria Individual para Apoio no Planejamento Estratégico e Gestão do Programa - PROMABEN II</t>
  </si>
  <si>
    <t>Item novo. Consultoria incluída visto a magnitude do programa e seu planejamento de execução.</t>
  </si>
  <si>
    <t>6. Capacitação</t>
  </si>
  <si>
    <t>6.1. Capacitação e treinamento para 40 servidores municipais em apoio a gestão de projetos, promovidos pela Escola de Gestão Municipal.</t>
  </si>
  <si>
    <t>Contempla 20 (vinte) servidores efetivos indicados pela SEMAD e 20 (vinte) servidores municipais indicados pela SEGEP, sendo 13 da SEGEP e 9 da UCP.</t>
  </si>
  <si>
    <t>6.3. Seminário de Encerramento do Programa - PROMABEN II</t>
  </si>
  <si>
    <t>Contempla transporte, locação de hotel, almoço, coffe break, vídeos, material impresso, material multimídia. Este item está coberto pelos itens 2.2.2.4 (Participação Comunitária) e 2.2.2.5 (Comunicação Social) do PEP.</t>
  </si>
  <si>
    <t>6.4. Capacitação e treinamento em Gestão Pública</t>
  </si>
  <si>
    <t>Capacitação in company, modular em 12 meses, turma fechada UCP (Coor Geral, 5 Subcoordenações e 2 Assessorias) com instituição/funadação de ensino de reconhecimento nacional e expertise comprovada, a nível de formação profissional em gestão, com abordagens técnicas e comportamentais, passando por alguns temas como: comunicação interpessoal, gestão do tempo, habilidades comportamentais, gerenciamento de conflitos, metodologia de gestão, gerenciamento de terceiros, mensuração de resultados...</t>
  </si>
  <si>
    <t>7. Subprojetos</t>
  </si>
  <si>
    <t>7.1. Firmar Convênio não oneroso com CODEM x UCP</t>
  </si>
  <si>
    <t>Esse Convênio refere-se a REGULARIZAÇÃO FUNDIÁRIA do remanescente PROMABEN I e passivo, cujo custo está alocado no item 3.4 e 4.6</t>
  </si>
  <si>
    <t>7.2. Firmar Convênio não oneroso com CINBESA x SEMMA x UCP</t>
  </si>
  <si>
    <t>Esse Convênio refere-se ao desenvolvimento, instalação e manutenção do Sistema de Gestão Ambiental, cujo custo está distribuido nos itens 2.1; 2.2 e 2.3</t>
  </si>
  <si>
    <t>INFORMACIÓN PARA CARGA INICIAL DEL PLAN DE ADQUISICIONES 
EN CURSO Y/O ULTIMO PRESENTADO - 18 Meses</t>
  </si>
  <si>
    <t>1º TRIMESTRE 2019</t>
  </si>
  <si>
    <t>4° TRIMESTRE 2020</t>
  </si>
  <si>
    <t>Versión 03</t>
  </si>
  <si>
    <r>
      <t xml:space="preserve">Contrato de Empréstimo: </t>
    </r>
    <r>
      <rPr>
        <b/>
        <sz val="13"/>
        <rFont val="Times New Roman"/>
        <family val="1"/>
      </rPr>
      <t>3303/</t>
    </r>
    <r>
      <rPr>
        <b/>
        <sz val="13"/>
        <color rgb="FF000000"/>
        <rFont val="Times New Roman"/>
        <family val="1"/>
      </rPr>
      <t>OC-BR</t>
    </r>
  </si>
  <si>
    <t>PLANO DE AQUISIÇÕES (PA) - 18 meses</t>
  </si>
  <si>
    <r>
      <t xml:space="preserve">Revisão Nº: </t>
    </r>
    <r>
      <rPr>
        <b/>
        <sz val="13"/>
        <rFont val="Times New Roman"/>
        <family val="1"/>
      </rPr>
      <t>03</t>
    </r>
  </si>
  <si>
    <t>Itemização PEP (Revisão 02 -jun.18)</t>
  </si>
  <si>
    <r>
      <t xml:space="preserve">Método 
</t>
    </r>
    <r>
      <rPr>
        <i/>
        <sz val="11"/>
        <color indexed="9"/>
        <rFont val="Times New Roman"/>
        <family val="1"/>
      </rPr>
      <t>(Selecionar uma das Opções)</t>
    </r>
    <r>
      <rPr>
        <sz val="11"/>
        <color indexed="9"/>
        <rFont val="Times New Roman"/>
        <family val="1"/>
      </rPr>
      <t>:*</t>
    </r>
  </si>
  <si>
    <t>Serviço de engenharia para reparos de infraestrutura da UCP</t>
  </si>
  <si>
    <t>2.1.5.1</t>
  </si>
  <si>
    <t>Ações de Saneamento e Aterro em Áreas de Cota Baixa e Densamente Ocupadas (Passivo da via Orla).</t>
  </si>
  <si>
    <t>2.1.2.3.1/2.1.2.3.2</t>
  </si>
  <si>
    <t>Sub-bacia 1 e Áreas Adjacentes da Av B. sayão (Ver Folha de Comentários)</t>
  </si>
  <si>
    <t>Recuperação do Sistema de Macrodrenagem, Microdrenagem e Viário na Sub-bacia 2 (Passivo).</t>
  </si>
  <si>
    <t>2.1.2.1.3/2.1.2.2.4/2.1.3.2.1</t>
  </si>
  <si>
    <t>Construção de Unidades Habitacionais para reassentamento de famílias vulneráveis - Adicional.</t>
  </si>
  <si>
    <t>2.1.2.4.1</t>
  </si>
  <si>
    <t>Construção de Unidades Habitacionais para reassentamento de famílias vulneráveis - Viver Jurunas.</t>
  </si>
  <si>
    <t>Não será executado</t>
  </si>
  <si>
    <t>Não</t>
  </si>
  <si>
    <t>Construção de Unidades Comerciais para os reassentados da área de intervenção do programa.</t>
  </si>
  <si>
    <t>2.1.2.4.2</t>
  </si>
  <si>
    <t>Execução de Obras Civis, Fornecimento e Montagem de Equipamentos Eletromecânicos do Sistema de Comportas da Sub-bacia 2</t>
  </si>
  <si>
    <t>2.1.2.1.2</t>
  </si>
  <si>
    <t>Obras de Urbanização da Área Miolo do Bairro do Jurunas - Sub-bacia 02</t>
  </si>
  <si>
    <t>2.1.1.1.1/2.1.1.2.1/2.1.2.2.1/2.1.3.1.1</t>
  </si>
  <si>
    <t>Implantação do Sistema de Macrodrenagem, Microdrenagem, Sistema Viário - Sub-bacia 2</t>
  </si>
  <si>
    <t>2.1.2.1.1/2.1.2.2.3/2.1.3.1.3</t>
  </si>
  <si>
    <t>Reforma de UBS (Unidade Básica de Saúde) - 02 Unidades</t>
  </si>
  <si>
    <t>2.2.3.8.1.2</t>
  </si>
  <si>
    <t>Ampliação de uma (01) Unidade de Referência em Vigilância das  Doenças Tropicais Negligenciadas (Tropical Neglected Diseases - NTD) na área do Promaben I e II.</t>
  </si>
  <si>
    <t>2.2.3.8.1.3</t>
  </si>
  <si>
    <t xml:space="preserve">Execução de Estação de Tratamento de Esgoto (ETE) com o Fornecimento de Equipamentos e Emissário - Sub-bacia 1 e 2. </t>
  </si>
  <si>
    <t>2.1.1.1.3</t>
  </si>
  <si>
    <t>1.13</t>
  </si>
  <si>
    <t>Sistema de Macrodrenagem, Microdrenagem, Viário, Obras de Arte Especiais, Urbanização e Paisagismo da Avenida Bernardo Sayão (entre Rua Engº Fernando Guilhon e Canal Quintino Bocaiúva) - Sub-Bacia 2.</t>
  </si>
  <si>
    <t>2.1.2.1.4/2.1.2.2.5/2.1.3.1.4/</t>
  </si>
  <si>
    <t>Serviço de demolição e desratização de imóveis indenizados</t>
  </si>
  <si>
    <t>2.1.3.3.1</t>
  </si>
  <si>
    <t>3.18</t>
  </si>
  <si>
    <t>SUB TOTAL DE OBRAS</t>
  </si>
  <si>
    <t>Contratação de serviço de Fibra Ótica - CINBESA</t>
  </si>
  <si>
    <t>2.2.3.1.1.7</t>
  </si>
  <si>
    <t>Ferramentas (licenças) de informática com instalação - CINBESA</t>
  </si>
  <si>
    <t>2.2.3.9.1.1</t>
  </si>
  <si>
    <t>Fortalecimento CINBESA (Ver Folha de Comentários)</t>
  </si>
  <si>
    <t>Equipamentos de infraestutura de informática com instalação para suportar a operacionalização do SIB</t>
  </si>
  <si>
    <t>2.2.3.1.1.6</t>
  </si>
  <si>
    <t>SIG- Sistema de Informação Gerencial do PROMABEN II - UCP</t>
  </si>
  <si>
    <t>BRB3794</t>
  </si>
  <si>
    <t xml:space="preserve">Fornecimento de Equipamentos e Mobiliario para UBS (Unidade Basica de Saúde) Portal </t>
  </si>
  <si>
    <t>2.2.3.8.1.1</t>
  </si>
  <si>
    <t>Aquisições de hidrômetros - 10.000 un</t>
  </si>
  <si>
    <t>Licenças de softwares para a UCP - MS Project (2 un)</t>
  </si>
  <si>
    <t>Software e hardware para reestruturação da infraestrutura da UCP</t>
  </si>
  <si>
    <t>1.1.19</t>
  </si>
  <si>
    <t>Mobiliário e equipamentos para reestruturação da infraestrutura da UCP</t>
  </si>
  <si>
    <t>Aquisição de livros técnicos</t>
  </si>
  <si>
    <t>1.1.17</t>
  </si>
  <si>
    <t>Contratação Direta</t>
  </si>
  <si>
    <t>Contratação de uma Plataforma Tecnológica de Business Intelligence (B.I.)</t>
  </si>
  <si>
    <t>2.2.3.1.1.8</t>
  </si>
  <si>
    <t>Aquisição de medicamentos para o controle de doenças negligenciadas na área do projeto</t>
  </si>
  <si>
    <t>2.2.3.8.1.4</t>
  </si>
  <si>
    <t>Fortalecimento SESMA</t>
  </si>
  <si>
    <t>Aquisição de Equipamentos para Medição de Parâmetros de Controle Ambiental</t>
  </si>
  <si>
    <t>2.2.3.7.1.2</t>
  </si>
  <si>
    <t>Fortalecimento SEMMA</t>
  </si>
  <si>
    <t>Software e Hardware para suporte ao SGAS</t>
  </si>
  <si>
    <t>2.2.3.9.1.2</t>
  </si>
  <si>
    <t>Fornecimento de Equipamentos para o laboratório de análise de água da Vigilância Sanitária.</t>
  </si>
  <si>
    <t>2.2.3.8.1.6</t>
  </si>
  <si>
    <t>Equipamentos de Manutenção de Parques e Jardins</t>
  </si>
  <si>
    <t>2.2.3.7.1.1</t>
  </si>
  <si>
    <t>2.17</t>
  </si>
  <si>
    <t>Equipamentos de multimídia e tecnologia para a Escola de Gestão Municipal – Software e Hardware</t>
  </si>
  <si>
    <t>2.2.3.2.1.5</t>
  </si>
  <si>
    <t>2.18</t>
  </si>
  <si>
    <t>Software e Hardware para a implantação do Sistema de Informação</t>
  </si>
  <si>
    <t>2.2.3.1.1.5</t>
  </si>
  <si>
    <t>Fortalecimento SEGEP</t>
  </si>
  <si>
    <t>2.19</t>
  </si>
  <si>
    <t>Software e Hardware para suporte do controle de execução de Projetos</t>
  </si>
  <si>
    <t>2.2.3.3.1.10</t>
  </si>
  <si>
    <t>2.20</t>
  </si>
  <si>
    <t>Licença de software de Gestão para o Fortalecimento Institucional com apoio técnico na operacionalização</t>
  </si>
  <si>
    <t>2.2.3.10.1</t>
  </si>
  <si>
    <t>Fortalecimento CINBESA</t>
  </si>
  <si>
    <t>SUB TOTAL DE BENS</t>
  </si>
  <si>
    <t>Contratação de prestação de Serviços para Execução do Programa de Educação Ambiental e Sanitária - Sub-bacias 1 e 2</t>
  </si>
  <si>
    <t>Mudou categoria</t>
  </si>
  <si>
    <t>Execução dos Programas Social e Ambiental - Sub-bacia 2 (Miolo do Jurunas)</t>
  </si>
  <si>
    <t>2.2.2.3.2, 2.2.2.4.2 e 2.2.2.5.2</t>
  </si>
  <si>
    <t>Execução dos Programas Social e Ambiental - Sub-bacia 2 (Macrodrenagem Sub 2)</t>
  </si>
  <si>
    <t>2.2.2.3.3, 2.2.2.4.3 e 2.2.2.5.3</t>
  </si>
  <si>
    <t>Serviços especializados de Regularização Fundiária - CODEM</t>
  </si>
  <si>
    <t>Locação de veículos para transporte de equipes de Acompanhamento de Obas e Serviços - UCP</t>
  </si>
  <si>
    <t>Limpeza e manutenção das instalações da UCP</t>
  </si>
  <si>
    <t>Vigilância e segurança armada - UCP</t>
  </si>
  <si>
    <t>Locação de equipamento fotocopiador digital com material e manutenção - UCP</t>
  </si>
  <si>
    <t>Serviços de manutenção preventiva e corretiva para centrais de ar-condicionado - UCP</t>
  </si>
  <si>
    <t>Serviço de telefonia fixa e móvel.</t>
  </si>
  <si>
    <t xml:space="preserve">Serviço de transmissão de dados (Internet) </t>
  </si>
  <si>
    <t xml:space="preserve">Reserva, emissão, marcação / remarcação e fornecimento e bilhetes de passagens aéreas, marítimas, terrestres nacionais e internacionais </t>
  </si>
  <si>
    <t>Aquisição de gêneros alimentícios para manutenção da UCP</t>
  </si>
  <si>
    <t>1.1.7, 1.1.8 e 1.1.9</t>
  </si>
  <si>
    <t>Implantar infraestrutura lógica e logística e melhoria das instalações existentes</t>
  </si>
  <si>
    <t>2.2.3.3.1.5</t>
  </si>
  <si>
    <t>3.15</t>
  </si>
  <si>
    <t>Serviço de mudança de famílias indenizadas</t>
  </si>
  <si>
    <t>2.1.3.3.2</t>
  </si>
  <si>
    <t>Pregão eletrônico</t>
  </si>
  <si>
    <t>3.16</t>
  </si>
  <si>
    <t>Serviço de Calibragem de Decibelímetro - SEMMA</t>
  </si>
  <si>
    <t>3.17</t>
  </si>
  <si>
    <t>Serviço comum de engenharia para reparos de infraestrutura da UCP</t>
  </si>
  <si>
    <t>3.19</t>
  </si>
  <si>
    <t>Revisão da Lei Municipal (de criação da agência),do Decreto Regulamentador da Lei Municipal  e da Resolução do Regimento  interno da AMAE/BELÉM</t>
  </si>
  <si>
    <t>2.2.3.5.1.2</t>
  </si>
  <si>
    <t>Alteração de categoria</t>
  </si>
  <si>
    <t>Tomada de Preços</t>
  </si>
  <si>
    <t>3.20</t>
  </si>
  <si>
    <t>Fornecimento de água mineral</t>
  </si>
  <si>
    <t>1.1.7</t>
  </si>
  <si>
    <t>3.21</t>
  </si>
  <si>
    <t>Fornecimento de café e açúcar</t>
  </si>
  <si>
    <t>1.1.8</t>
  </si>
  <si>
    <t>3.22</t>
  </si>
  <si>
    <t>Fornecimento de gás de cozinha</t>
  </si>
  <si>
    <t>1.1.9</t>
  </si>
  <si>
    <t>3.23</t>
  </si>
  <si>
    <t>3.24</t>
  </si>
  <si>
    <t xml:space="preserve">Locação de equipamento fotocopiador digital com material e manutenção </t>
  </si>
  <si>
    <t>3.25</t>
  </si>
  <si>
    <t>3.26</t>
  </si>
  <si>
    <t xml:space="preserve">Supervisão das Obras de Macrodrenagem da Sub-bacia 2 </t>
  </si>
  <si>
    <t>1.2.4</t>
  </si>
  <si>
    <t>Toamda de Preço</t>
  </si>
  <si>
    <t>3.27</t>
  </si>
  <si>
    <t>Serviço de recomposição de fachada de famílias indenizadas</t>
  </si>
  <si>
    <t>2.1.3.3.3</t>
  </si>
  <si>
    <t>3.28</t>
  </si>
  <si>
    <t>Serviços Topográficos - Levantamento Planialtimétricos e Cadastral de Áreas de 01 HA até 70 HA</t>
  </si>
  <si>
    <t>SUB TOTAL DE SERVIÇOS QUE NÃO SÃO DE CONSULTORIA</t>
  </si>
  <si>
    <t/>
  </si>
  <si>
    <t>Contratar Serviços de Consultoria Especializados para Auditoria das Demonstrações Financeiras do Programa.</t>
  </si>
  <si>
    <r>
      <t xml:space="preserve">Serviços de </t>
    </r>
    <r>
      <rPr>
        <strike/>
        <sz val="12"/>
        <color rgb="FFFF0000"/>
        <rFont val="Times New Roman"/>
        <family val="1"/>
      </rPr>
      <t>Supervisão e</t>
    </r>
    <r>
      <rPr>
        <sz val="12"/>
        <rFont val="Times New Roman"/>
        <family val="1"/>
      </rPr>
      <t xml:space="preserve"> Elaboração de Projetos Executivos do Programa.</t>
    </r>
  </si>
  <si>
    <t>1.3.1</t>
  </si>
  <si>
    <t>Consultoria para Revisão da Lei Municipal (de criação da agência),do Decreto Regulamentador da Lei Municipal  e da Resolução do Regimento  interno da AMAE/BELÉM</t>
  </si>
  <si>
    <t>Mudou p/ item 3.19</t>
  </si>
  <si>
    <t>Contratar empresa para desenvolver e implantar o Sistema Integrado de Gestão Fundiária - SIGEF e o Módulo de Gestão do Remanejamento do PROMABEN II e capacitar a equipe técnica.</t>
  </si>
  <si>
    <t>2.2.3.6.1.1</t>
  </si>
  <si>
    <t>Elaboração do Plano Municipal de Saneamento Básico</t>
  </si>
  <si>
    <t>2.2.3.3.1.8</t>
  </si>
  <si>
    <t>1.3.6</t>
  </si>
  <si>
    <t>Redefinição da estrutura organizacional e quantitativo de pessoal da SEGEP</t>
  </si>
  <si>
    <t>2.2.3.1.1.2</t>
  </si>
  <si>
    <t>Fortalecimento SEGEP (Ver Folha de Comentários)</t>
  </si>
  <si>
    <t>Contratar um modelo de sistema de informações (SIB)</t>
  </si>
  <si>
    <t>Item cancelado</t>
  </si>
  <si>
    <t>Elaboração do Sistema de Informações Municipal (SIB)</t>
  </si>
  <si>
    <t>Contratar a implementação e capacitação do (SIB)</t>
  </si>
  <si>
    <t>Empresa especializada para executar o projeto social do programa</t>
  </si>
  <si>
    <t>Mudou p/ item 4.21</t>
  </si>
  <si>
    <t>Apoio à sustentabilidade social das obras das Sub Bacias 1, 2 - Ver Folha de Comentários</t>
  </si>
  <si>
    <t>Elaboração de estudo de caracterização urbana e social da área de baixa renda adjacente ao canal de descarga e Av. Bernardo Sayão compreendida entre R. dos Mundurucus e Av. Fernando Guilhon</t>
  </si>
  <si>
    <t>Elaboração de Projetos Complementares do Habitacional e Projetos Executivos do Centro Comercial</t>
  </si>
  <si>
    <t>1.3.7</t>
  </si>
  <si>
    <t xml:space="preserve">Consultoria para revisão do Contrato de Programa nº 001/2015 </t>
  </si>
  <si>
    <t>2.2.3.5.1.3</t>
  </si>
  <si>
    <t>Consultoria para elaboração do Manual de Contabilidade Regulatória</t>
  </si>
  <si>
    <t>4.16</t>
  </si>
  <si>
    <t>Empresa de apoio ao gerenciamento do programa</t>
  </si>
  <si>
    <t>1.2.2</t>
  </si>
  <si>
    <t>4.17</t>
  </si>
  <si>
    <t>Prestação de Serviços para Execução do Programa de Educação Ambiental e Sanitária (PEAS) - Sub-bacias 1 e 2</t>
  </si>
  <si>
    <t>4.18</t>
  </si>
  <si>
    <t>Consultoria para o levantamento de quantitativo e orçamento da manutenção de serviços de obras de infraestrutura especiais em canais.</t>
  </si>
  <si>
    <t>2.2.3.4.1.4</t>
  </si>
  <si>
    <t>4.19</t>
  </si>
  <si>
    <t>Execução de serviços de: (a) Monitoramento do Plano Diretor de Relocalização de População e atividades Econômicas, (b)Programa Específico de Reassentamento (PER).</t>
  </si>
  <si>
    <t>4.20</t>
  </si>
  <si>
    <t>Concepção do Sistema de Planejamento e Gestão Matricial de Resultados</t>
  </si>
  <si>
    <t>2.2.3.1.1.4</t>
  </si>
  <si>
    <t>4.21</t>
  </si>
  <si>
    <t>Prestação de Serviço Especializado para Execução do Projeto social do Programa (PPC, PCS),  EGP e o Programa de Educação Ambiental e Sanitária (PEAS) - Sub-bacias 1 e 2.</t>
  </si>
  <si>
    <t>2.2.2.3.1 / 2.2.2.4.1 / 2.2.2.5.1 / 2.2.2.6.1</t>
  </si>
  <si>
    <t>4.22</t>
  </si>
  <si>
    <t>Elaboração do EIV (estudo de impacto de vizinhança) para obtenção da outorga para a emissão de Licença Ambiental das Unidades Habitacionais.</t>
  </si>
  <si>
    <t>4.23</t>
  </si>
  <si>
    <t>Elaboração do EIV (estudo de impacto de vizinhança) para obtenção da outorga para a emissão de Licença Ambiental do Centro Comercial e Urbanização da Área Miolo do Bairro do Jurunas.</t>
  </si>
  <si>
    <t>1.3.9</t>
  </si>
  <si>
    <t>4.24</t>
  </si>
  <si>
    <t>Desenvolvimento organizacional, definição de políticas e gestão dos serviços de saneamento básico da lei 11.445/2007</t>
  </si>
  <si>
    <t>2.2.3.3.1.2</t>
  </si>
  <si>
    <t>4.25</t>
  </si>
  <si>
    <t>Supervisão de Obras do Programa</t>
  </si>
  <si>
    <t>1.2.1</t>
  </si>
  <si>
    <t>4.26</t>
  </si>
  <si>
    <t>Supervisão de Obras do Habitacional e das Unidades Comerciais</t>
  </si>
  <si>
    <t>1.2.3</t>
  </si>
  <si>
    <t>4.27</t>
  </si>
  <si>
    <t>Implantação do Sistema de Gestão Integrada da Qualidade, Meio-Ambiente e Saúde e Segurança no Trabalho</t>
  </si>
  <si>
    <t>2.2.3.3.1.4</t>
  </si>
  <si>
    <t>4.28</t>
  </si>
  <si>
    <t>Proposição de Metodologia para Revisão e Reajuste Tarifário Periódico Anual e a cada 4 anos.</t>
  </si>
  <si>
    <t>2.2.3.5.1.5</t>
  </si>
  <si>
    <t>4.29</t>
  </si>
  <si>
    <t>Proposição de Resolução para  que a COSANPA, elabore o Plano de Comunicação à População.</t>
  </si>
  <si>
    <t>2.2.3.5.1.7</t>
  </si>
  <si>
    <t>4.30</t>
  </si>
  <si>
    <t>Consultoria para proposição de resolução, sobre metodologia, para a execução do levantamento e atualização dos bens e direitos dos beneficiados pelos serviços.</t>
  </si>
  <si>
    <t>2.2.3.5.1.9</t>
  </si>
  <si>
    <t>4.31</t>
  </si>
  <si>
    <t>Elaboração do TDR e Orçamento Referencial para a Concepção do Sistema de Planejamento e Gestão Matricial de Resultados</t>
  </si>
  <si>
    <t>2.2.3.1.1.3</t>
  </si>
  <si>
    <t>Inexigibilidade</t>
  </si>
  <si>
    <t>4.32</t>
  </si>
  <si>
    <t>Elaboração do TDR da Redefinição da estrutura organizacional e quantitativo de pessoal da SEGEP</t>
  </si>
  <si>
    <t>2.2.3.1.1.1</t>
  </si>
  <si>
    <t>4.33</t>
  </si>
  <si>
    <t>Elaboração do TDR e Orçamento Referencial para Redefinição da estrutura organizacional e quantitativo de pessoal da SEMAD</t>
  </si>
  <si>
    <t>2.2.3.2.1.1</t>
  </si>
  <si>
    <t>4.34</t>
  </si>
  <si>
    <t>Serviço de Consultoria para Execução da Avaliação Intermediária do Programa (até 24 meses após a assinatura do contrato)</t>
  </si>
  <si>
    <t>4.35</t>
  </si>
  <si>
    <t>Elaboração de Projetos Executivos da  Macrodrenagem da Sub-bacia 2 - PAC (CONTRATO DE REPASSE 228.498-26)</t>
  </si>
  <si>
    <t>4.36</t>
  </si>
  <si>
    <t>Elaboração de projetos executivos da Estação de Tratamento de Esgoto</t>
  </si>
  <si>
    <t>4.37</t>
  </si>
  <si>
    <t>Elaboração de projetos executivos da ampliação de uma (01) Unidade de Referência em Vigilância das  Doenças Tropicais Negligenciadas  na área do Promaben I e II.</t>
  </si>
  <si>
    <t>4.38</t>
  </si>
  <si>
    <t>Elaboração de projetos da estação elevatória de esgoto do miolo do Jurunas.</t>
  </si>
  <si>
    <t>4.39</t>
  </si>
  <si>
    <t xml:space="preserve">Projeto executivo da Macro Sub-bacia 2 e Ilha Bela, proejtos da Macro sub-bacia 2, sistemas de comportas, projeto executivo Ilha Bela, ações de saneamento e aterro de cotas baixas na sub-bacia 1 e passivo da orla, revisão do projeto executivo de microdrenagem, água e esgoto da sub-bacia 1. </t>
  </si>
  <si>
    <t>4.40</t>
  </si>
  <si>
    <t>4.41</t>
  </si>
  <si>
    <t>Tomada de Preço</t>
  </si>
  <si>
    <t>4.42</t>
  </si>
  <si>
    <t xml:space="preserve">Elaboração de Estudos Hidrológicos e Projeto Básico do Sistema de Macrodrenagem na Sub-Bacia 2 da Bacia Hidrográfica da Estrada Nova – Promaben II </t>
  </si>
  <si>
    <t>4.43</t>
  </si>
  <si>
    <t>Desenvolvimento e Licença de software de Gestão para o Fortalecimento Institucional com apoio técnico na operacionalização</t>
  </si>
  <si>
    <t>1.1.18</t>
  </si>
  <si>
    <t>Estudo e elaboração de proejeto executivo de reabilitação da bacia do UNA</t>
  </si>
  <si>
    <t>1.3.10</t>
  </si>
  <si>
    <t>4.44</t>
  </si>
  <si>
    <t>Consultoria para concepção do sistema de informação</t>
  </si>
  <si>
    <t>4.45</t>
  </si>
  <si>
    <t>Apoio à SUPERVISÃO das Obras de Reabilitação dos canais da Bacia do Una</t>
  </si>
  <si>
    <t>2.2.3.4.1.1</t>
  </si>
  <si>
    <t>4.46</t>
  </si>
  <si>
    <t>Apoio à Sustentabilidade Socioambiental das Obras de Reabilitação dos Canais do Una</t>
  </si>
  <si>
    <t>2.2.3.4.1.2</t>
  </si>
  <si>
    <t>SUB TOTAL DE CONSULTORIAS FIRMAS</t>
  </si>
  <si>
    <t>Não Objeção aos TDR da Atividade</t>
  </si>
  <si>
    <t>Consultoria em Planejamento Estratégico e Gestão do Programa - PROMABEN II</t>
  </si>
  <si>
    <t>Mudou de categoria</t>
  </si>
  <si>
    <t>Mud</t>
  </si>
  <si>
    <t>Fortalecimento SESAN / Ver Folha de Comentários</t>
  </si>
  <si>
    <t>Desenvolvimento Organizacional, Definição de Políticas e Gestão dos Serviços de Saneamento Básico da Lei 11.445/2007</t>
  </si>
  <si>
    <t>Mudou p/ item 4.24</t>
  </si>
  <si>
    <t>Elaboração do TDR e Orçamento Referencial para Implantação do Sistema de Gestão Integrada da Qualidade, Meio-Ambiente e Saúde e Segurança no Trabalho</t>
  </si>
  <si>
    <t>2.2.3.3.1.3</t>
  </si>
  <si>
    <t>Dispensa de Licitação (Contratação direta)</t>
  </si>
  <si>
    <t>Suporte ao Planejamento e Controle</t>
  </si>
  <si>
    <t>5.7</t>
  </si>
  <si>
    <t>5.8</t>
  </si>
  <si>
    <t>5.9</t>
  </si>
  <si>
    <t>5.10</t>
  </si>
  <si>
    <t>5.11</t>
  </si>
  <si>
    <t>SUB TOTAL DE CONSULTORIAS INDIVIDUAIS</t>
  </si>
  <si>
    <t>Capacitação e treinamento de 20 gestores públicos, a ser promovido na Escola de Gestão Municipal, em Gestão Matricial de Resultados.</t>
  </si>
  <si>
    <t xml:space="preserve">Capacitação e treinamento de gestores em Saneamento Ambiental </t>
  </si>
  <si>
    <t>2.2.3.3.1.6</t>
  </si>
  <si>
    <t>Capacitação e treinamento em gestão para fortalecimento UCP (Gestão de Contratos, Licitação, Elaboração de TDR)</t>
  </si>
  <si>
    <t>Capacitação para desempenho das atividades regulatórias nas 4 áreas de saneamento básico</t>
  </si>
  <si>
    <t>2.2.3.5.1.10</t>
  </si>
  <si>
    <t>6.5</t>
  </si>
  <si>
    <t>Capacitação e treinamento de 40 servidores efetivos da PMB em apoio à Gestão de Projetos Estruturantes, a ser promovido na Escola de Gestão Municipal</t>
  </si>
  <si>
    <t>2.2.3.2.1.3</t>
  </si>
  <si>
    <t>6.6</t>
  </si>
  <si>
    <t>Capacitação e Treinamento de Gestores para a UCP, a ser promovido na Escola de Gestão Municipal</t>
  </si>
  <si>
    <t>2.2.3.2.1.4</t>
  </si>
  <si>
    <t>6.7</t>
  </si>
  <si>
    <t>Capacitação e treinamento em Licitação, Contratação, Fiscalização e Gerenciamento (OBRAS E SERVIÇOS DE ENGENHARIA)</t>
  </si>
  <si>
    <t>SUB TOTAL DE CAPACITAÇÃO</t>
  </si>
  <si>
    <t>Assinatura do Contrato/Convênio por Adjudicação dos Subprojetos</t>
  </si>
  <si>
    <t>Firmar Instrumento Jurídico com a CODEM para Regularização Fundiária - PROMABEN I (Remanescente)</t>
  </si>
  <si>
    <t>2.2.2.1.1</t>
  </si>
  <si>
    <t xml:space="preserve">Firmar Instrumento Jurídico com CINBESA x UCP  </t>
  </si>
  <si>
    <t>2.2.3.9</t>
  </si>
  <si>
    <t xml:space="preserve">Firmar convênio com a UFPA </t>
  </si>
  <si>
    <t xml:space="preserve"> 1.3.2 / 3.2.4</t>
  </si>
  <si>
    <t>Convênio</t>
  </si>
  <si>
    <t>7.5</t>
  </si>
  <si>
    <t>Firmar Instrumento Jurídico com a CODEM para Regularização Fundiária (Passivo) - Sub-bacia 1</t>
  </si>
  <si>
    <t>2.2.2.1.2</t>
  </si>
  <si>
    <t>7.6</t>
  </si>
  <si>
    <t>Firmar Instrumento Jurídico com a CODEM para regularização fundiária - Urbanização da Sub-bacia 2</t>
  </si>
  <si>
    <t>2.2.2.1.3</t>
  </si>
  <si>
    <t>7.7</t>
  </si>
  <si>
    <t xml:space="preserve">Firmar Instrumento Juridico com CODEM x UCP  </t>
  </si>
  <si>
    <t>2.2.3.6</t>
  </si>
  <si>
    <t>7.8</t>
  </si>
  <si>
    <t xml:space="preserve">Firmar Instrumento Juridico com SEMAD x UCP  </t>
  </si>
  <si>
    <t>2.2.3.2</t>
  </si>
  <si>
    <t>7.9</t>
  </si>
  <si>
    <t xml:space="preserve">Firmar Instrumento Juridico com SESMA x UCP  </t>
  </si>
  <si>
    <t>2.2.3.7</t>
  </si>
  <si>
    <t>7.10</t>
  </si>
  <si>
    <t xml:space="preserve">Firmar Instrumento Juridico com SEGEP x UCP  </t>
  </si>
  <si>
    <t>2.2.3.1</t>
  </si>
  <si>
    <t>7.11</t>
  </si>
  <si>
    <t xml:space="preserve">Firmar Instrumento Juridico com AMAE/BELÉM x UCP  </t>
  </si>
  <si>
    <t>2.2.3.5</t>
  </si>
  <si>
    <t>7.12</t>
  </si>
  <si>
    <t xml:space="preserve">Firmar Instrumento Juridico com SEMMA x UCP  </t>
  </si>
  <si>
    <t>7.13</t>
  </si>
  <si>
    <t xml:space="preserve">Firmar Instrumento Juridico com SESAN x UCP  </t>
  </si>
  <si>
    <t>2.2.3.4/2.2.3.3</t>
  </si>
  <si>
    <t>7.14</t>
  </si>
  <si>
    <t xml:space="preserve">Indenizações </t>
  </si>
  <si>
    <t>2.2.1.1 / 2.2.1.2 / 2.2.1.3</t>
  </si>
  <si>
    <t>SUB TOTAL DE SUBPROJETOS  - (ONEROSOS CONVÊNIOS)</t>
  </si>
  <si>
    <t>TOTAL (U$)</t>
  </si>
  <si>
    <t>Serviço comun de engenharia para reparos de infraestrutura da UCP</t>
  </si>
  <si>
    <t>(Versão 02) Contratação pelo Pregão Eletrônico será feita pelo sistema Comprasnet.</t>
  </si>
  <si>
    <t>(Versão 02) A Reestruturação da UCP não consiste em obra de engenharia e sim em serviços comum de engenharia (Reparo Predial), em razão disso, em relação à possibilidade de aplicação do pregão para contratação de serviços comuns de engenharia, destacamos a Súmula nº 257/2010, do Tribunal de Contas da União que estabelece: O uso do pregão nas contratações de serviços comuns de engenharia encontra amparo na Lei nº 10.520/2002.  / 3 - Aquisição pelo Pregão Eletrônico será feita pelo sistema Comprasnet.</t>
  </si>
  <si>
    <t>(Versão 03) - Trata-se de obra portanto será contratado por comparação de preços (CP), conforme alinhado na Missão de arranque.</t>
  </si>
  <si>
    <t xml:space="preserve">(Versão 02) - Processo suspenso, devido o ínicio da obra ultrapassar o período do PA que é de 18 meses. </t>
  </si>
  <si>
    <t xml:space="preserve">(Versão 03) - Processo continua suspenso, devido o ínicio da obra ultrapassar o período do PA que é até dez.19. </t>
  </si>
  <si>
    <t xml:space="preserve">(Versão 03) - Ítem cancelado, conforme levantamento realizado pela área Social o número de unidades habitacionais adicionais irá suprir as necessidades de reassentamento, não necessitando portanto do Habitacional Viver Jurunas. </t>
  </si>
  <si>
    <t>Contrato de Sistema de Comportas</t>
  </si>
  <si>
    <t>Esse contrato tem como objeto, a construção de 1 (um) Sistema de Comportas, localizado na Sub-bacia 2.</t>
  </si>
  <si>
    <t>Entrará como contrapartida da PMB.</t>
  </si>
  <si>
    <t>(Versão 03) - A execução das obras seria financiada com recurso da CEF, mas após a Missão de Arranque ficou acordado na ajuda memória que as obras serão executadas com os recursos do Contrato de Empréstimo -3303-OC-BR.</t>
  </si>
  <si>
    <t xml:space="preserve">Contrato de Urbanização - CAIXA PAC - CT229.025-26 </t>
  </si>
  <si>
    <t>Esse contrato tem como objeto, a Urbanização do Miolo do Jurunas, localizado na Sub-bacia 2. Entrará como contrapartida da PMB.</t>
  </si>
  <si>
    <t>(Versão 02) - Redação alterada</t>
  </si>
  <si>
    <t>(Versão 02) - Retirado os valores do Programas Social e Ambiental do valor da Obra.</t>
  </si>
  <si>
    <t>(Versão 03) - O valor de Obra foi reduzido, será acrescentado a regularização fundiária e aos Programas Social e Ambiental.</t>
  </si>
  <si>
    <t>Contrato de Macrodrenagem - CAIXA PAC - CONTRATO DE REPASSE 228.498-26</t>
  </si>
  <si>
    <t>Esse contrato tem como objeto, Implantação do Sistema de Macrodrenagem, Microdrenagem, Sistema Viário, localizado na Sub-bacia 2. Entrará como contrapartida da PMB.</t>
  </si>
  <si>
    <t>Versão 03) - Item cancelado</t>
  </si>
  <si>
    <t>Ampliação de uma (01) Unidade de Referência em Vigilância das  Doenças Tropicais Negligenciadas, na área do Promaben I e II.</t>
  </si>
  <si>
    <t>Versão 03) - Item novo, objeto desentranhado do item 1.10.</t>
  </si>
  <si>
    <t>Versão 03) - Item novo.</t>
  </si>
  <si>
    <t>Revisão 03 - Item novo.</t>
  </si>
  <si>
    <t>Para interligação do Sistema de Gestão Ambiental - SGA (Obras) e utilização dos sistemas necessários à exceução do projeto - Bens de prateleira.</t>
  </si>
  <si>
    <t>Aquisição pelo Pregão Eletrônico será feita pelo sistema Comprasnet.</t>
  </si>
  <si>
    <t>(Versão 03) - Ítem cancelado, uma vez que se trata de obra, passa a ser o item 3.24 - Serviços que não são de consultoria.</t>
  </si>
  <si>
    <t>Aquisição de licenças de informática com instalação - CINBESA</t>
  </si>
  <si>
    <t>RazorSQL; ItelliJ; Corel Draw e Photoshop. Para o desenvolvimento do Sistema de Gestão Ambiental - SGA (Obras) - Bens de prateleira.</t>
  </si>
  <si>
    <t xml:space="preserve">Equipamentos de infraestutura de informática com instalação para suportar a operacionalização do SIB </t>
  </si>
  <si>
    <t>Swicht Óptico backbone; Swicht Óptico Atendimento; Nobreaks e Rack em hiperconvergência. Para suporte à Fibra ótica e interligação do Sistema de Gestão Ambiental- SGA (Obras) - Bens de prateleira.</t>
  </si>
  <si>
    <t>Para a implantação, acompanhamento e controle da execução dos Projetos do Sistema de Informações (SIB). Fortalecimento da SEGEP (Bens de prateleira)</t>
  </si>
  <si>
    <t>Aquisição de Software e Hardware para Suporte do Controle de Execução  de Projetos - SESAN.</t>
  </si>
  <si>
    <t>(Versão 02) - Redação alterada.</t>
  </si>
  <si>
    <t>(Versão 02) - Fortalecimento órgãos partícipes  (CINBESA, SEGEP, SEMAD e SESAN)</t>
  </si>
  <si>
    <t>(Versão 03) - Item cancelado, devido ao retorno da concepção da proposta original do programa. As aquisições serão de responsabilidade de cada órgão partícipe.</t>
  </si>
  <si>
    <t>Sistema de Informação Gerencial do PROMABEN 2 (SIG)</t>
  </si>
  <si>
    <t>Método de aquisição autorizado previamente pelo Banco, conforme Anexo III, item 6.7 do Contrato de Empréstimo -3303-OC-BR.</t>
  </si>
  <si>
    <t>(Versão 03) - Fyel Engenharia Ltda. Contrato N.º 04/2018</t>
  </si>
  <si>
    <t xml:space="preserve">Fornecimento de Equipamentos e Mobiliario para UBS (Unidade Básica de Saúde) Portal </t>
  </si>
  <si>
    <t>Item alterado - Incluído mobiliario - Para atendimento da Unidade Básica de Saúde - Fortalecimento SESMA</t>
  </si>
  <si>
    <t xml:space="preserve">(Versão 03) - Processo suspenso, devido o ínicio da obra ultrapassar o período do PA (dez.19). </t>
  </si>
  <si>
    <t>Software e Hardware para Reestruturação da infraestrutura da UCP</t>
  </si>
  <si>
    <t>Será feito em lotes</t>
  </si>
  <si>
    <t>Mobiliário e Equipamentos para Reestruturação da infraestrutura da UCP</t>
  </si>
  <si>
    <t>(Versão 03) - Item cancelado, devido ao retorno da concepção da proposta original do programa.</t>
  </si>
  <si>
    <t>Item novo incluído nesta versão 02.</t>
  </si>
  <si>
    <t>Software e Hardware para suporte ao SGA (Obra)</t>
  </si>
  <si>
    <r>
      <t>Versão 03 - Este item estava contemplado no ítem 2.3, que foi cancelado nesta versão, passando a ser o item 2.14. - Essa contratação será feita em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lotes.</t>
    </r>
  </si>
  <si>
    <t>Equipamentos de Manutenção de Parques e Jardins (Caminhão pipa e motoserras)</t>
  </si>
  <si>
    <r>
      <t xml:space="preserve">Essa contratação será feita </t>
    </r>
    <r>
      <rPr>
        <u/>
        <sz val="12"/>
        <rFont val="Times New Roman"/>
        <family val="1"/>
      </rPr>
      <t>em lotes.</t>
    </r>
  </si>
  <si>
    <t>3. Serviços que Não São de Consultoria</t>
  </si>
  <si>
    <t>Serviços ambientais (Educação Ambiental)</t>
  </si>
  <si>
    <t>Alterado para o item 4.17 (Consultoria Firmas) - Incluido o serviço de mão-de-obra.</t>
  </si>
  <si>
    <t>Execução dos Programas Social e Ambiental da Sub-bacia 2 (Miolo do Jurunas)</t>
  </si>
  <si>
    <t>Redação alterada - Contrato PAC - CT229.025-26.</t>
  </si>
  <si>
    <t>Execução dos Programas Social e Ambiental da Sub-bacia 2 (Macrodrenagem)</t>
  </si>
  <si>
    <t>Prestação de serviços, classificados como "comuns" (serviços de prateleira)</t>
  </si>
  <si>
    <t>Redação alterada - CONTRATO DE REPASSE 228.498-26</t>
  </si>
  <si>
    <t>Contratar serviços especializados de Regularização Fundiária</t>
  </si>
  <si>
    <t>Contratação de serviços: levantamento topográfico, levantamento socioeconomico, busca cartorária, reuniões comunitárias, pesquisa de documentos/registros e serviços cartorários. A CODEM terá a responsabilidade definida em Termo de Cooperação Técnica a ser firmando com a UCP para a coordenação e acompanhamento das etapas da regularização fundiária e emissão dos títulos para registro em cartório.</t>
  </si>
  <si>
    <t xml:space="preserve">(Versão 03) - Ítem cancelado, uma vez que se trata de convênio, será transferido para o item 07 - Subprojetos. </t>
  </si>
  <si>
    <t>Contrato em Andamento - CT-02/2017-UCP/PROMABEN - CRUZ &amp; CIA LTDA-ME.</t>
  </si>
  <si>
    <t>(Versão 03) - Item cancelado por se tratar de um contrato de prestação de serviço continuo em execução, que antecede a assinatura do contrato de empréstimo. Será proposto a título de reconhecimento.</t>
  </si>
  <si>
    <t>Limpeza e manutenção das Instalações da UCP</t>
  </si>
  <si>
    <t>Contrato em Andamento - CT-06/2016-UCP/PROMABEN - AMAZÔNIA CLEAN</t>
  </si>
  <si>
    <t>CT-02/2014-UCP/PROMABEN - ELITE SERVIÇOS DE SEGURANÇA LTDA.</t>
  </si>
  <si>
    <t>CT-17/2014-UCP/PROMABEN - MAC ID COMÉRCIO</t>
  </si>
  <si>
    <t xml:space="preserve">CT-013/2015 - CLARO S.A / CT-016/2015 - CLARO S.A                 </t>
  </si>
  <si>
    <t>Item novo incluído na versão 02.</t>
  </si>
  <si>
    <t>(Versão 03) - Ítem cancelado, em virtude do aguardo da instalação da fibra óptica prevista para 06/2019.</t>
  </si>
  <si>
    <t xml:space="preserve">Serviços de reserva, emissão, marcação / remarcação e fornecimento e bilhetes de passagens aéreas, marítimas, terrestres nacionais e internacionais </t>
  </si>
  <si>
    <t>Aquisição pelo Pregão Eletrônico/Ata de registro de preço será feita pelo sistema Comprasnet.</t>
  </si>
  <si>
    <t>Aquisição de material de limpeza, gêneros alimentícios para manutenção da UCP</t>
  </si>
  <si>
    <t>CT-01/2017-UCP/PROMABEN - SOUSA e ASSIS COMÉRCIO VAREJISTA DE ÁGUA LTDA-ME                                                                  CT-03/2017-UCP/PROMABEN - M DE O LANDIM COMÉRCIO - ME                                                                  CT-05/2017-UCP/PROMABEN - R.C.V.R DE OLIVEIRA - EPP.</t>
  </si>
  <si>
    <t>Aquisição pelo Pregão Eletrônico será feita pelo sistema Comprasnet</t>
  </si>
  <si>
    <t>Redação alterada de:Aquisição de material de limpeza, gêneros alimentícios para manutenção da UCP / Para: Aquisição de gêneros alimentícios para manutenção da UCP</t>
  </si>
  <si>
    <t>Item cancelado. Será aberto nos itens 3.20, 3.21 e 3.22 por se tratar de objetos e contratos diferentes.</t>
  </si>
  <si>
    <t>Item novo incluído nesta versão 02. Para cumprimento das políticas de salvaguarda sociambientais.</t>
  </si>
  <si>
    <t>Versão 02 - Alterado do item 1.1 para o item 3.17.</t>
  </si>
  <si>
    <t>(Versão 03) - Item cancelado, devido mudança de conceito, sai da categoria 3 (Serviços que não são de consultoria) e vai para categoria 1 (Obras). Alterado do item 3.17 para o item 1.1.</t>
  </si>
  <si>
    <t>Serviço de demolição e desratização de imoveis indenizados</t>
  </si>
  <si>
    <t>(Versão 03) - Este serviço estava contemplado no ítem 4.3, foi cancelado nesta versão, por se tratar de serviço comum e não especializado.</t>
  </si>
  <si>
    <t>(Versão 03) - Contrato continuo CT Nº. 05/2018 - R C V R de OLIVEIRA LTDA-EPP, uma vez que se trata de um contrato contínuo com possibilidade de prorrogação de vigência.  Entrará como contrapartida da PMB.</t>
  </si>
  <si>
    <t>(Versão 03) - Contrato continuo CT Nº. 05/2017 - R C V R de OLIVEIRA LTDA-EPP, uma vez que se trata de um contrato contínuo com possibilidade de prorrogação de vigência.  Entrará como contrapartida da PMB.</t>
  </si>
  <si>
    <t>(Versão 03) - Contrato continuo CT Nº. 06/2018 - GPM COMÉRCIO DE GÁS LTDA- ME, uma vez que se trata de um contrato contínuo com possibilidade de prorrogação de vigência.  Entrará como contrapartida da PMB.</t>
  </si>
  <si>
    <t>Supervisão das Obras de Macrodrenagem da Sub-bacia 2 - PAC (CONTRATO DE REPASSE 228.498-26)</t>
  </si>
  <si>
    <t>Serviços Topográficos - Levantamento Planialtimétricos e Cadastral de Áreas de 01 HA até 50 HÁ</t>
  </si>
  <si>
    <t xml:space="preserve">Item cancelado. O valor está contemplado no orçamento dos projetos. </t>
  </si>
  <si>
    <t>(Versão 03) Item cancelado. Esse serviço será realizado atráves do TCM e BID.</t>
  </si>
  <si>
    <t>Serviços de Supervisão e Elaboração de Projetos Executivos do Programa.</t>
  </si>
  <si>
    <t>Considerando o quantitativo reduzido de projetos executivos previstos para o PROMABEN II, é recomendável a junção dos serviços dos itens 4.1 e 4.2 (antigos 1.1 e 1.2 na versão 02 do PA),  com o objetivo de se realizar um único processo de seleção para contratação de empresa de consultoria que realize a supervisão das obras (H/Mês) e outra que elabore os projetos executivos (produto), em face ao princípio da economicidade na Administração Pública, garantindo a redução de gastos.</t>
  </si>
  <si>
    <r>
      <t xml:space="preserve">Seguindo orientações do BID na Missão de Supervisão, realizada em agosto.18, essa licitação foi desmembrada em: </t>
    </r>
    <r>
      <rPr>
        <b/>
        <sz val="12"/>
        <rFont val="Times New Roman"/>
        <family val="1"/>
      </rPr>
      <t>Item 4.25</t>
    </r>
    <r>
      <rPr>
        <sz val="12"/>
        <rFont val="Times New Roman"/>
        <family val="1"/>
      </rPr>
      <t xml:space="preserve"> - Supervisão de Obras das Sub Bacias 01 e 02;  </t>
    </r>
    <r>
      <rPr>
        <b/>
        <sz val="12"/>
        <rFont val="Times New Roman"/>
        <family val="1"/>
      </rPr>
      <t>Item 4.26</t>
    </r>
    <r>
      <rPr>
        <sz val="12"/>
        <rFont val="Times New Roman"/>
        <family val="1"/>
      </rPr>
      <t xml:space="preserve"> - Supervisão de Obras das Unidades Habitacionais e Comerciais; </t>
    </r>
    <r>
      <rPr>
        <b/>
        <sz val="12"/>
        <rFont val="Times New Roman"/>
        <family val="1"/>
      </rPr>
      <t>Item 4.2</t>
    </r>
    <r>
      <rPr>
        <sz val="12"/>
        <rFont val="Times New Roman"/>
        <family val="1"/>
      </rPr>
      <t xml:space="preserve"> - Elaboração de Projetos das Sub Bacias 01 e 02; e </t>
    </r>
    <r>
      <rPr>
        <b/>
        <sz val="12"/>
        <rFont val="Times New Roman"/>
        <family val="1"/>
      </rPr>
      <t>Item 4.13</t>
    </r>
    <r>
      <rPr>
        <sz val="12"/>
        <rFont val="Times New Roman"/>
        <family val="1"/>
      </rPr>
      <t xml:space="preserve"> -  Elaboração de Projetos das Unidades Habitacionais e Comerciais</t>
    </r>
  </si>
  <si>
    <t>Este item foi cancela e feito o desdobramento em pacotes memonores de contratação, referente aos itens do PEP 1.3.1,1.3.2, 1.3.3 e 1.3.4.</t>
  </si>
  <si>
    <t xml:space="preserve">Versão 03 - Item cancelado nesta versão, por se tratar de serviço comum e não especializado. Alterado do item 4.3 para o item 3.19. </t>
  </si>
  <si>
    <t>Esse item passou de revisão para elaboração contemplando: Revisão do Plano Municipal de Água e Esgoto + Elaboração Pl. Municipal de Limpeza Urbana e Manejo de Resíduos + Pl. Municipal de Drenagem Urbana e Águas Pluvais./ Reavaliação do escopo.</t>
  </si>
  <si>
    <t>Serviços de Consultoria para redefinição da estrutura organizacional</t>
  </si>
  <si>
    <r>
      <t xml:space="preserve">Essa contratação será feita </t>
    </r>
    <r>
      <rPr>
        <u/>
        <sz val="12"/>
        <rFont val="Times New Roman"/>
        <family val="1"/>
      </rPr>
      <t>em lotes</t>
    </r>
    <r>
      <rPr>
        <sz val="12"/>
        <rFont val="Times New Roman"/>
        <family val="1"/>
      </rPr>
      <t xml:space="preserve"> pois contemplará as seguintes Secretárias: SEGEP, SEMAD e AMAE.</t>
    </r>
  </si>
  <si>
    <t>Alteração do objeto: Redefinição da estrutura organizacional e quantitativo de pessoal (SEGEP/AMAE);</t>
  </si>
  <si>
    <t xml:space="preserve">Alteração do objeto: Incluído a estruturação organizacional da Escola de Gestão Municipal (SEMAD); </t>
  </si>
  <si>
    <t>(Versão 03) Alteração do objeto: Redefinição da estrutura organizacional e quantitativo de pessoal da SEGEP.</t>
  </si>
  <si>
    <t>Item incluido na consultoria item 4.9</t>
  </si>
  <si>
    <t>(Versão 03) - Item cancelado.</t>
  </si>
  <si>
    <t>Foram juntados a esta consultoria os itens 4.8 e 4.10, por tratarem de objetos de mesma natureza visando otimização de tempo e recursos financeiros.</t>
  </si>
  <si>
    <t>Contratação de empresa especializada para executar o projeto social do programa</t>
  </si>
  <si>
    <t>1-Redação alterada.</t>
  </si>
  <si>
    <t>2 - Foram juntados a este item os itens 3.2 e 3.3, por tratarem de objetos de mesma natureza visando otimização de tempo e recursos financeiros.</t>
  </si>
  <si>
    <t>(Versão 03) - Ítem cancelado. Passou para o item 4.23.</t>
  </si>
  <si>
    <t>Elaboração de Projetos Complementares do Habitacional Adicional e Projetos Executivos do Centro Comercial</t>
  </si>
  <si>
    <t>Seguindo orientações do BID na Missão de Supervisão, realizada em agosto.18, a contratação será realizada separadamente. Em lotes.</t>
  </si>
  <si>
    <t>Elaboração do Manual de Contabilidade Regulatória</t>
  </si>
  <si>
    <t xml:space="preserve">(Versão 03) - Ítem cancelado. </t>
  </si>
  <si>
    <t>(Versão 02) Item novo incluído nesta versão. Consultoria incluída para apoio a elaboração e execução de serviços técnicos especializados.</t>
  </si>
  <si>
    <t>Item alterado. Incluído mão-de-obra (Anteriromente era o item 3.1)</t>
  </si>
  <si>
    <t>(Versão 03) - Ítem cancelado. Passou para o item 4.21.</t>
  </si>
  <si>
    <t>(Versão 03) Foi reavaliada a modalidade licitatória pela UCP. Anteriromente era o item 5.2.</t>
  </si>
  <si>
    <t>Prestação de Serviço Especializado para Execução do Projeto social do Programa (PPC, PCS e EGP) e o Programa de Educação Ambiental e Sanitária (PEAS) - Sub-bacias 1 e 2.</t>
  </si>
  <si>
    <t>(Versão 03) - Foi feita a junção dos itens 4.11 e 4.17, para única contratação. Essa contratação será feita em lotes.</t>
  </si>
  <si>
    <t>(Versão 03) - Essa contratação será realizada atráves de consultoria firmas, em razão da natureza do objeto exigir um conhecimento multidisciplinar o que afasta a possibilidade de sua realização por apenas 01 (um) profissional como é o caso da consultoria individual.</t>
  </si>
  <si>
    <t>(Versão 03) - Programado para realização em 2018, devido a programção das obras do habitacional, enquanto os demais EIV's serão realizados em 2019.</t>
  </si>
  <si>
    <t>(Versão 03) - Essa contratação será realizada atráves de consultoria firmas por ser de natureza multidisciplinar. Anteriormente era o item 5.3</t>
  </si>
  <si>
    <t>Anteriormente era o item 4.2 - Serviços de Supervisão e Elaboração de Projetos Executivos do Programa. Seguindo orientações do BID na Missão de Supervisão, realizada em agosto.18, essa serviço foi desmembrado, passando a ser o item 4.25.</t>
  </si>
  <si>
    <t>Supervisão de Obras do Habitacional Adicional e das Unidades Comerciais</t>
  </si>
  <si>
    <t>Anteriormente era o item 4.2 - Serviços de Supervisão e Elaboração de Projetos Executivos do Programa. Seguindo orientações do BID na Missão de Supervisão, realizada em agosto.18, essa serviço foi desmembrado, passando a ser o item 4.26.</t>
  </si>
  <si>
    <t>Estudos de concepção da Sub-bacia 1 e Sub-bacia 2</t>
  </si>
  <si>
    <t>Elaboração os projetos executivos das sub-bacias 1 e 2.</t>
  </si>
  <si>
    <t>4.47</t>
  </si>
  <si>
    <t>Consultoria Individual para Apoio no Planejamento Estratégico e Gestão do Programa - PROMABEN II</t>
  </si>
  <si>
    <t>(Versão 03) Item cancelado. Essa contratação será realizada atráves de consultoria firmas por ser de natureza multidisciplinar. Passou para o item 4.19</t>
  </si>
  <si>
    <t>(Versão 03) - Item cancelado. Essa contratação será realizada atráves de consultoria firmas por ser de natureza multidisciplinar. Passou para o item 4.28</t>
  </si>
  <si>
    <t>Consultoria para o desenvolvimento organizacional, definição de políticas e gestão dos serviços de saneamento básico da lei 11.445/2007</t>
  </si>
  <si>
    <t>Redefinição da estrutura organizacional, revisão dos processos, procedimentos e políticas voltadas a melhores práticas, planejamento estratégico e diagnostico e prognostico para implantação de novas tecnologias (SESAN);</t>
  </si>
  <si>
    <t>(Versão 03) - Essa contratação será realizada atráves de consultoria firmas por ser de natureza multidisciplinar.</t>
  </si>
  <si>
    <t>Consultoria em Planejamento (PMO - Project Management Office)</t>
  </si>
  <si>
    <t xml:space="preserve">Contração de consultor para implementação de ferramentas para melhorias nos processos de comunicação, relatórios de avanço e controles de metas. </t>
  </si>
  <si>
    <t>Capacitação e treinamento para 20 servidores municipais em apoio a gestão de projetos, promovidos pela Escola de Gestão Municipal.</t>
  </si>
  <si>
    <t>Contempla 20 (vinte) gestores municipais. / 2 - Fortalecimento dos órgãos partícipes SEGEP, SEMAD e UCP.</t>
  </si>
  <si>
    <t xml:space="preserve">(Versão 02) - Processo suspenso, devido o tempo da aquisição ser superior ao período do PA que é de 18 meses. </t>
  </si>
  <si>
    <t>Na versão 3 o período foi modificado para 1º trimestre de 2019.</t>
  </si>
  <si>
    <t>Cursos de Capacitação e Treinamento para Gestores em Saneamento Básico.</t>
  </si>
  <si>
    <t>Cursos de Capacitação e Treinamento para Gestores em Saneamento Básico, abordando temas constantes nos Planos Municipais revisados de: Água e Esgoto;  Limpeza Urbana e Manejo de Resíduos e Drenagem Urbana e Águas Pluvais, para servidores da SESAN</t>
  </si>
  <si>
    <t xml:space="preserve">O Anexo do Decreto nº 3.784/2001 preve no seu item 37 que os serviços de capacitação e treinamento de pessoal são comuns. / 3 - Aquisição pelo Pregão Eletrônico será feita pelo sistema Comprasnet. </t>
  </si>
  <si>
    <t xml:space="preserve">Aquisição pelo Pregão Eletrônico será feita pelo sistema Comprasnet. </t>
  </si>
  <si>
    <t>Redação alterada. Curso de Capacitação UCP</t>
  </si>
  <si>
    <t>Curso de Capacitação para desempenho das atividades regulatórias nas 4 áreas de saneamento básico.</t>
  </si>
  <si>
    <t>Curso de Capacitação para desempenho das atividades regulatórias nas 4 áreas de saneamento básico: Abastecimento de água potavel; Esgotamento Sanitário; Drenagem Urbana; e Manejo de Resíduos Sólidos Urbanos (Coleta e disposição final de lixo urbano)</t>
  </si>
  <si>
    <t xml:space="preserve">Aquisição pelo Pregão Eletrônico será feita pelo sistema Comprasnet.  </t>
  </si>
  <si>
    <t>Firmar Convênio - CODEM x UCP</t>
  </si>
  <si>
    <t>Esse Convênio refere-se a REGULARIZAÇÃO FUNDIÁRIA do remanescente PROMABEN I.</t>
  </si>
  <si>
    <t>Firmar Convênio - CINBESA x UCP</t>
  </si>
  <si>
    <t>Esse Convênio refere-se ao desenvolvimento, instalação e manutenção do Sistema de Gestão Ambiental - SGA (Obras).</t>
  </si>
  <si>
    <t>Cujo custo está distribuido nos itens 2.1, 2.2 e 2.15. Valor Previsto: US$ 285.533,79</t>
  </si>
  <si>
    <t>Esse Convênio refere-se:  (i) elaboração dos estudos de impacto em corpo receptor  com definição do nível de tratamento da ETE; (ii) elaboração do TDR para a contratação da ETE; (iii) apoiar a UCP nas atividades necessárias junto aos consultores contratados e  órgãos licenciadores do projeto; (iv) fortalecer através de curso as ações de educação ambiental na técnica de reuso; (v) apoio a introdução de tecnologias voltadas a adaptção ao câmbio climático nas obras e ações do programa (NEXUS)</t>
  </si>
  <si>
    <t>Item alterado. Foi feita a junção dos serviços dos itens 7.3 e 7.4 (Serviço de Consultoria para o Monitoramento, Planejamento e Avaliação dos Indicadores da Matriz de Resultados), para única contratação.</t>
  </si>
  <si>
    <t>(Versão 02) - Foi feita a junção do serviço no item 7.3, para única contratação.
Retirado o item 1.1.18 do PEP</t>
  </si>
  <si>
    <t>Firmar Instrumento Jurídico com a CODEM para regularização fundiária - Urbanização - Sub-bacia 2</t>
  </si>
  <si>
    <t>Desenvolvimento e implantação do Sistema Integrado de Gestão Fundiária - SIGEF.</t>
  </si>
  <si>
    <t>Cujo custo está distribuido no item 4.4. Valor Previsto: US$ 600.000,00</t>
  </si>
  <si>
    <t xml:space="preserve">Firmar convênio - SEMAD x UCP  </t>
  </si>
  <si>
    <t>Para realização de ações de melhoria de Recursos Humanos através de equipamentos e treinamentos</t>
  </si>
  <si>
    <t>Cujo custo está distribuido parcialmente nos itens 6.5 e 6.6, os demais itens não estão previstos para os primeiros 18 meses do Projeto.. Valor Previsto: US$ 412.000,00</t>
  </si>
  <si>
    <t xml:space="preserve">Firmar convênio - SESMA x UCP  </t>
  </si>
  <si>
    <t>Programa de apoio para realização de ações de controle das enfermidades tropicais negligenciadas.</t>
  </si>
  <si>
    <t>Cujo custo está distribuido parcialmente nos itens 1.10 e 2.12, os demais itens não estão previstos para os primeiros 18 meses do Projeto.. Valor Previsto: US$ 1.544.848,58</t>
  </si>
  <si>
    <t xml:space="preserve">Firmar convênio - SEGEP x UCP  </t>
  </si>
  <si>
    <t>Para a redefinição de sua estrutura organizacional e funcional para a implementação do SIPLAG, com base nas diretrizes e objetivos do Plano Diretor; Desenvolvimento do SIB e aquisição de software e hardaware e estruturação da infraestrutura de suporte da tecnologia da informação e capacitação de servidores</t>
  </si>
  <si>
    <t>Cujo custo está distribuido parcialmente nos itens 4.20, 5.9 e 6.1, os demais itens não estão previstos para os primeiros 18 meses do Projeto.. Valor Previsto: US$ 2.074.904,41</t>
  </si>
  <si>
    <t xml:space="preserve">Firmar convênio - AMAE/BELÉM x UCP  </t>
  </si>
  <si>
    <t xml:space="preserve">Para realização de capacitação de seus servidores nas atividades de sua competência e consultoria da área de atuação </t>
  </si>
  <si>
    <t>Cujo custo está distribuido nos itens 3.19, 4.14, 5.6, 5.7, 5.8 e 6.4. Valor Previsto: US$ 187.633,12</t>
  </si>
  <si>
    <t xml:space="preserve">Firmar convênio - SEMMA x UCP  </t>
  </si>
  <si>
    <t>Programa apoio para a melhoria da gestão ambiental do Município de Belém.</t>
  </si>
  <si>
    <t>Cujo custo está distribuido parcialmente nos itens 2.13, 6.5 e 6.6, os demais itens não estão previstos para os primeiros 18 meses do Projeto. Valor Previsto: US$ 93.454,25</t>
  </si>
  <si>
    <t xml:space="preserve">Firmar convênio - SESAN x UCP  </t>
  </si>
  <si>
    <t>Programa apoio para realização de ações de reestrutura organizacional, definição de políticas e gestão dos serviços de saneamento básico, equipamentos e capacitação</t>
  </si>
  <si>
    <t>Cujo custo está distribuido parcialmente nos itens 4.5, 4.18, 4.19, 4.23, 5.3, 5.5 e 6.2, os demais itens não estão previstos para os primeiros 18 meses do Projeto. Valor Previsto: US$ 5.424.085,15</t>
  </si>
  <si>
    <t>Indenizações</t>
  </si>
  <si>
    <t>Inclusão de item: Indenizações de imóveis nas sub-bacia 1; sub-bacia 2 e auxilio moradia</t>
  </si>
  <si>
    <t>GRÁFICO DO PLANO DE AQUISIÇÕES (PA) - 18 meses</t>
  </si>
  <si>
    <t>DESCRIÇÃO</t>
  </si>
  <si>
    <t>VALOR BID U$</t>
  </si>
  <si>
    <t>VALOR APORTE U$</t>
  </si>
  <si>
    <t>VALOR TOTAL U$</t>
  </si>
  <si>
    <t>TOTAL</t>
  </si>
  <si>
    <t>% BID</t>
  </si>
  <si>
    <t>% APORTE</t>
  </si>
  <si>
    <t>% TOTAL</t>
  </si>
  <si>
    <t>SN</t>
  </si>
  <si>
    <t xml:space="preserve">Elaboração do estudos ambientais,  EIV (estudo de impacto de vizinhança) e PCA (Plano de Controle Ambiental) para a emissão de Licença Ambiental das Unidades Habitacionais, Unidades Comerciais e Área Miolo do Bairro do Jurunas.Jurunas. </t>
  </si>
  <si>
    <t>1.3.8 / 1.3.9</t>
  </si>
  <si>
    <t>5.12</t>
  </si>
  <si>
    <t xml:space="preserve">Serviços Técnicos especializados para elaboração dos projetos Básicos e Executivos da rede coletora de esgoto, estações elevatórias e linhas de recalque da área denominada Miolo do Bairro do Jurunas, na Sub-Bacia 2 </t>
  </si>
  <si>
    <t xml:space="preserve">Serviços Técnicos especializados para elaboração dos projetos Básicos e Executivos da rede coletora de esgoto e linhas de recalque da área denominada Miolo do Bairro do Jurunas, na Sub-Bacia 2 da Bacia Hidrográfica da Estrada Nova. </t>
  </si>
  <si>
    <t>Atualizado em: 18/01/19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</si>
</sst>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USD]\ #,##0.00"/>
    <numFmt numFmtId="165" formatCode="_(&quot;R$ &quot;* #,##0.00_);_(&quot;R$ &quot;* \(#,##0.00\);_(&quot;R$ &quot;* &quot;-&quot;??_);_(@_)"/>
    <numFmt numFmtId="166" formatCode="dd/mm/yy;@"/>
    <numFmt numFmtId="167" formatCode="_-* #,##0_-;\-* #,##0_-;_-* &quot;-&quot;??_-;_-@_-"/>
    <numFmt numFmtId="168" formatCode="[$-416]mmm\-yyyy;@"/>
    <numFmt numFmtId="169" formatCode="_-[$$-409]* #,##0_ ;_-[$$-409]* \-#,##0\ ;_-[$$-409]* &quot;-&quot;??_ ;_-@_ "/>
    <numFmt numFmtId="170" formatCode="[$USD]\ #,##0"/>
  </numFmts>
  <fonts count="9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u/>
      <sz val="10"/>
      <color indexed="8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1"/>
      <name val="Times New Roman"/>
      <family val="1"/>
    </font>
    <font>
      <b/>
      <sz val="13"/>
      <color indexed="9"/>
      <name val="Times New Roman"/>
      <family val="1"/>
    </font>
    <font>
      <b/>
      <sz val="13"/>
      <color rgb="FF000000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9"/>
      <color indexed="9"/>
      <name val="Times New Roman"/>
      <family val="1"/>
    </font>
    <font>
      <strike/>
      <sz val="12"/>
      <color theme="5"/>
      <name val="Times New Roman"/>
      <family val="1"/>
    </font>
    <font>
      <b/>
      <strike/>
      <sz val="12"/>
      <name val="Times New Roman"/>
      <family val="1"/>
    </font>
    <font>
      <b/>
      <sz val="11"/>
      <color rgb="FFFF0000"/>
      <name val="Times New Roman"/>
      <family val="1"/>
    </font>
    <font>
      <b/>
      <strike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 tint="0.499984740745262"/>
      </left>
      <right style="medium">
        <color theme="0" tint="-0.2499465926084170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9" fontId="49" fillId="0" borderId="0" applyFont="0" applyFill="0" applyBorder="0" applyAlignment="0" applyProtection="0"/>
  </cellStyleXfs>
  <cellXfs count="712">
    <xf numFmtId="0" fontId="0" fillId="0" borderId="0" xfId="0"/>
    <xf numFmtId="0" fontId="2" fillId="0" borderId="0" xfId="38"/>
    <xf numFmtId="0" fontId="0" fillId="0" borderId="0" xfId="0"/>
    <xf numFmtId="0" fontId="22" fillId="0" borderId="13" xfId="1" quotePrefix="1" applyFont="1" applyBorder="1" applyAlignment="1" applyProtection="1"/>
    <xf numFmtId="0" fontId="1" fillId="0" borderId="0" xfId="1"/>
    <xf numFmtId="0" fontId="29" fillId="24" borderId="10" xfId="1" applyFont="1" applyFill="1" applyBorder="1" applyAlignment="1">
      <alignment horizontal="center" vertical="center"/>
    </xf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 wrapText="1"/>
    </xf>
    <xf numFmtId="0" fontId="30" fillId="24" borderId="17" xfId="1" applyFont="1" applyFill="1" applyBorder="1" applyAlignment="1">
      <alignment horizontal="center" vertical="center"/>
    </xf>
    <xf numFmtId="0" fontId="30" fillId="24" borderId="18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3" xfId="1" applyFont="1" applyFill="1" applyBorder="1" applyAlignment="1">
      <alignment horizontal="center" vertical="center" wrapText="1"/>
    </xf>
    <xf numFmtId="0" fontId="22" fillId="0" borderId="13" xfId="1" applyFont="1" applyBorder="1" applyAlignment="1" applyProtection="1"/>
    <xf numFmtId="4" fontId="0" fillId="0" borderId="0" xfId="0" applyNumberFormat="1"/>
    <xf numFmtId="10" fontId="0" fillId="0" borderId="0" xfId="0" applyNumberFormat="1"/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24" fillId="27" borderId="27" xfId="38" applyFont="1" applyFill="1" applyBorder="1" applyAlignment="1">
      <alignment horizontal="left" vertical="center" wrapText="1"/>
    </xf>
    <xf numFmtId="0" fontId="24" fillId="27" borderId="21" xfId="38" applyFont="1" applyFill="1" applyBorder="1" applyAlignment="1">
      <alignment horizontal="left" vertical="center" wrapText="1"/>
    </xf>
    <xf numFmtId="0" fontId="22" fillId="0" borderId="12" xfId="1" applyFont="1" applyFill="1" applyBorder="1" applyAlignment="1">
      <alignment vertical="center" wrapText="1"/>
    </xf>
    <xf numFmtId="0" fontId="22" fillId="0" borderId="25" xfId="1" applyFont="1" applyFill="1" applyBorder="1" applyAlignment="1">
      <alignment vertical="center" wrapText="1"/>
    </xf>
    <xf numFmtId="0" fontId="0" fillId="0" borderId="0" xfId="0" applyFill="1"/>
    <xf numFmtId="0" fontId="24" fillId="27" borderId="22" xfId="38" applyFont="1" applyFill="1" applyBorder="1" applyAlignment="1">
      <alignment horizontal="left" vertical="center" wrapText="1"/>
    </xf>
    <xf numFmtId="0" fontId="24" fillId="0" borderId="0" xfId="38" applyFont="1" applyFill="1" applyBorder="1" applyAlignment="1">
      <alignment horizontal="left" vertical="center" wrapText="1"/>
    </xf>
    <xf numFmtId="0" fontId="24" fillId="0" borderId="16" xfId="38" applyFont="1" applyFill="1" applyBorder="1" applyAlignment="1">
      <alignment horizontal="left" vertical="center" wrapText="1"/>
    </xf>
    <xf numFmtId="0" fontId="42" fillId="0" borderId="0" xfId="0" applyFont="1"/>
    <xf numFmtId="0" fontId="40" fillId="27" borderId="26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0" fontId="42" fillId="0" borderId="29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2" fillId="0" borderId="0" xfId="1" applyFont="1" applyFill="1" applyBorder="1" applyAlignment="1">
      <alignment vertical="center" wrapText="1"/>
    </xf>
    <xf numFmtId="0" fontId="48" fillId="0" borderId="0" xfId="0" applyFont="1"/>
    <xf numFmtId="0" fontId="24" fillId="27" borderId="0" xfId="38" applyFont="1" applyFill="1" applyBorder="1" applyAlignment="1">
      <alignment horizontal="left" vertical="center" wrapText="1"/>
    </xf>
    <xf numFmtId="0" fontId="50" fillId="0" borderId="0" xfId="0" applyFont="1"/>
    <xf numFmtId="0" fontId="39" fillId="28" borderId="0" xfId="0" applyFont="1" applyFill="1" applyAlignment="1">
      <alignment horizontal="justify" vertical="center"/>
    </xf>
    <xf numFmtId="0" fontId="0" fillId="28" borderId="0" xfId="0" applyFill="1"/>
    <xf numFmtId="0" fontId="37" fillId="28" borderId="0" xfId="0" applyFont="1" applyFill="1" applyAlignment="1">
      <alignment horizontal="left" vertical="center"/>
    </xf>
    <xf numFmtId="0" fontId="22" fillId="0" borderId="13" xfId="1" applyFont="1" applyBorder="1" applyAlignment="1" applyProtection="1">
      <alignment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55" fillId="0" borderId="0" xfId="0" applyFont="1"/>
    <xf numFmtId="0" fontId="47" fillId="0" borderId="0" xfId="1" applyFont="1" applyFill="1" applyBorder="1" applyAlignment="1">
      <alignment vertical="center" wrapText="1"/>
    </xf>
    <xf numFmtId="0" fontId="47" fillId="0" borderId="0" xfId="0" applyFont="1" applyBorder="1"/>
    <xf numFmtId="0" fontId="44" fillId="0" borderId="0" xfId="0" applyFont="1" applyFill="1" applyBorder="1" applyAlignment="1">
      <alignment horizontal="center"/>
    </xf>
    <xf numFmtId="4" fontId="24" fillId="24" borderId="32" xfId="38" applyNumberFormat="1" applyFont="1" applyFill="1" applyBorder="1" applyAlignment="1">
      <alignment horizontal="center" vertical="center" wrapText="1"/>
    </xf>
    <xf numFmtId="0" fontId="23" fillId="24" borderId="19" xfId="38" applyFont="1" applyFill="1" applyBorder="1" applyAlignment="1">
      <alignment vertical="center" wrapText="1"/>
    </xf>
    <xf numFmtId="0" fontId="23" fillId="24" borderId="38" xfId="38" applyFont="1" applyFill="1" applyBorder="1" applyAlignment="1">
      <alignment vertical="center" wrapText="1"/>
    </xf>
    <xf numFmtId="0" fontId="23" fillId="24" borderId="20" xfId="38" applyFont="1" applyFill="1" applyBorder="1" applyAlignment="1">
      <alignment vertical="center" wrapText="1"/>
    </xf>
    <xf numFmtId="0" fontId="23" fillId="24" borderId="19" xfId="38" applyFont="1" applyFill="1" applyBorder="1" applyAlignment="1">
      <alignment vertical="center"/>
    </xf>
    <xf numFmtId="10" fontId="24" fillId="32" borderId="32" xfId="38" applyNumberFormat="1" applyFont="1" applyFill="1" applyBorder="1" applyAlignment="1">
      <alignment horizontal="center" vertical="center" wrapText="1"/>
    </xf>
    <xf numFmtId="0" fontId="56" fillId="32" borderId="20" xfId="38" applyFont="1" applyFill="1" applyBorder="1" applyAlignment="1">
      <alignment horizontal="right" vertical="center"/>
    </xf>
    <xf numFmtId="4" fontId="56" fillId="32" borderId="32" xfId="38" applyNumberFormat="1" applyFont="1" applyFill="1" applyBorder="1" applyAlignment="1">
      <alignment vertical="center" wrapText="1"/>
    </xf>
    <xf numFmtId="0" fontId="56" fillId="32" borderId="38" xfId="38" applyFont="1" applyFill="1" applyBorder="1" applyAlignment="1">
      <alignment vertical="center" wrapText="1"/>
    </xf>
    <xf numFmtId="0" fontId="22" fillId="0" borderId="40" xfId="38" applyFont="1" applyFill="1" applyBorder="1" applyAlignment="1">
      <alignment vertical="center" wrapText="1"/>
    </xf>
    <xf numFmtId="0" fontId="22" fillId="0" borderId="43" xfId="38" applyFont="1" applyFill="1" applyBorder="1" applyAlignment="1">
      <alignment vertical="center" wrapText="1"/>
    </xf>
    <xf numFmtId="3" fontId="22" fillId="0" borderId="43" xfId="38" applyNumberFormat="1" applyFont="1" applyFill="1" applyBorder="1" applyAlignment="1">
      <alignment vertical="center" wrapText="1"/>
    </xf>
    <xf numFmtId="9" fontId="22" fillId="0" borderId="43" xfId="38" applyNumberFormat="1" applyFont="1" applyFill="1" applyBorder="1" applyAlignment="1">
      <alignment vertical="center" wrapText="1"/>
    </xf>
    <xf numFmtId="0" fontId="22" fillId="0" borderId="44" xfId="38" applyFont="1" applyFill="1" applyBorder="1" applyAlignment="1">
      <alignment vertical="center" wrapText="1"/>
    </xf>
    <xf numFmtId="0" fontId="22" fillId="0" borderId="46" xfId="38" applyFont="1" applyFill="1" applyBorder="1" applyAlignment="1">
      <alignment vertical="center" wrapText="1"/>
    </xf>
    <xf numFmtId="3" fontId="22" fillId="0" borderId="46" xfId="38" applyNumberFormat="1" applyFont="1" applyFill="1" applyBorder="1" applyAlignment="1">
      <alignment vertical="center" wrapText="1"/>
    </xf>
    <xf numFmtId="9" fontId="22" fillId="0" borderId="46" xfId="38" applyNumberFormat="1" applyFont="1" applyFill="1" applyBorder="1" applyAlignment="1">
      <alignment vertical="center" wrapText="1"/>
    </xf>
    <xf numFmtId="0" fontId="22" fillId="0" borderId="47" xfId="38" applyFont="1" applyFill="1" applyBorder="1" applyAlignment="1">
      <alignment vertical="center" wrapText="1"/>
    </xf>
    <xf numFmtId="0" fontId="22" fillId="0" borderId="41" xfId="38" applyFont="1" applyFill="1" applyBorder="1" applyAlignment="1">
      <alignment vertical="center" wrapText="1"/>
    </xf>
    <xf numFmtId="0" fontId="22" fillId="0" borderId="40" xfId="38" applyFont="1" applyFill="1" applyBorder="1" applyAlignment="1">
      <alignment horizontal="center" vertical="center" wrapText="1"/>
    </xf>
    <xf numFmtId="0" fontId="44" fillId="0" borderId="0" xfId="0" applyFont="1"/>
    <xf numFmtId="0" fontId="56" fillId="32" borderId="19" xfId="38" applyFont="1" applyFill="1" applyBorder="1" applyAlignment="1">
      <alignment vertical="center" wrapText="1"/>
    </xf>
    <xf numFmtId="10" fontId="56" fillId="32" borderId="37" xfId="38" applyNumberFormat="1" applyFont="1" applyFill="1" applyBorder="1" applyAlignment="1">
      <alignment vertical="center" wrapText="1"/>
    </xf>
    <xf numFmtId="9" fontId="56" fillId="32" borderId="38" xfId="38" applyNumberFormat="1" applyFont="1" applyFill="1" applyBorder="1" applyAlignment="1">
      <alignment vertical="center" wrapText="1"/>
    </xf>
    <xf numFmtId="0" fontId="56" fillId="32" borderId="20" xfId="38" applyFont="1" applyFill="1" applyBorder="1" applyAlignment="1">
      <alignment vertical="center" wrapText="1"/>
    </xf>
    <xf numFmtId="0" fontId="56" fillId="32" borderId="38" xfId="38" applyFont="1" applyFill="1" applyBorder="1" applyAlignment="1">
      <alignment horizontal="right" vertical="center"/>
    </xf>
    <xf numFmtId="0" fontId="23" fillId="24" borderId="38" xfId="38" applyFont="1" applyFill="1" applyBorder="1" applyAlignment="1">
      <alignment vertical="center"/>
    </xf>
    <xf numFmtId="0" fontId="23" fillId="24" borderId="20" xfId="38" applyFont="1" applyFill="1" applyBorder="1" applyAlignment="1">
      <alignment vertical="center"/>
    </xf>
    <xf numFmtId="0" fontId="22" fillId="0" borderId="49" xfId="38" applyFont="1" applyFill="1" applyBorder="1" applyAlignment="1">
      <alignment vertical="center" wrapText="1"/>
    </xf>
    <xf numFmtId="0" fontId="22" fillId="0" borderId="50" xfId="38" applyFont="1" applyFill="1" applyBorder="1" applyAlignment="1">
      <alignment vertical="center" wrapText="1"/>
    </xf>
    <xf numFmtId="9" fontId="56" fillId="32" borderId="24" xfId="38" applyNumberFormat="1" applyFont="1" applyFill="1" applyBorder="1" applyAlignment="1">
      <alignment vertical="center" wrapText="1"/>
    </xf>
    <xf numFmtId="0" fontId="22" fillId="0" borderId="51" xfId="38" applyFont="1" applyFill="1" applyBorder="1" applyAlignment="1">
      <alignment vertical="center" wrapText="1"/>
    </xf>
    <xf numFmtId="0" fontId="22" fillId="0" borderId="52" xfId="38" applyFont="1" applyFill="1" applyBorder="1" applyAlignment="1">
      <alignment vertical="center" wrapText="1"/>
    </xf>
    <xf numFmtId="0" fontId="22" fillId="0" borderId="53" xfId="38" applyFont="1" applyFill="1" applyBorder="1" applyAlignment="1">
      <alignment vertical="center" wrapText="1"/>
    </xf>
    <xf numFmtId="0" fontId="22" fillId="0" borderId="54" xfId="38" applyFont="1" applyFill="1" applyBorder="1" applyAlignment="1">
      <alignment vertical="center" wrapText="1"/>
    </xf>
    <xf numFmtId="0" fontId="22" fillId="0" borderId="55" xfId="38" applyFont="1" applyFill="1" applyBorder="1" applyAlignment="1">
      <alignment vertical="center" wrapText="1"/>
    </xf>
    <xf numFmtId="0" fontId="22" fillId="0" borderId="56" xfId="38" applyFont="1" applyFill="1" applyBorder="1" applyAlignment="1">
      <alignment vertical="center" wrapText="1"/>
    </xf>
    <xf numFmtId="0" fontId="56" fillId="32" borderId="24" xfId="38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4" fillId="30" borderId="19" xfId="0" applyFont="1" applyFill="1" applyBorder="1"/>
    <xf numFmtId="0" fontId="44" fillId="30" borderId="38" xfId="0" applyFont="1" applyFill="1" applyBorder="1"/>
    <xf numFmtId="0" fontId="44" fillId="30" borderId="20" xfId="0" applyFont="1" applyFill="1" applyBorder="1" applyAlignment="1">
      <alignment horizontal="center"/>
    </xf>
    <xf numFmtId="10" fontId="44" fillId="30" borderId="19" xfId="0" applyNumberFormat="1" applyFont="1" applyFill="1" applyBorder="1"/>
    <xf numFmtId="10" fontId="44" fillId="30" borderId="38" xfId="0" applyNumberFormat="1" applyFont="1" applyFill="1" applyBorder="1"/>
    <xf numFmtId="0" fontId="44" fillId="30" borderId="2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22" fillId="0" borderId="39" xfId="38" applyFont="1" applyFill="1" applyBorder="1" applyAlignment="1">
      <alignment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22" fillId="0" borderId="42" xfId="38" applyFont="1" applyFill="1" applyBorder="1" applyAlignment="1">
      <alignment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22" fillId="0" borderId="45" xfId="38" applyFont="1" applyFill="1" applyBorder="1" applyAlignment="1">
      <alignment vertical="center" wrapText="1"/>
    </xf>
    <xf numFmtId="0" fontId="51" fillId="0" borderId="43" xfId="0" applyFont="1" applyFill="1" applyBorder="1" applyAlignment="1">
      <alignment vertical="center" wrapText="1"/>
    </xf>
    <xf numFmtId="0" fontId="42" fillId="0" borderId="43" xfId="0" applyFont="1" applyFill="1" applyBorder="1" applyAlignment="1">
      <alignment vertical="center" wrapText="1"/>
    </xf>
    <xf numFmtId="0" fontId="42" fillId="0" borderId="43" xfId="0" applyFont="1" applyFill="1" applyBorder="1" applyAlignment="1">
      <alignment horizontal="center" vertical="center" wrapText="1"/>
    </xf>
    <xf numFmtId="3" fontId="22" fillId="0" borderId="40" xfId="38" applyNumberFormat="1" applyFont="1" applyFill="1" applyBorder="1" applyAlignment="1">
      <alignment vertical="center" wrapText="1"/>
    </xf>
    <xf numFmtId="9" fontId="22" fillId="0" borderId="40" xfId="38" applyNumberFormat="1" applyFont="1" applyFill="1" applyBorder="1" applyAlignment="1">
      <alignment vertical="center" wrapText="1"/>
    </xf>
    <xf numFmtId="0" fontId="22" fillId="0" borderId="48" xfId="38" applyFont="1" applyFill="1" applyBorder="1" applyAlignment="1">
      <alignment vertical="center" wrapText="1"/>
    </xf>
    <xf numFmtId="0" fontId="51" fillId="0" borderId="49" xfId="0" applyFont="1" applyFill="1" applyBorder="1" applyAlignment="1">
      <alignment vertical="center" wrapText="1"/>
    </xf>
    <xf numFmtId="9" fontId="22" fillId="0" borderId="49" xfId="38" applyNumberFormat="1" applyFont="1" applyFill="1" applyBorder="1" applyAlignment="1">
      <alignment vertical="center" wrapText="1"/>
    </xf>
    <xf numFmtId="0" fontId="22" fillId="0" borderId="49" xfId="38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left" vertical="center" wrapText="1"/>
    </xf>
    <xf numFmtId="4" fontId="51" fillId="0" borderId="43" xfId="0" applyNumberFormat="1" applyFont="1" applyFill="1" applyBorder="1" applyAlignment="1">
      <alignment horizontal="center" vertical="center" wrapText="1"/>
    </xf>
    <xf numFmtId="4" fontId="51" fillId="0" borderId="4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43" fontId="22" fillId="0" borderId="43" xfId="44" applyFont="1" applyFill="1" applyBorder="1" applyAlignment="1">
      <alignment vertical="center" wrapText="1"/>
    </xf>
    <xf numFmtId="0" fontId="22" fillId="0" borderId="40" xfId="38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2" fillId="0" borderId="43" xfId="0" applyFont="1" applyFill="1" applyBorder="1"/>
    <xf numFmtId="166" fontId="22" fillId="0" borderId="43" xfId="38" applyNumberFormat="1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2" fillId="0" borderId="0" xfId="38" applyFont="1" applyAlignment="1">
      <alignment horizontal="center" vertical="center"/>
    </xf>
    <xf numFmtId="14" fontId="22" fillId="0" borderId="0" xfId="38" applyNumberFormat="1" applyFont="1" applyFill="1" applyAlignment="1">
      <alignment horizontal="center" vertical="center"/>
    </xf>
    <xf numFmtId="166" fontId="22" fillId="0" borderId="60" xfId="38" applyNumberFormat="1" applyFont="1" applyFill="1" applyBorder="1" applyAlignment="1">
      <alignment horizontal="center" vertical="center" wrapText="1"/>
    </xf>
    <xf numFmtId="166" fontId="22" fillId="0" borderId="59" xfId="38" applyNumberFormat="1" applyFont="1" applyFill="1" applyBorder="1" applyAlignment="1">
      <alignment horizontal="center" vertical="center" wrapText="1"/>
    </xf>
    <xf numFmtId="9" fontId="22" fillId="0" borderId="43" xfId="38" applyNumberFormat="1" applyFont="1" applyFill="1" applyBorder="1" applyAlignment="1">
      <alignment horizontal="right" vertical="center" wrapText="1"/>
    </xf>
    <xf numFmtId="0" fontId="2" fillId="0" borderId="0" xfId="38" applyAlignment="1">
      <alignment horizontal="center" vertical="center"/>
    </xf>
    <xf numFmtId="0" fontId="22" fillId="0" borderId="44" xfId="38" applyFont="1" applyFill="1" applyBorder="1" applyAlignment="1">
      <alignment horizontal="left" vertical="center" wrapText="1"/>
    </xf>
    <xf numFmtId="0" fontId="22" fillId="0" borderId="41" xfId="38" applyFont="1" applyFill="1" applyBorder="1" applyAlignment="1">
      <alignment horizontal="left" vertical="center" wrapText="1"/>
    </xf>
    <xf numFmtId="167" fontId="54" fillId="30" borderId="32" xfId="0" applyNumberFormat="1" applyFont="1" applyFill="1" applyBorder="1"/>
    <xf numFmtId="167" fontId="56" fillId="32" borderId="25" xfId="38" applyNumberFormat="1" applyFont="1" applyFill="1" applyBorder="1" applyAlignment="1">
      <alignment vertical="center" wrapText="1"/>
    </xf>
    <xf numFmtId="167" fontId="56" fillId="32" borderId="32" xfId="38" applyNumberFormat="1" applyFont="1" applyFill="1" applyBorder="1" applyAlignment="1">
      <alignment vertical="center" wrapText="1"/>
    </xf>
    <xf numFmtId="167" fontId="56" fillId="32" borderId="32" xfId="38" applyNumberFormat="1" applyFont="1" applyFill="1" applyBorder="1" applyAlignment="1">
      <alignment horizontal="right" vertical="center"/>
    </xf>
    <xf numFmtId="0" fontId="25" fillId="0" borderId="19" xfId="38" applyFont="1" applyFill="1" applyBorder="1" applyAlignment="1">
      <alignment horizontal="left" vertical="center"/>
    </xf>
    <xf numFmtId="0" fontId="25" fillId="0" borderId="38" xfId="38" applyFont="1" applyFill="1" applyBorder="1" applyAlignment="1">
      <alignment vertical="center" wrapText="1"/>
    </xf>
    <xf numFmtId="0" fontId="25" fillId="0" borderId="20" xfId="38" applyFont="1" applyFill="1" applyBorder="1" applyAlignment="1">
      <alignment vertical="center" wrapText="1"/>
    </xf>
    <xf numFmtId="0" fontId="22" fillId="0" borderId="61" xfId="38" applyFont="1" applyFill="1" applyBorder="1" applyAlignment="1">
      <alignment vertical="center" wrapText="1"/>
    </xf>
    <xf numFmtId="166" fontId="22" fillId="0" borderId="49" xfId="38" applyNumberFormat="1" applyFont="1" applyFill="1" applyBorder="1" applyAlignment="1">
      <alignment horizontal="center" vertical="center" wrapText="1"/>
    </xf>
    <xf numFmtId="0" fontId="24" fillId="0" borderId="40" xfId="38" applyFont="1" applyFill="1" applyBorder="1" applyAlignment="1">
      <alignment horizontal="center" vertical="center" wrapText="1"/>
    </xf>
    <xf numFmtId="9" fontId="22" fillId="0" borderId="59" xfId="38" applyNumberFormat="1" applyFont="1" applyFill="1" applyBorder="1" applyAlignment="1">
      <alignment vertical="center" wrapText="1"/>
    </xf>
    <xf numFmtId="4" fontId="22" fillId="0" borderId="43" xfId="0" applyNumberFormat="1" applyFont="1" applyFill="1" applyBorder="1" applyAlignment="1">
      <alignment horizontal="center" vertical="center" wrapText="1"/>
    </xf>
    <xf numFmtId="0" fontId="31" fillId="0" borderId="43" xfId="38" applyFont="1" applyFill="1" applyBorder="1" applyAlignment="1">
      <alignment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9" fillId="0" borderId="0" xfId="0" applyFont="1"/>
    <xf numFmtId="4" fontId="59" fillId="0" borderId="0" xfId="0" applyNumberFormat="1" applyFont="1"/>
    <xf numFmtId="10" fontId="59" fillId="0" borderId="0" xfId="0" applyNumberFormat="1" applyFont="1"/>
    <xf numFmtId="0" fontId="59" fillId="0" borderId="0" xfId="0" applyFont="1" applyAlignment="1"/>
    <xf numFmtId="0" fontId="60" fillId="0" borderId="0" xfId="0" applyFont="1" applyAlignment="1">
      <alignment vertical="center"/>
    </xf>
    <xf numFmtId="4" fontId="59" fillId="0" borderId="0" xfId="0" applyNumberFormat="1" applyFont="1" applyAlignment="1"/>
    <xf numFmtId="10" fontId="59" fillId="0" borderId="0" xfId="0" applyNumberFormat="1" applyFont="1" applyAlignment="1"/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14" fontId="62" fillId="0" borderId="0" xfId="0" applyNumberFormat="1" applyFont="1" applyBorder="1" applyAlignment="1">
      <alignment horizontal="left" vertical="center"/>
    </xf>
    <xf numFmtId="0" fontId="62" fillId="0" borderId="0" xfId="46" applyFont="1" applyFill="1" applyBorder="1" applyAlignment="1">
      <alignment vertical="center" wrapText="1"/>
    </xf>
    <xf numFmtId="0" fontId="61" fillId="0" borderId="0" xfId="46" applyFont="1"/>
    <xf numFmtId="0" fontId="22" fillId="0" borderId="40" xfId="0" applyFont="1" applyFill="1" applyBorder="1" applyAlignment="1">
      <alignment horizontal="left" vertical="center" wrapText="1"/>
    </xf>
    <xf numFmtId="0" fontId="22" fillId="0" borderId="43" xfId="38" applyFont="1" applyFill="1" applyBorder="1" applyAlignment="1">
      <alignment horizontal="center" vertical="center" wrapText="1"/>
    </xf>
    <xf numFmtId="0" fontId="22" fillId="0" borderId="59" xfId="38" applyFont="1" applyFill="1" applyBorder="1" applyAlignment="1">
      <alignment vertical="center" wrapText="1"/>
    </xf>
    <xf numFmtId="0" fontId="22" fillId="0" borderId="62" xfId="38" applyFont="1" applyFill="1" applyBorder="1" applyAlignment="1">
      <alignment vertical="center" wrapText="1"/>
    </xf>
    <xf numFmtId="0" fontId="22" fillId="0" borderId="63" xfId="38" applyFont="1" applyFill="1" applyBorder="1" applyAlignment="1">
      <alignment vertical="center" wrapText="1"/>
    </xf>
    <xf numFmtId="0" fontId="22" fillId="0" borderId="49" xfId="0" applyFont="1" applyFill="1" applyBorder="1" applyAlignment="1">
      <alignment vertical="center" wrapText="1"/>
    </xf>
    <xf numFmtId="0" fontId="59" fillId="0" borderId="0" xfId="0" applyFont="1" applyBorder="1"/>
    <xf numFmtId="0" fontId="59" fillId="0" borderId="0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32" xfId="0" applyFont="1" applyBorder="1" applyAlignment="1">
      <alignment horizontal="justify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22" fillId="0" borderId="40" xfId="46" applyFont="1" applyFill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0" xfId="0" applyFont="1" applyFill="1"/>
    <xf numFmtId="0" fontId="66" fillId="0" borderId="43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22" fillId="0" borderId="24" xfId="38" applyFont="1" applyFill="1" applyBorder="1" applyAlignment="1">
      <alignment vertical="center" wrapText="1"/>
    </xf>
    <xf numFmtId="9" fontId="22" fillId="0" borderId="24" xfId="38" applyNumberFormat="1" applyFont="1" applyFill="1" applyBorder="1" applyAlignment="1">
      <alignment vertical="center" wrapText="1"/>
    </xf>
    <xf numFmtId="0" fontId="22" fillId="0" borderId="24" xfId="38" applyFont="1" applyFill="1" applyBorder="1" applyAlignment="1">
      <alignment horizontal="center" vertical="center" wrapText="1"/>
    </xf>
    <xf numFmtId="3" fontId="22" fillId="0" borderId="24" xfId="38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43" xfId="38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22" fillId="0" borderId="6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51" fillId="0" borderId="4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justify"/>
    </xf>
    <xf numFmtId="0" fontId="22" fillId="0" borderId="49" xfId="0" applyFont="1" applyFill="1" applyBorder="1" applyAlignment="1">
      <alignment horizontal="center" vertical="center" wrapText="1"/>
    </xf>
    <xf numFmtId="3" fontId="22" fillId="0" borderId="49" xfId="38" applyNumberFormat="1" applyFont="1" applyFill="1" applyBorder="1" applyAlignment="1">
      <alignment vertical="center" wrapText="1"/>
    </xf>
    <xf numFmtId="0" fontId="24" fillId="0" borderId="49" xfId="38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14" fontId="22" fillId="0" borderId="43" xfId="38" applyNumberFormat="1" applyFont="1" applyFill="1" applyBorder="1" applyAlignment="1">
      <alignment horizontal="center" vertical="center" wrapText="1"/>
    </xf>
    <xf numFmtId="14" fontId="22" fillId="0" borderId="43" xfId="38" applyNumberFormat="1" applyFont="1" applyFill="1" applyBorder="1" applyAlignment="1">
      <alignment vertical="center" wrapText="1"/>
    </xf>
    <xf numFmtId="14" fontId="22" fillId="0" borderId="59" xfId="38" applyNumberFormat="1" applyFont="1" applyFill="1" applyBorder="1" applyAlignment="1">
      <alignment vertical="center" wrapText="1"/>
    </xf>
    <xf numFmtId="14" fontId="22" fillId="0" borderId="46" xfId="38" applyNumberFormat="1" applyFont="1" applyFill="1" applyBorder="1" applyAlignment="1">
      <alignment vertical="center" wrapText="1"/>
    </xf>
    <xf numFmtId="14" fontId="22" fillId="31" borderId="0" xfId="38" applyNumberFormat="1" applyFont="1" applyFill="1" applyAlignment="1">
      <alignment horizontal="center" vertical="center"/>
    </xf>
    <xf numFmtId="3" fontId="22" fillId="0" borderId="43" xfId="38" applyNumberFormat="1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left" vertical="justify"/>
    </xf>
    <xf numFmtId="0" fontId="67" fillId="0" borderId="0" xfId="0" applyFont="1"/>
    <xf numFmtId="0" fontId="22" fillId="0" borderId="0" xfId="0" applyFont="1" applyFill="1"/>
    <xf numFmtId="3" fontId="22" fillId="0" borderId="43" xfId="38" applyNumberFormat="1" applyFont="1" applyFill="1" applyBorder="1" applyAlignment="1">
      <alignment horizontal="right" vertical="center" wrapText="1"/>
    </xf>
    <xf numFmtId="3" fontId="22" fillId="0" borderId="49" xfId="38" applyNumberFormat="1" applyFont="1" applyFill="1" applyBorder="1" applyAlignment="1">
      <alignment horizontal="center" vertical="center" wrapText="1"/>
    </xf>
    <xf numFmtId="3" fontId="22" fillId="0" borderId="0" xfId="38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center" wrapText="1"/>
    </xf>
    <xf numFmtId="166" fontId="22" fillId="0" borderId="43" xfId="46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6" fillId="0" borderId="0" xfId="0" applyFont="1"/>
    <xf numFmtId="0" fontId="68" fillId="0" borderId="0" xfId="0" applyFont="1"/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1" borderId="0" xfId="0" applyFont="1" applyFill="1" applyAlignment="1">
      <alignment horizontal="center" vertical="center"/>
    </xf>
    <xf numFmtId="169" fontId="0" fillId="0" borderId="0" xfId="0" applyNumberFormat="1"/>
    <xf numFmtId="169" fontId="69" fillId="31" borderId="0" xfId="0" applyNumberFormat="1" applyFont="1" applyFill="1"/>
    <xf numFmtId="9" fontId="0" fillId="0" borderId="0" xfId="0" applyNumberFormat="1"/>
    <xf numFmtId="9" fontId="69" fillId="31" borderId="0" xfId="48" applyFont="1" applyFill="1" applyAlignment="1">
      <alignment horizontal="center" vertical="center"/>
    </xf>
    <xf numFmtId="9" fontId="0" fillId="0" borderId="0" xfId="48" applyNumberFormat="1" applyFont="1" applyAlignment="1">
      <alignment horizontal="center" vertical="center"/>
    </xf>
    <xf numFmtId="169" fontId="44" fillId="0" borderId="0" xfId="0" applyNumberFormat="1" applyFont="1"/>
    <xf numFmtId="0" fontId="70" fillId="0" borderId="0" xfId="0" applyFont="1" applyAlignment="1">
      <alignment vertical="center"/>
    </xf>
    <xf numFmtId="0" fontId="68" fillId="0" borderId="0" xfId="0" applyFont="1" applyFill="1"/>
    <xf numFmtId="0" fontId="70" fillId="0" borderId="0" xfId="0" applyFont="1"/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72" fillId="0" borderId="0" xfId="0" applyFont="1"/>
    <xf numFmtId="0" fontId="61" fillId="0" borderId="0" xfId="0" applyFont="1"/>
    <xf numFmtId="0" fontId="61" fillId="0" borderId="0" xfId="0" applyFont="1" applyFill="1"/>
    <xf numFmtId="0" fontId="35" fillId="0" borderId="0" xfId="0" applyFont="1"/>
    <xf numFmtId="4" fontId="35" fillId="0" borderId="0" xfId="0" applyNumberFormat="1" applyFont="1"/>
    <xf numFmtId="10" fontId="35" fillId="0" borderId="0" xfId="0" applyNumberFormat="1" applyFont="1"/>
    <xf numFmtId="0" fontId="35" fillId="28" borderId="0" xfId="0" applyFont="1" applyFill="1"/>
    <xf numFmtId="0" fontId="74" fillId="0" borderId="0" xfId="0" applyFont="1"/>
    <xf numFmtId="4" fontId="75" fillId="24" borderId="32" xfId="38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1" fillId="0" borderId="42" xfId="38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left" vertical="center" wrapText="1"/>
    </xf>
    <xf numFmtId="3" fontId="61" fillId="0" borderId="43" xfId="38" applyNumberFormat="1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72" fillId="0" borderId="43" xfId="38" applyFont="1" applyFill="1" applyBorder="1" applyAlignment="1">
      <alignment horizontal="center" vertical="center" wrapText="1"/>
    </xf>
    <xf numFmtId="0" fontId="61" fillId="0" borderId="43" xfId="38" applyFont="1" applyFill="1" applyBorder="1" applyAlignment="1">
      <alignment vertical="center" wrapText="1"/>
    </xf>
    <xf numFmtId="167" fontId="61" fillId="0" borderId="43" xfId="44" applyNumberFormat="1" applyFont="1" applyFill="1" applyBorder="1" applyAlignment="1">
      <alignment vertical="center" wrapText="1"/>
    </xf>
    <xf numFmtId="0" fontId="61" fillId="0" borderId="43" xfId="38" applyFont="1" applyFill="1" applyBorder="1" applyAlignment="1">
      <alignment horizontal="center" vertical="center" wrapText="1"/>
    </xf>
    <xf numFmtId="168" fontId="61" fillId="0" borderId="43" xfId="46" applyNumberFormat="1" applyFont="1" applyFill="1" applyBorder="1" applyAlignment="1">
      <alignment horizontal="center" vertical="center" wrapText="1"/>
    </xf>
    <xf numFmtId="168" fontId="61" fillId="0" borderId="44" xfId="46" applyNumberFormat="1" applyFont="1" applyFill="1" applyBorder="1" applyAlignment="1">
      <alignment horizontal="center" vertical="center" wrapText="1"/>
    </xf>
    <xf numFmtId="0" fontId="61" fillId="0" borderId="56" xfId="38" applyFont="1" applyFill="1" applyBorder="1" applyAlignment="1">
      <alignment horizontal="center" vertical="center" wrapText="1"/>
    </xf>
    <xf numFmtId="0" fontId="61" fillId="0" borderId="44" xfId="38" applyFont="1" applyFill="1" applyBorder="1" applyAlignment="1">
      <alignment horizontal="center" vertical="center" wrapText="1"/>
    </xf>
    <xf numFmtId="167" fontId="35" fillId="0" borderId="0" xfId="0" applyNumberFormat="1" applyFont="1"/>
    <xf numFmtId="0" fontId="61" fillId="33" borderId="0" xfId="0" applyFont="1" applyFill="1"/>
    <xf numFmtId="10" fontId="75" fillId="32" borderId="32" xfId="38" applyNumberFormat="1" applyFont="1" applyFill="1" applyBorder="1" applyAlignment="1">
      <alignment horizontal="center" vertical="center" wrapText="1"/>
    </xf>
    <xf numFmtId="4" fontId="61" fillId="0" borderId="43" xfId="0" applyNumberFormat="1" applyFont="1" applyFill="1" applyBorder="1" applyAlignment="1">
      <alignment horizontal="center" vertical="center" wrapText="1"/>
    </xf>
    <xf numFmtId="0" fontId="61" fillId="0" borderId="56" xfId="38" applyFont="1" applyFill="1" applyBorder="1" applyAlignment="1">
      <alignment vertical="center" wrapText="1"/>
    </xf>
    <xf numFmtId="0" fontId="76" fillId="0" borderId="0" xfId="38" applyFont="1" applyFill="1" applyBorder="1" applyAlignment="1">
      <alignment vertical="center" wrapText="1"/>
    </xf>
    <xf numFmtId="4" fontId="76" fillId="0" borderId="0" xfId="38" applyNumberFormat="1" applyFont="1" applyFill="1" applyBorder="1" applyAlignment="1">
      <alignment vertical="center" wrapText="1"/>
    </xf>
    <xf numFmtId="10" fontId="76" fillId="0" borderId="0" xfId="38" applyNumberFormat="1" applyFont="1" applyFill="1" applyBorder="1" applyAlignment="1">
      <alignment vertical="center" wrapText="1"/>
    </xf>
    <xf numFmtId="0" fontId="61" fillId="0" borderId="43" xfId="46" applyFont="1" applyFill="1" applyBorder="1" applyAlignment="1">
      <alignment horizontal="center" vertical="center" wrapText="1"/>
    </xf>
    <xf numFmtId="0" fontId="61" fillId="0" borderId="43" xfId="46" applyFont="1" applyFill="1" applyBorder="1" applyAlignment="1">
      <alignment vertical="center" wrapText="1"/>
    </xf>
    <xf numFmtId="0" fontId="61" fillId="0" borderId="56" xfId="46" applyFont="1" applyFill="1" applyBorder="1" applyAlignment="1">
      <alignment vertical="center" wrapText="1"/>
    </xf>
    <xf numFmtId="0" fontId="61" fillId="0" borderId="44" xfId="46" applyFont="1" applyFill="1" applyBorder="1" applyAlignment="1">
      <alignment horizontal="center" vertical="center" wrapText="1"/>
    </xf>
    <xf numFmtId="0" fontId="60" fillId="30" borderId="19" xfId="0" applyFont="1" applyFill="1" applyBorder="1" applyAlignment="1">
      <alignment vertical="center"/>
    </xf>
    <xf numFmtId="0" fontId="60" fillId="30" borderId="38" xfId="0" applyFont="1" applyFill="1" applyBorder="1" applyAlignment="1">
      <alignment vertical="center"/>
    </xf>
    <xf numFmtId="0" fontId="60" fillId="30" borderId="20" xfId="0" applyFont="1" applyFill="1" applyBorder="1" applyAlignment="1">
      <alignment horizontal="center" vertical="center"/>
    </xf>
    <xf numFmtId="167" fontId="60" fillId="30" borderId="32" xfId="0" applyNumberFormat="1" applyFont="1" applyFill="1" applyBorder="1" applyAlignment="1">
      <alignment vertical="center"/>
    </xf>
    <xf numFmtId="10" fontId="60" fillId="30" borderId="19" xfId="0" applyNumberFormat="1" applyFont="1" applyFill="1" applyBorder="1" applyAlignment="1">
      <alignment vertical="center"/>
    </xf>
    <xf numFmtId="10" fontId="60" fillId="30" borderId="38" xfId="0" applyNumberFormat="1" applyFont="1" applyFill="1" applyBorder="1" applyAlignment="1">
      <alignment vertical="center"/>
    </xf>
    <xf numFmtId="0" fontId="60" fillId="30" borderId="20" xfId="0" applyFont="1" applyFill="1" applyBorder="1" applyAlignment="1">
      <alignment vertical="center"/>
    </xf>
    <xf numFmtId="0" fontId="61" fillId="0" borderId="48" xfId="38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49" xfId="38" applyFont="1" applyFill="1" applyBorder="1" applyAlignment="1">
      <alignment vertical="center" wrapText="1"/>
    </xf>
    <xf numFmtId="0" fontId="61" fillId="0" borderId="49" xfId="38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/>
    </xf>
    <xf numFmtId="0" fontId="61" fillId="0" borderId="59" xfId="38" applyFont="1" applyFill="1" applyBorder="1" applyAlignment="1">
      <alignment vertical="center" wrapText="1"/>
    </xf>
    <xf numFmtId="0" fontId="61" fillId="0" borderId="43" xfId="0" applyFont="1" applyFill="1" applyBorder="1" applyAlignment="1">
      <alignment vertical="center" wrapText="1"/>
    </xf>
    <xf numFmtId="167" fontId="61" fillId="0" borderId="43" xfId="44" applyNumberFormat="1" applyFont="1" applyFill="1" applyBorder="1" applyAlignment="1">
      <alignment horizontal="right" vertical="center" wrapText="1"/>
    </xf>
    <xf numFmtId="0" fontId="62" fillId="0" borderId="43" xfId="38" applyFont="1" applyFill="1" applyBorder="1" applyAlignment="1">
      <alignment horizontal="center" vertical="center" wrapText="1"/>
    </xf>
    <xf numFmtId="9" fontId="61" fillId="0" borderId="43" xfId="48" applyFont="1" applyFill="1" applyBorder="1" applyAlignment="1">
      <alignment horizontal="right" vertical="center" wrapText="1"/>
    </xf>
    <xf numFmtId="0" fontId="61" fillId="0" borderId="49" xfId="0" applyFont="1" applyFill="1" applyBorder="1" applyAlignment="1">
      <alignment horizontal="left" vertical="center" wrapText="1"/>
    </xf>
    <xf numFmtId="3" fontId="61" fillId="0" borderId="49" xfId="38" applyNumberFormat="1" applyFont="1" applyFill="1" applyBorder="1" applyAlignment="1">
      <alignment horizontal="center" vertical="center" wrapText="1"/>
    </xf>
    <xf numFmtId="168" fontId="61" fillId="0" borderId="49" xfId="46" applyNumberFormat="1" applyFont="1" applyFill="1" applyBorder="1" applyAlignment="1">
      <alignment horizontal="center" vertical="center" wrapText="1"/>
    </xf>
    <xf numFmtId="168" fontId="61" fillId="0" borderId="50" xfId="46" applyNumberFormat="1" applyFont="1" applyFill="1" applyBorder="1" applyAlignment="1">
      <alignment horizontal="center" vertical="center" wrapText="1"/>
    </xf>
    <xf numFmtId="0" fontId="61" fillId="0" borderId="56" xfId="46" applyFont="1" applyFill="1" applyBorder="1" applyAlignment="1">
      <alignment horizontal="center" vertical="center" wrapText="1"/>
    </xf>
    <xf numFmtId="0" fontId="61" fillId="0" borderId="56" xfId="0" applyFont="1" applyFill="1" applyBorder="1"/>
    <xf numFmtId="0" fontId="61" fillId="0" borderId="39" xfId="38" applyFont="1" applyFill="1" applyBorder="1" applyAlignment="1">
      <alignment horizontal="center" vertical="center" wrapText="1"/>
    </xf>
    <xf numFmtId="3" fontId="61" fillId="0" borderId="40" xfId="38" applyNumberFormat="1" applyFont="1" applyFill="1" applyBorder="1" applyAlignment="1">
      <alignment horizontal="center" vertical="center" wrapText="1"/>
    </xf>
    <xf numFmtId="0" fontId="61" fillId="0" borderId="40" xfId="38" applyFont="1" applyFill="1" applyBorder="1" applyAlignment="1">
      <alignment horizontal="center" vertical="center" wrapText="1"/>
    </xf>
    <xf numFmtId="0" fontId="61" fillId="0" borderId="40" xfId="38" applyFont="1" applyFill="1" applyBorder="1" applyAlignment="1">
      <alignment vertical="center" wrapText="1"/>
    </xf>
    <xf numFmtId="0" fontId="61" fillId="0" borderId="41" xfId="38" applyFont="1" applyFill="1" applyBorder="1" applyAlignment="1">
      <alignment horizontal="center" vertical="center" wrapText="1"/>
    </xf>
    <xf numFmtId="4" fontId="61" fillId="0" borderId="40" xfId="0" applyNumberFormat="1" applyFont="1" applyFill="1" applyBorder="1" applyAlignment="1">
      <alignment horizontal="center" vertical="center" wrapText="1"/>
    </xf>
    <xf numFmtId="0" fontId="61" fillId="0" borderId="52" xfId="38" applyFont="1" applyFill="1" applyBorder="1" applyAlignment="1">
      <alignment vertical="center" wrapText="1"/>
    </xf>
    <xf numFmtId="3" fontId="61" fillId="0" borderId="43" xfId="46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77" fillId="0" borderId="43" xfId="38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justify" vertical="center" wrapText="1"/>
    </xf>
    <xf numFmtId="0" fontId="61" fillId="0" borderId="70" xfId="0" applyFont="1" applyFill="1" applyBorder="1" applyAlignment="1">
      <alignment vertical="center" wrapText="1"/>
    </xf>
    <xf numFmtId="0" fontId="61" fillId="0" borderId="50" xfId="38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vertical="center" wrapText="1"/>
    </xf>
    <xf numFmtId="167" fontId="61" fillId="0" borderId="49" xfId="44" applyNumberFormat="1" applyFont="1" applyFill="1" applyBorder="1" applyAlignment="1">
      <alignment horizontal="right" vertical="center" wrapText="1"/>
    </xf>
    <xf numFmtId="4" fontId="61" fillId="0" borderId="49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80" fillId="32" borderId="19" xfId="38" applyFont="1" applyFill="1" applyBorder="1" applyAlignment="1">
      <alignment vertical="center" wrapText="1"/>
    </xf>
    <xf numFmtId="0" fontId="80" fillId="32" borderId="38" xfId="38" applyFont="1" applyFill="1" applyBorder="1" applyAlignment="1">
      <alignment vertical="center" wrapText="1"/>
    </xf>
    <xf numFmtId="0" fontId="80" fillId="32" borderId="38" xfId="46" applyFont="1" applyFill="1" applyBorder="1" applyAlignment="1">
      <alignment horizontal="right" vertical="center"/>
    </xf>
    <xf numFmtId="0" fontId="80" fillId="32" borderId="38" xfId="38" applyFont="1" applyFill="1" applyBorder="1" applyAlignment="1">
      <alignment horizontal="right" vertical="center"/>
    </xf>
    <xf numFmtId="0" fontId="80" fillId="32" borderId="20" xfId="38" applyFont="1" applyFill="1" applyBorder="1" applyAlignment="1">
      <alignment horizontal="right" vertical="center"/>
    </xf>
    <xf numFmtId="167" fontId="80" fillId="32" borderId="32" xfId="38" applyNumberFormat="1" applyFont="1" applyFill="1" applyBorder="1" applyAlignment="1">
      <alignment vertical="center" wrapText="1"/>
    </xf>
    <xf numFmtId="10" fontId="80" fillId="32" borderId="19" xfId="38" applyNumberFormat="1" applyFont="1" applyFill="1" applyBorder="1" applyAlignment="1">
      <alignment vertical="center" wrapText="1"/>
    </xf>
    <xf numFmtId="9" fontId="80" fillId="32" borderId="38" xfId="38" applyNumberFormat="1" applyFont="1" applyFill="1" applyBorder="1" applyAlignment="1">
      <alignment vertical="center" wrapText="1"/>
    </xf>
    <xf numFmtId="0" fontId="80" fillId="32" borderId="20" xfId="38" applyFont="1" applyFill="1" applyBorder="1" applyAlignment="1">
      <alignment vertical="center" wrapText="1"/>
    </xf>
    <xf numFmtId="0" fontId="81" fillId="0" borderId="0" xfId="0" applyFont="1"/>
    <xf numFmtId="0" fontId="79" fillId="0" borderId="0" xfId="0" applyFont="1"/>
    <xf numFmtId="0" fontId="82" fillId="24" borderId="38" xfId="38" applyFont="1" applyFill="1" applyBorder="1" applyAlignment="1">
      <alignment vertical="center" wrapText="1"/>
    </xf>
    <xf numFmtId="0" fontId="82" fillId="24" borderId="20" xfId="38" applyFont="1" applyFill="1" applyBorder="1" applyAlignment="1">
      <alignment vertical="center" wrapText="1"/>
    </xf>
    <xf numFmtId="0" fontId="82" fillId="24" borderId="19" xfId="38" applyFont="1" applyFill="1" applyBorder="1" applyAlignment="1">
      <alignment horizontal="left" vertical="center"/>
    </xf>
    <xf numFmtId="0" fontId="83" fillId="28" borderId="0" xfId="0" applyFont="1" applyFill="1" applyAlignment="1">
      <alignment horizontal="left" vertical="center"/>
    </xf>
    <xf numFmtId="0" fontId="81" fillId="0" borderId="0" xfId="0" applyFont="1" applyAlignment="1">
      <alignment horizontal="justify" vertical="center"/>
    </xf>
    <xf numFmtId="0" fontId="59" fillId="0" borderId="0" xfId="0" applyFont="1" applyFill="1" applyAlignment="1">
      <alignment vertical="center" wrapText="1"/>
    </xf>
    <xf numFmtId="0" fontId="87" fillId="24" borderId="32" xfId="38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10" fontId="35" fillId="0" borderId="0" xfId="0" applyNumberFormat="1" applyFont="1" applyAlignment="1">
      <alignment vertical="center"/>
    </xf>
    <xf numFmtId="0" fontId="79" fillId="28" borderId="0" xfId="0" applyFont="1" applyFill="1" applyAlignment="1">
      <alignment horizontal="left" vertical="center"/>
    </xf>
    <xf numFmtId="0" fontId="68" fillId="0" borderId="0" xfId="0" applyFont="1" applyAlignment="1">
      <alignment wrapText="1"/>
    </xf>
    <xf numFmtId="0" fontId="61" fillId="0" borderId="73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9" fillId="0" borderId="0" xfId="0" applyFont="1"/>
    <xf numFmtId="0" fontId="72" fillId="0" borderId="0" xfId="0" applyFont="1" applyFill="1"/>
    <xf numFmtId="0" fontId="61" fillId="0" borderId="20" xfId="0" applyFont="1" applyFill="1" applyBorder="1" applyAlignment="1">
      <alignment horizontal="justify" vertical="center" wrapText="1"/>
    </xf>
    <xf numFmtId="0" fontId="61" fillId="0" borderId="71" xfId="0" applyFont="1" applyFill="1" applyBorder="1" applyAlignment="1">
      <alignment horizontal="justify" vertical="center" wrapText="1"/>
    </xf>
    <xf numFmtId="0" fontId="61" fillId="0" borderId="33" xfId="0" applyFont="1" applyFill="1" applyBorder="1" applyAlignment="1">
      <alignment vertical="center" wrapText="1"/>
    </xf>
    <xf numFmtId="0" fontId="61" fillId="0" borderId="71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59" fillId="0" borderId="32" xfId="0" applyFont="1" applyFill="1" applyBorder="1" applyAlignment="1">
      <alignment vertical="center" wrapText="1"/>
    </xf>
    <xf numFmtId="0" fontId="61" fillId="0" borderId="32" xfId="0" applyFont="1" applyFill="1" applyBorder="1" applyAlignment="1">
      <alignment vertical="center" wrapText="1"/>
    </xf>
    <xf numFmtId="0" fontId="59" fillId="0" borderId="24" xfId="0" applyFont="1" applyFill="1" applyBorder="1" applyAlignment="1">
      <alignment vertical="center" wrapText="1"/>
    </xf>
    <xf numFmtId="0" fontId="61" fillId="0" borderId="25" xfId="0" applyFont="1" applyFill="1" applyBorder="1" applyAlignment="1">
      <alignment vertical="center" wrapText="1"/>
    </xf>
    <xf numFmtId="0" fontId="61" fillId="0" borderId="38" xfId="0" applyFont="1" applyFill="1" applyBorder="1" applyAlignment="1">
      <alignment vertical="center" wrapText="1"/>
    </xf>
    <xf numFmtId="0" fontId="61" fillId="0" borderId="68" xfId="0" applyFont="1" applyFill="1" applyBorder="1" applyAlignment="1">
      <alignment horizontal="justify" vertical="center" wrapText="1"/>
    </xf>
    <xf numFmtId="0" fontId="61" fillId="0" borderId="73" xfId="0" applyFont="1" applyFill="1" applyBorder="1" applyAlignment="1">
      <alignment horizontal="justify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14" xfId="0" applyFont="1" applyFill="1" applyBorder="1" applyAlignment="1">
      <alignment horizontal="justify" vertical="center" wrapText="1"/>
    </xf>
    <xf numFmtId="0" fontId="61" fillId="0" borderId="33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justify" vertical="center" wrapText="1"/>
    </xf>
    <xf numFmtId="0" fontId="61" fillId="0" borderId="70" xfId="0" applyFont="1" applyFill="1" applyBorder="1" applyAlignment="1">
      <alignment horizontal="justify" vertical="center" wrapText="1"/>
    </xf>
    <xf numFmtId="0" fontId="61" fillId="0" borderId="78" xfId="0" applyFont="1" applyFill="1" applyBorder="1" applyAlignment="1">
      <alignment horizontal="justify" vertical="center" wrapText="1"/>
    </xf>
    <xf numFmtId="0" fontId="61" fillId="0" borderId="32" xfId="0" applyFont="1" applyFill="1" applyBorder="1" applyAlignment="1">
      <alignment horizontal="justify" vertical="center" wrapText="1"/>
    </xf>
    <xf numFmtId="0" fontId="61" fillId="0" borderId="74" xfId="0" applyFont="1" applyFill="1" applyBorder="1" applyAlignment="1">
      <alignment horizontal="justify" vertical="center" wrapText="1"/>
    </xf>
    <xf numFmtId="0" fontId="61" fillId="0" borderId="59" xfId="38" applyFont="1" applyFill="1" applyBorder="1" applyAlignment="1">
      <alignment horizontal="center" vertical="center" wrapText="1"/>
    </xf>
    <xf numFmtId="0" fontId="61" fillId="0" borderId="65" xfId="38" applyFont="1" applyFill="1" applyBorder="1" applyAlignment="1">
      <alignment horizontal="center" vertical="center" wrapText="1"/>
    </xf>
    <xf numFmtId="168" fontId="61" fillId="0" borderId="80" xfId="46" applyNumberFormat="1" applyFont="1" applyFill="1" applyBorder="1" applyAlignment="1">
      <alignment horizontal="center" vertical="center" wrapText="1"/>
    </xf>
    <xf numFmtId="168" fontId="61" fillId="0" borderId="41" xfId="46" applyNumberFormat="1" applyFont="1" applyFill="1" applyBorder="1" applyAlignment="1">
      <alignment horizontal="center" vertical="center" wrapText="1"/>
    </xf>
    <xf numFmtId="167" fontId="61" fillId="0" borderId="43" xfId="38" applyNumberFormat="1" applyFont="1" applyFill="1" applyBorder="1" applyAlignment="1">
      <alignment vertical="center" wrapText="1"/>
    </xf>
    <xf numFmtId="0" fontId="61" fillId="0" borderId="65" xfId="38" applyFont="1" applyFill="1" applyBorder="1" applyAlignment="1">
      <alignment vertical="center" wrapText="1"/>
    </xf>
    <xf numFmtId="43" fontId="59" fillId="0" borderId="0" xfId="44" applyFont="1"/>
    <xf numFmtId="0" fontId="59" fillId="31" borderId="0" xfId="0" applyFont="1" applyFill="1"/>
    <xf numFmtId="0" fontId="59" fillId="0" borderId="68" xfId="0" applyFont="1" applyFill="1" applyBorder="1" applyAlignment="1">
      <alignment vertical="center" wrapText="1"/>
    </xf>
    <xf numFmtId="43" fontId="35" fillId="0" borderId="0" xfId="44" applyFont="1"/>
    <xf numFmtId="0" fontId="70" fillId="0" borderId="43" xfId="38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52" xfId="38" applyFont="1" applyFill="1" applyBorder="1" applyAlignment="1">
      <alignment horizontal="center" vertical="center" wrapText="1"/>
    </xf>
    <xf numFmtId="0" fontId="61" fillId="0" borderId="75" xfId="38" applyFont="1" applyFill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left" vertical="center" wrapText="1"/>
    </xf>
    <xf numFmtId="3" fontId="61" fillId="0" borderId="59" xfId="38" applyNumberFormat="1" applyFont="1" applyFill="1" applyBorder="1" applyAlignment="1">
      <alignment horizontal="center" vertical="center" wrapText="1"/>
    </xf>
    <xf numFmtId="4" fontId="61" fillId="0" borderId="59" xfId="0" applyNumberFormat="1" applyFont="1" applyFill="1" applyBorder="1" applyAlignment="1">
      <alignment horizontal="center" vertical="center" wrapText="1"/>
    </xf>
    <xf numFmtId="168" fontId="61" fillId="0" borderId="59" xfId="46" applyNumberFormat="1" applyFont="1" applyFill="1" applyBorder="1" applyAlignment="1">
      <alignment horizontal="center" vertical="center" wrapText="1"/>
    </xf>
    <xf numFmtId="168" fontId="61" fillId="0" borderId="76" xfId="46" applyNumberFormat="1" applyFont="1" applyFill="1" applyBorder="1" applyAlignment="1">
      <alignment horizontal="center" vertical="center" wrapText="1"/>
    </xf>
    <xf numFmtId="0" fontId="61" fillId="0" borderId="63" xfId="38" applyFont="1" applyFill="1" applyBorder="1" applyAlignment="1">
      <alignment vertical="center" wrapText="1"/>
    </xf>
    <xf numFmtId="0" fontId="61" fillId="0" borderId="76" xfId="38" applyFont="1" applyFill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center" vertical="center" wrapText="1"/>
    </xf>
    <xf numFmtId="167" fontId="61" fillId="0" borderId="59" xfId="44" applyNumberFormat="1" applyFont="1" applyFill="1" applyBorder="1" applyAlignment="1">
      <alignment vertical="center" wrapText="1"/>
    </xf>
    <xf numFmtId="0" fontId="61" fillId="0" borderId="63" xfId="38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left" vertical="center"/>
    </xf>
    <xf numFmtId="0" fontId="35" fillId="0" borderId="0" xfId="0" applyFont="1" applyFill="1"/>
    <xf numFmtId="166" fontId="73" fillId="0" borderId="0" xfId="0" applyNumberFormat="1" applyFont="1" applyFill="1"/>
    <xf numFmtId="167" fontId="61" fillId="0" borderId="59" xfId="44" applyNumberFormat="1" applyFont="1" applyFill="1" applyBorder="1" applyAlignment="1">
      <alignment horizontal="right" vertical="center" wrapText="1"/>
    </xf>
    <xf numFmtId="9" fontId="61" fillId="0" borderId="59" xfId="48" applyFont="1" applyFill="1" applyBorder="1" applyAlignment="1">
      <alignment horizontal="right" vertical="center" wrapText="1"/>
    </xf>
    <xf numFmtId="9" fontId="61" fillId="0" borderId="43" xfId="48" applyNumberFormat="1" applyFont="1" applyFill="1" applyBorder="1" applyAlignment="1">
      <alignment horizontal="right" vertical="center" wrapText="1"/>
    </xf>
    <xf numFmtId="9" fontId="61" fillId="0" borderId="59" xfId="48" applyNumberFormat="1" applyFont="1" applyFill="1" applyBorder="1" applyAlignment="1">
      <alignment horizontal="right" vertical="center" wrapText="1"/>
    </xf>
    <xf numFmtId="0" fontId="61" fillId="34" borderId="44" xfId="38" applyFont="1" applyFill="1" applyBorder="1" applyAlignment="1">
      <alignment horizontal="center" vertical="center" wrapText="1"/>
    </xf>
    <xf numFmtId="167" fontId="90" fillId="0" borderId="0" xfId="0" applyNumberFormat="1" applyFont="1"/>
    <xf numFmtId="0" fontId="61" fillId="0" borderId="59" xfId="0" applyFont="1" applyFill="1" applyBorder="1" applyAlignment="1">
      <alignment vertical="center" wrapText="1"/>
    </xf>
    <xf numFmtId="9" fontId="61" fillId="0" borderId="61" xfId="48" applyNumberFormat="1" applyFont="1" applyFill="1" applyBorder="1" applyAlignment="1">
      <alignment horizontal="right" vertical="center" wrapText="1"/>
    </xf>
    <xf numFmtId="0" fontId="61" fillId="34" borderId="42" xfId="38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left" vertical="center" wrapText="1"/>
    </xf>
    <xf numFmtId="3" fontId="61" fillId="34" borderId="43" xfId="38" applyNumberFormat="1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61" fillId="34" borderId="43" xfId="38" applyFont="1" applyFill="1" applyBorder="1" applyAlignment="1">
      <alignment horizontal="center" vertical="center" wrapText="1"/>
    </xf>
    <xf numFmtId="0" fontId="61" fillId="34" borderId="43" xfId="38" applyFont="1" applyFill="1" applyBorder="1" applyAlignment="1">
      <alignment vertical="center" wrapText="1"/>
    </xf>
    <xf numFmtId="167" fontId="61" fillId="34" borderId="43" xfId="44" applyNumberFormat="1" applyFont="1" applyFill="1" applyBorder="1" applyAlignment="1">
      <alignment vertical="center" wrapText="1"/>
    </xf>
    <xf numFmtId="9" fontId="61" fillId="34" borderId="43" xfId="48" applyFont="1" applyFill="1" applyBorder="1" applyAlignment="1">
      <alignment horizontal="right" vertical="center" wrapText="1"/>
    </xf>
    <xf numFmtId="0" fontId="61" fillId="34" borderId="49" xfId="38" applyFont="1" applyFill="1" applyBorder="1" applyAlignment="1">
      <alignment horizontal="center" vertical="center" wrapText="1"/>
    </xf>
    <xf numFmtId="168" fontId="61" fillId="34" borderId="43" xfId="46" applyNumberFormat="1" applyFont="1" applyFill="1" applyBorder="1" applyAlignment="1">
      <alignment horizontal="center" vertical="center" wrapText="1"/>
    </xf>
    <xf numFmtId="168" fontId="61" fillId="34" borderId="44" xfId="46" applyNumberFormat="1" applyFont="1" applyFill="1" applyBorder="1" applyAlignment="1">
      <alignment horizontal="center" vertical="center" wrapText="1"/>
    </xf>
    <xf numFmtId="0" fontId="61" fillId="34" borderId="56" xfId="38" applyFont="1" applyFill="1" applyBorder="1" applyAlignment="1">
      <alignment horizontal="center" vertical="center" wrapText="1"/>
    </xf>
    <xf numFmtId="0" fontId="61" fillId="34" borderId="50" xfId="38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0" xfId="0" applyFont="1" applyFill="1"/>
    <xf numFmtId="168" fontId="61" fillId="34" borderId="49" xfId="46" applyNumberFormat="1" applyFont="1" applyFill="1" applyBorder="1" applyAlignment="1">
      <alignment horizontal="center" vertical="center" wrapText="1"/>
    </xf>
    <xf numFmtId="168" fontId="61" fillId="34" borderId="50" xfId="46" applyNumberFormat="1" applyFont="1" applyFill="1" applyBorder="1" applyAlignment="1">
      <alignment horizontal="center" vertical="center" wrapText="1"/>
    </xf>
    <xf numFmtId="0" fontId="61" fillId="34" borderId="48" xfId="38" applyFont="1" applyFill="1" applyBorder="1" applyAlignment="1">
      <alignment horizontal="center" vertical="center" wrapText="1"/>
    </xf>
    <xf numFmtId="3" fontId="61" fillId="34" borderId="49" xfId="38" applyNumberFormat="1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1" fillId="34" borderId="49" xfId="38" applyFont="1" applyFill="1" applyBorder="1" applyAlignment="1">
      <alignment vertical="center" wrapText="1"/>
    </xf>
    <xf numFmtId="9" fontId="61" fillId="34" borderId="43" xfId="48" applyNumberFormat="1" applyFont="1" applyFill="1" applyBorder="1" applyAlignment="1">
      <alignment horizontal="right" vertical="center" wrapText="1"/>
    </xf>
    <xf numFmtId="0" fontId="61" fillId="34" borderId="65" xfId="38" applyFont="1" applyFill="1" applyBorder="1" applyAlignment="1">
      <alignment horizontal="center" vertical="center" wrapText="1"/>
    </xf>
    <xf numFmtId="0" fontId="61" fillId="34" borderId="43" xfId="46" applyFont="1" applyFill="1" applyBorder="1" applyAlignment="1">
      <alignment horizontal="center" vertical="center" wrapText="1"/>
    </xf>
    <xf numFmtId="0" fontId="61" fillId="34" borderId="49" xfId="46" applyFont="1" applyFill="1" applyBorder="1" applyAlignment="1">
      <alignment vertical="center" wrapText="1"/>
    </xf>
    <xf numFmtId="0" fontId="61" fillId="34" borderId="44" xfId="46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left" vertical="center" wrapText="1"/>
    </xf>
    <xf numFmtId="0" fontId="61" fillId="29" borderId="0" xfId="0" applyFont="1" applyFill="1" applyAlignment="1">
      <alignment horizontal="center" vertical="center"/>
    </xf>
    <xf numFmtId="0" fontId="61" fillId="29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7" fontId="61" fillId="34" borderId="43" xfId="44" applyNumberFormat="1" applyFont="1" applyFill="1" applyBorder="1" applyAlignment="1">
      <alignment horizontal="right" vertical="center" wrapText="1"/>
    </xf>
    <xf numFmtId="4" fontId="61" fillId="34" borderId="43" xfId="0" applyNumberFormat="1" applyFont="1" applyFill="1" applyBorder="1" applyAlignment="1">
      <alignment horizontal="center" vertical="center" wrapText="1"/>
    </xf>
    <xf numFmtId="0" fontId="61" fillId="34" borderId="56" xfId="0" applyFont="1" applyFill="1" applyBorder="1"/>
    <xf numFmtId="0" fontId="70" fillId="34" borderId="43" xfId="38" applyFont="1" applyFill="1" applyBorder="1" applyAlignment="1">
      <alignment horizontal="center" vertical="center" wrapText="1"/>
    </xf>
    <xf numFmtId="0" fontId="61" fillId="34" borderId="56" xfId="38" applyFont="1" applyFill="1" applyBorder="1" applyAlignment="1">
      <alignment vertical="center" wrapText="1"/>
    </xf>
    <xf numFmtId="167" fontId="61" fillId="0" borderId="49" xfId="38" applyNumberFormat="1" applyFont="1" applyFill="1" applyBorder="1" applyAlignment="1">
      <alignment vertical="center" wrapText="1"/>
    </xf>
    <xf numFmtId="167" fontId="35" fillId="0" borderId="0" xfId="0" quotePrefix="1" applyNumberFormat="1" applyFont="1"/>
    <xf numFmtId="0" fontId="84" fillId="33" borderId="19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 wrapText="1"/>
    </xf>
    <xf numFmtId="43" fontId="61" fillId="0" borderId="59" xfId="44" applyFont="1" applyFill="1" applyBorder="1" applyAlignment="1">
      <alignment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43" fontId="61" fillId="0" borderId="56" xfId="44" applyFont="1" applyFill="1" applyBorder="1" applyAlignment="1">
      <alignment vertical="center" wrapText="1"/>
    </xf>
    <xf numFmtId="0" fontId="62" fillId="34" borderId="49" xfId="38" applyFont="1" applyFill="1" applyBorder="1" applyAlignment="1">
      <alignment horizontal="center" vertical="center" wrapText="1"/>
    </xf>
    <xf numFmtId="167" fontId="61" fillId="0" borderId="56" xfId="38" applyNumberFormat="1" applyFont="1" applyFill="1" applyBorder="1" applyAlignment="1">
      <alignment horizontal="center" vertical="center" wrapText="1"/>
    </xf>
    <xf numFmtId="43" fontId="61" fillId="0" borderId="56" xfId="44" applyFont="1" applyFill="1" applyBorder="1" applyAlignment="1">
      <alignment horizontal="center" vertical="center" wrapText="1"/>
    </xf>
    <xf numFmtId="43" fontId="61" fillId="0" borderId="43" xfId="38" applyNumberFormat="1" applyFont="1" applyFill="1" applyBorder="1" applyAlignment="1">
      <alignment vertical="center" wrapText="1"/>
    </xf>
    <xf numFmtId="0" fontId="61" fillId="0" borderId="72" xfId="38" applyFont="1" applyFill="1" applyBorder="1" applyAlignment="1">
      <alignment horizontal="center" vertical="center" wrapText="1"/>
    </xf>
    <xf numFmtId="0" fontId="61" fillId="34" borderId="69" xfId="38" applyFont="1" applyFill="1" applyBorder="1" applyAlignment="1">
      <alignment horizontal="center" vertical="center" wrapText="1"/>
    </xf>
    <xf numFmtId="0" fontId="61" fillId="0" borderId="69" xfId="38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center" vertical="center" wrapText="1"/>
    </xf>
    <xf numFmtId="167" fontId="61" fillId="0" borderId="40" xfId="44" applyNumberFormat="1" applyFont="1" applyFill="1" applyBorder="1" applyAlignment="1">
      <alignment vertical="center" wrapText="1"/>
    </xf>
    <xf numFmtId="168" fontId="61" fillId="0" borderId="40" xfId="46" applyNumberFormat="1" applyFont="1" applyFill="1" applyBorder="1" applyAlignment="1">
      <alignment horizontal="center" vertical="center" wrapText="1"/>
    </xf>
    <xf numFmtId="0" fontId="61" fillId="34" borderId="48" xfId="0" applyFont="1" applyFill="1" applyBorder="1" applyAlignment="1">
      <alignment horizontal="left" vertical="center" wrapText="1"/>
    </xf>
    <xf numFmtId="0" fontId="61" fillId="0" borderId="48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left" vertical="center" wrapText="1"/>
    </xf>
    <xf numFmtId="0" fontId="61" fillId="34" borderId="59" xfId="38" applyFont="1" applyFill="1" applyBorder="1" applyAlignment="1">
      <alignment vertical="center" wrapText="1"/>
    </xf>
    <xf numFmtId="0" fontId="91" fillId="0" borderId="0" xfId="0" applyFont="1"/>
    <xf numFmtId="0" fontId="70" fillId="0" borderId="71" xfId="0" applyFont="1" applyFill="1" applyBorder="1" applyAlignment="1">
      <alignment horizontal="justify" vertical="center" wrapText="1"/>
    </xf>
    <xf numFmtId="0" fontId="61" fillId="34" borderId="72" xfId="38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vertical="center" wrapText="1"/>
    </xf>
    <xf numFmtId="0" fontId="61" fillId="34" borderId="42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vertical="center" wrapText="1"/>
    </xf>
    <xf numFmtId="0" fontId="61" fillId="34" borderId="75" xfId="38" applyFont="1" applyFill="1" applyBorder="1" applyAlignment="1">
      <alignment horizontal="center" vertical="center" wrapText="1"/>
    </xf>
    <xf numFmtId="3" fontId="61" fillId="34" borderId="59" xfId="38" applyNumberFormat="1" applyFont="1" applyFill="1" applyBorder="1" applyAlignment="1">
      <alignment horizontal="center" vertical="center" wrapText="1"/>
    </xf>
    <xf numFmtId="0" fontId="61" fillId="34" borderId="59" xfId="0" applyFont="1" applyFill="1" applyBorder="1" applyAlignment="1">
      <alignment horizontal="center" vertical="center" wrapText="1"/>
    </xf>
    <xf numFmtId="167" fontId="61" fillId="34" borderId="59" xfId="44" applyNumberFormat="1" applyFont="1" applyFill="1" applyBorder="1" applyAlignment="1">
      <alignment horizontal="right" vertical="center" wrapText="1"/>
    </xf>
    <xf numFmtId="9" fontId="61" fillId="34" borderId="59" xfId="48" applyFont="1" applyFill="1" applyBorder="1" applyAlignment="1">
      <alignment horizontal="right" vertical="center" wrapText="1"/>
    </xf>
    <xf numFmtId="0" fontId="61" fillId="34" borderId="59" xfId="38" applyFont="1" applyFill="1" applyBorder="1" applyAlignment="1">
      <alignment horizontal="center" vertical="center" wrapText="1"/>
    </xf>
    <xf numFmtId="168" fontId="61" fillId="34" borderId="59" xfId="46" applyNumberFormat="1" applyFont="1" applyFill="1" applyBorder="1" applyAlignment="1">
      <alignment horizontal="center" vertical="center" wrapText="1"/>
    </xf>
    <xf numFmtId="168" fontId="61" fillId="34" borderId="76" xfId="46" applyNumberFormat="1" applyFont="1" applyFill="1" applyBorder="1" applyAlignment="1">
      <alignment horizontal="center" vertical="center" wrapText="1"/>
    </xf>
    <xf numFmtId="0" fontId="61" fillId="34" borderId="76" xfId="38" applyFont="1" applyFill="1" applyBorder="1" applyAlignment="1">
      <alignment horizontal="center" vertical="center" wrapText="1"/>
    </xf>
    <xf numFmtId="0" fontId="70" fillId="0" borderId="49" xfId="38" applyFont="1" applyFill="1" applyBorder="1" applyAlignment="1">
      <alignment horizontal="center" vertical="center" wrapText="1"/>
    </xf>
    <xf numFmtId="167" fontId="61" fillId="0" borderId="49" xfId="44" applyNumberFormat="1" applyFont="1" applyFill="1" applyBorder="1" applyAlignment="1">
      <alignment vertical="center" wrapText="1"/>
    </xf>
    <xf numFmtId="9" fontId="61" fillId="0" borderId="49" xfId="48" applyFont="1" applyFill="1" applyBorder="1" applyAlignment="1">
      <alignment horizontal="right" vertical="center" wrapText="1"/>
    </xf>
    <xf numFmtId="0" fontId="61" fillId="0" borderId="61" xfId="38" applyFont="1" applyFill="1" applyBorder="1" applyAlignment="1">
      <alignment horizontal="center" vertical="center" wrapText="1"/>
    </xf>
    <xf numFmtId="0" fontId="61" fillId="0" borderId="49" xfId="46" applyFont="1" applyFill="1" applyBorder="1" applyAlignment="1">
      <alignment horizontal="center" vertical="center" wrapText="1"/>
    </xf>
    <xf numFmtId="43" fontId="61" fillId="0" borderId="43" xfId="44" applyFont="1" applyFill="1" applyBorder="1" applyAlignment="1">
      <alignment vertical="center" wrapText="1"/>
    </xf>
    <xf numFmtId="164" fontId="0" fillId="0" borderId="0" xfId="0" applyNumberFormat="1"/>
    <xf numFmtId="0" fontId="23" fillId="24" borderId="32" xfId="1" applyFont="1" applyFill="1" applyBorder="1" applyAlignment="1">
      <alignment horizontal="center" vertical="center" wrapText="1"/>
    </xf>
    <xf numFmtId="0" fontId="23" fillId="24" borderId="31" xfId="1" applyFont="1" applyFill="1" applyBorder="1" applyAlignment="1">
      <alignment horizontal="center" vertical="center" wrapText="1"/>
    </xf>
    <xf numFmtId="170" fontId="22" fillId="0" borderId="32" xfId="1" applyNumberFormat="1" applyFont="1" applyFill="1" applyBorder="1" applyAlignment="1">
      <alignment horizontal="right" vertical="center" wrapText="1"/>
    </xf>
    <xf numFmtId="170" fontId="22" fillId="0" borderId="31" xfId="1" applyNumberFormat="1" applyFont="1" applyFill="1" applyBorder="1" applyAlignment="1">
      <alignment horizontal="right" vertical="center" wrapText="1"/>
    </xf>
    <xf numFmtId="0" fontId="23" fillId="24" borderId="36" xfId="1" applyFont="1" applyFill="1" applyBorder="1" applyAlignment="1">
      <alignment horizontal="center" vertical="center" wrapText="1"/>
    </xf>
    <xf numFmtId="170" fontId="23" fillId="24" borderId="34" xfId="1" applyNumberFormat="1" applyFont="1" applyFill="1" applyBorder="1" applyAlignment="1">
      <alignment horizontal="right" vertical="center" wrapText="1"/>
    </xf>
    <xf numFmtId="170" fontId="23" fillId="24" borderId="35" xfId="1" applyNumberFormat="1" applyFont="1" applyFill="1" applyBorder="1" applyAlignment="1">
      <alignment horizontal="right" vertical="center" wrapText="1"/>
    </xf>
    <xf numFmtId="0" fontId="31" fillId="0" borderId="36" xfId="1" applyFont="1" applyFill="1" applyBorder="1" applyAlignment="1">
      <alignment horizontal="left" vertical="center" wrapText="1"/>
    </xf>
    <xf numFmtId="0" fontId="22" fillId="0" borderId="34" xfId="1" applyFont="1" applyFill="1" applyBorder="1" applyAlignment="1">
      <alignment horizontal="left" vertical="center" wrapText="1"/>
    </xf>
    <xf numFmtId="0" fontId="22" fillId="0" borderId="35" xfId="1" applyFont="1" applyFill="1" applyBorder="1" applyAlignment="1">
      <alignment horizontal="left" vertical="center" wrapText="1"/>
    </xf>
    <xf numFmtId="164" fontId="22" fillId="0" borderId="32" xfId="1" applyNumberFormat="1" applyFont="1" applyFill="1" applyBorder="1" applyAlignment="1">
      <alignment horizontal="right" vertical="center" wrapText="1"/>
    </xf>
    <xf numFmtId="164" fontId="22" fillId="0" borderId="31" xfId="1" applyNumberFormat="1" applyFont="1" applyFill="1" applyBorder="1" applyAlignment="1">
      <alignment horizontal="right" vertical="center" wrapText="1"/>
    </xf>
    <xf numFmtId="164" fontId="23" fillId="24" borderId="34" xfId="1" applyNumberFormat="1" applyFont="1" applyFill="1" applyBorder="1" applyAlignment="1">
      <alignment horizontal="right" vertical="center" wrapText="1"/>
    </xf>
    <xf numFmtId="164" fontId="23" fillId="24" borderId="35" xfId="1" applyNumberFormat="1" applyFont="1" applyFill="1" applyBorder="1" applyAlignment="1">
      <alignment horizontal="right" vertical="center" wrapText="1"/>
    </xf>
    <xf numFmtId="167" fontId="61" fillId="34" borderId="43" xfId="38" applyNumberFormat="1" applyFont="1" applyFill="1" applyBorder="1" applyAlignment="1">
      <alignment vertical="center" wrapText="1"/>
    </xf>
    <xf numFmtId="167" fontId="61" fillId="0" borderId="59" xfId="38" applyNumberFormat="1" applyFont="1" applyFill="1" applyBorder="1" applyAlignment="1">
      <alignment vertical="center" wrapText="1"/>
    </xf>
    <xf numFmtId="167" fontId="61" fillId="0" borderId="40" xfId="38" applyNumberFormat="1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vertical="center" wrapText="1"/>
    </xf>
    <xf numFmtId="9" fontId="61" fillId="0" borderId="40" xfId="48" applyFont="1" applyFill="1" applyBorder="1" applyAlignment="1">
      <alignment vertical="center" wrapText="1"/>
    </xf>
    <xf numFmtId="9" fontId="61" fillId="0" borderId="43" xfId="48" applyFont="1" applyFill="1" applyBorder="1" applyAlignment="1">
      <alignment vertical="center" wrapText="1"/>
    </xf>
    <xf numFmtId="0" fontId="92" fillId="0" borderId="71" xfId="0" applyFont="1" applyFill="1" applyBorder="1" applyAlignment="1">
      <alignment horizontal="justify" vertical="center" wrapText="1"/>
    </xf>
    <xf numFmtId="0" fontId="92" fillId="0" borderId="70" xfId="0" applyFont="1" applyFill="1" applyBorder="1" applyAlignment="1">
      <alignment horizontal="justify" vertical="center" wrapText="1"/>
    </xf>
    <xf numFmtId="0" fontId="92" fillId="34" borderId="0" xfId="0" applyFont="1" applyFill="1" applyAlignment="1">
      <alignment horizontal="center" vertical="center"/>
    </xf>
    <xf numFmtId="0" fontId="92" fillId="34" borderId="69" xfId="38" applyFont="1" applyFill="1" applyBorder="1" applyAlignment="1">
      <alignment horizontal="center" vertical="center" wrapText="1"/>
    </xf>
    <xf numFmtId="0" fontId="92" fillId="34" borderId="42" xfId="0" applyFont="1" applyFill="1" applyBorder="1" applyAlignment="1">
      <alignment horizontal="left" vertical="center" wrapText="1"/>
    </xf>
    <xf numFmtId="3" fontId="92" fillId="34" borderId="43" xfId="38" applyNumberFormat="1" applyFont="1" applyFill="1" applyBorder="1" applyAlignment="1">
      <alignment horizontal="center" vertical="center" wrapText="1"/>
    </xf>
    <xf numFmtId="0" fontId="92" fillId="34" borderId="43" xfId="0" applyFont="1" applyFill="1" applyBorder="1" applyAlignment="1">
      <alignment horizontal="center" vertical="center" wrapText="1"/>
    </xf>
    <xf numFmtId="0" fontId="92" fillId="34" borderId="43" xfId="38" applyFont="1" applyFill="1" applyBorder="1" applyAlignment="1">
      <alignment horizontal="center" vertical="center" wrapText="1"/>
    </xf>
    <xf numFmtId="0" fontId="92" fillId="34" borderId="43" xfId="38" applyFont="1" applyFill="1" applyBorder="1" applyAlignment="1">
      <alignment vertical="center" wrapText="1"/>
    </xf>
    <xf numFmtId="167" fontId="92" fillId="34" borderId="43" xfId="44" applyNumberFormat="1" applyFont="1" applyFill="1" applyBorder="1" applyAlignment="1">
      <alignment vertical="center" wrapText="1"/>
    </xf>
    <xf numFmtId="9" fontId="92" fillId="34" borderId="43" xfId="48" applyFont="1" applyFill="1" applyBorder="1" applyAlignment="1">
      <alignment horizontal="right" vertical="center" wrapText="1"/>
    </xf>
    <xf numFmtId="168" fontId="92" fillId="34" borderId="43" xfId="46" applyNumberFormat="1" applyFont="1" applyFill="1" applyBorder="1" applyAlignment="1">
      <alignment horizontal="center" vertical="center" wrapText="1"/>
    </xf>
    <xf numFmtId="168" fontId="92" fillId="34" borderId="44" xfId="46" applyNumberFormat="1" applyFont="1" applyFill="1" applyBorder="1" applyAlignment="1">
      <alignment horizontal="center" vertical="center" wrapText="1"/>
    </xf>
    <xf numFmtId="0" fontId="92" fillId="34" borderId="44" xfId="38" applyFont="1" applyFill="1" applyBorder="1" applyAlignment="1">
      <alignment horizontal="center" vertical="center" wrapText="1"/>
    </xf>
    <xf numFmtId="0" fontId="92" fillId="34" borderId="0" xfId="0" applyFont="1" applyFill="1"/>
    <xf numFmtId="43" fontId="92" fillId="0" borderId="0" xfId="44" applyFont="1"/>
    <xf numFmtId="10" fontId="61" fillId="0" borderId="43" xfId="48" applyNumberFormat="1" applyFont="1" applyFill="1" applyBorder="1" applyAlignment="1">
      <alignment horizontal="right" vertical="center" wrapText="1"/>
    </xf>
    <xf numFmtId="0" fontId="61" fillId="0" borderId="45" xfId="38" applyFont="1" applyFill="1" applyBorder="1" applyAlignment="1">
      <alignment horizontal="center" vertical="center" wrapText="1"/>
    </xf>
    <xf numFmtId="3" fontId="61" fillId="0" borderId="46" xfId="38" applyNumberFormat="1" applyFont="1" applyFill="1" applyBorder="1" applyAlignment="1">
      <alignment horizontal="center" vertical="center" wrapText="1"/>
    </xf>
    <xf numFmtId="0" fontId="61" fillId="0" borderId="82" xfId="0" applyFont="1" applyFill="1" applyBorder="1" applyAlignment="1">
      <alignment horizontal="center" vertical="center"/>
    </xf>
    <xf numFmtId="0" fontId="61" fillId="0" borderId="46" xfId="38" applyFont="1" applyFill="1" applyBorder="1" applyAlignment="1">
      <alignment horizontal="center" vertical="center" wrapText="1"/>
    </xf>
    <xf numFmtId="0" fontId="61" fillId="0" borderId="46" xfId="38" applyFont="1" applyFill="1" applyBorder="1" applyAlignment="1">
      <alignment vertical="center" wrapText="1"/>
    </xf>
    <xf numFmtId="167" fontId="61" fillId="0" borderId="46" xfId="38" applyNumberFormat="1" applyFont="1" applyFill="1" applyBorder="1" applyAlignment="1">
      <alignment horizontal="center" vertical="center" wrapText="1"/>
    </xf>
    <xf numFmtId="167" fontId="61" fillId="0" borderId="46" xfId="44" applyNumberFormat="1" applyFont="1" applyFill="1" applyBorder="1" applyAlignment="1">
      <alignment horizontal="right" vertical="center" wrapText="1"/>
    </xf>
    <xf numFmtId="9" fontId="61" fillId="0" borderId="46" xfId="48" applyFont="1" applyFill="1" applyBorder="1" applyAlignment="1">
      <alignment horizontal="right" vertical="center" wrapText="1"/>
    </xf>
    <xf numFmtId="4" fontId="61" fillId="0" borderId="46" xfId="0" applyNumberFormat="1" applyFont="1" applyFill="1" applyBorder="1" applyAlignment="1">
      <alignment horizontal="center" vertical="center" wrapText="1"/>
    </xf>
    <xf numFmtId="168" fontId="61" fillId="0" borderId="46" xfId="46" applyNumberFormat="1" applyFont="1" applyFill="1" applyBorder="1" applyAlignment="1">
      <alignment horizontal="center" vertical="center" wrapText="1"/>
    </xf>
    <xf numFmtId="168" fontId="61" fillId="0" borderId="47" xfId="46" applyNumberFormat="1" applyFont="1" applyFill="1" applyBorder="1" applyAlignment="1">
      <alignment horizontal="center" vertical="center" wrapText="1"/>
    </xf>
    <xf numFmtId="0" fontId="61" fillId="0" borderId="54" xfId="38" applyFont="1" applyFill="1" applyBorder="1" applyAlignment="1">
      <alignment horizontal="center" vertical="center" wrapText="1"/>
    </xf>
    <xf numFmtId="0" fontId="61" fillId="0" borderId="47" xfId="38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left" vertical="center" wrapText="1"/>
    </xf>
    <xf numFmtId="0" fontId="89" fillId="0" borderId="0" xfId="0" applyFont="1" applyFill="1"/>
    <xf numFmtId="167" fontId="61" fillId="0" borderId="0" xfId="0" applyNumberFormat="1" applyFont="1" applyFill="1"/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14" fontId="62" fillId="0" borderId="0" xfId="0" applyNumberFormat="1" applyFont="1" applyFill="1" applyBorder="1" applyAlignment="1">
      <alignment horizontal="left" vertical="center"/>
    </xf>
    <xf numFmtId="0" fontId="92" fillId="0" borderId="25" xfId="0" applyFont="1" applyFill="1" applyBorder="1" applyAlignment="1">
      <alignment horizontal="justify" vertical="center" wrapText="1"/>
    </xf>
    <xf numFmtId="0" fontId="84" fillId="0" borderId="20" xfId="0" applyFont="1" applyFill="1" applyBorder="1" applyAlignment="1">
      <alignment horizontal="left" vertical="center" wrapText="1"/>
    </xf>
    <xf numFmtId="0" fontId="61" fillId="0" borderId="74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vertical="center" wrapText="1"/>
    </xf>
    <xf numFmtId="0" fontId="59" fillId="0" borderId="74" xfId="0" applyFont="1" applyFill="1" applyBorder="1" applyAlignment="1">
      <alignment vertical="center" wrapText="1"/>
    </xf>
    <xf numFmtId="0" fontId="59" fillId="0" borderId="71" xfId="0" applyFont="1" applyFill="1" applyBorder="1" applyAlignment="1">
      <alignment vertical="center" wrapText="1"/>
    </xf>
    <xf numFmtId="0" fontId="59" fillId="0" borderId="0" xfId="0" applyFont="1" applyFill="1" applyBorder="1"/>
    <xf numFmtId="0" fontId="24" fillId="27" borderId="36" xfId="38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left" vertical="center" wrapText="1"/>
    </xf>
    <xf numFmtId="0" fontId="22" fillId="0" borderId="31" xfId="1" applyFont="1" applyFill="1" applyBorder="1" applyAlignment="1">
      <alignment vertical="center" wrapText="1"/>
    </xf>
    <xf numFmtId="0" fontId="22" fillId="0" borderId="35" xfId="0" applyFont="1" applyBorder="1"/>
    <xf numFmtId="0" fontId="22" fillId="0" borderId="35" xfId="1" applyFont="1" applyFill="1" applyBorder="1" applyAlignment="1">
      <alignment vertical="center" wrapText="1"/>
    </xf>
    <xf numFmtId="0" fontId="22" fillId="0" borderId="32" xfId="1" applyFont="1" applyFill="1" applyBorder="1" applyAlignment="1">
      <alignment vertical="center" wrapText="1"/>
    </xf>
    <xf numFmtId="0" fontId="22" fillId="31" borderId="32" xfId="1" applyFont="1" applyFill="1" applyBorder="1" applyAlignment="1">
      <alignment vertical="center"/>
    </xf>
    <xf numFmtId="0" fontId="22" fillId="31" borderId="31" xfId="1" applyFont="1" applyFill="1" applyBorder="1" applyAlignment="1">
      <alignment vertical="center"/>
    </xf>
    <xf numFmtId="0" fontId="22" fillId="0" borderId="32" xfId="1" applyFont="1" applyBorder="1" applyAlignment="1">
      <alignment vertical="center"/>
    </xf>
    <xf numFmtId="0" fontId="22" fillId="0" borderId="31" xfId="1" applyFont="1" applyBorder="1" applyAlignment="1">
      <alignment vertical="center"/>
    </xf>
    <xf numFmtId="0" fontId="22" fillId="0" borderId="34" xfId="1" applyFont="1" applyBorder="1" applyAlignment="1">
      <alignment vertical="center"/>
    </xf>
    <xf numFmtId="0" fontId="22" fillId="0" borderId="35" xfId="1" applyFont="1" applyBorder="1" applyAlignment="1">
      <alignment vertical="center"/>
    </xf>
    <xf numFmtId="0" fontId="31" fillId="31" borderId="36" xfId="1" applyFont="1" applyFill="1" applyBorder="1" applyAlignment="1">
      <alignment horizontal="left" vertical="center" wrapText="1"/>
    </xf>
    <xf numFmtId="0" fontId="47" fillId="0" borderId="32" xfId="1" applyFont="1" applyFill="1" applyBorder="1" applyAlignment="1">
      <alignment vertical="center" wrapText="1"/>
    </xf>
    <xf numFmtId="0" fontId="47" fillId="0" borderId="32" xfId="0" applyFont="1" applyBorder="1"/>
    <xf numFmtId="0" fontId="47" fillId="0" borderId="32" xfId="1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4" fillId="24" borderId="32" xfId="38" applyFont="1" applyFill="1" applyBorder="1" applyAlignment="1">
      <alignment horizontal="center" vertical="center" wrapText="1"/>
    </xf>
    <xf numFmtId="10" fontId="24" fillId="24" borderId="32" xfId="38" applyNumberFormat="1" applyFont="1" applyFill="1" applyBorder="1" applyAlignment="1">
      <alignment horizontal="center" vertical="center" wrapText="1"/>
    </xf>
    <xf numFmtId="0" fontId="75" fillId="24" borderId="32" xfId="38" applyFont="1" applyFill="1" applyBorder="1" applyAlignment="1">
      <alignment horizontal="center" vertical="center" wrapText="1"/>
    </xf>
    <xf numFmtId="10" fontId="75" fillId="24" borderId="32" xfId="38" applyNumberFormat="1" applyFont="1" applyFill="1" applyBorder="1" applyAlignment="1">
      <alignment horizontal="center" vertical="center" wrapText="1"/>
    </xf>
    <xf numFmtId="0" fontId="61" fillId="34" borderId="63" xfId="38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left" vertical="center" wrapText="1"/>
    </xf>
    <xf numFmtId="0" fontId="59" fillId="0" borderId="57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left" vertical="center" wrapText="1"/>
    </xf>
    <xf numFmtId="0" fontId="84" fillId="33" borderId="38" xfId="0" applyFont="1" applyFill="1" applyBorder="1" applyAlignment="1">
      <alignment horizontal="left" vertical="center" wrapText="1"/>
    </xf>
    <xf numFmtId="0" fontId="61" fillId="0" borderId="57" xfId="0" applyFont="1" applyFill="1" applyBorder="1" applyAlignment="1">
      <alignment horizontal="justify" vertical="center" wrapText="1"/>
    </xf>
    <xf numFmtId="0" fontId="61" fillId="0" borderId="58" xfId="0" applyFont="1" applyFill="1" applyBorder="1" applyAlignment="1">
      <alignment horizontal="justify" vertical="center" wrapText="1"/>
    </xf>
    <xf numFmtId="0" fontId="61" fillId="0" borderId="30" xfId="0" applyFont="1" applyFill="1" applyBorder="1" applyAlignment="1">
      <alignment horizontal="justify" vertical="center" wrapText="1"/>
    </xf>
    <xf numFmtId="0" fontId="61" fillId="34" borderId="43" xfId="0" applyFont="1" applyFill="1" applyBorder="1" applyAlignment="1">
      <alignment vertical="center" wrapText="1"/>
    </xf>
    <xf numFmtId="167" fontId="61" fillId="34" borderId="0" xfId="0" applyNumberFormat="1" applyFont="1" applyFill="1"/>
    <xf numFmtId="0" fontId="34" fillId="26" borderId="30" xfId="0" applyFont="1" applyFill="1" applyBorder="1" applyAlignment="1">
      <alignment horizontal="center" vertical="center" wrapText="1"/>
    </xf>
    <xf numFmtId="0" fontId="41" fillId="26" borderId="0" xfId="0" applyFont="1" applyFill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0" fillId="27" borderId="27" xfId="0" applyFont="1" applyFill="1" applyBorder="1" applyAlignment="1">
      <alignment horizontal="center" vertical="center"/>
    </xf>
    <xf numFmtId="0" fontId="40" fillId="27" borderId="22" xfId="0" applyFont="1" applyFill="1" applyBorder="1" applyAlignment="1">
      <alignment horizontal="center" vertical="center"/>
    </xf>
    <xf numFmtId="0" fontId="40" fillId="27" borderId="23" xfId="0" applyFont="1" applyFill="1" applyBorder="1" applyAlignment="1">
      <alignment horizontal="center" vertical="center"/>
    </xf>
    <xf numFmtId="0" fontId="40" fillId="27" borderId="27" xfId="0" applyFont="1" applyFill="1" applyBorder="1" applyAlignment="1">
      <alignment horizontal="left" vertical="center" wrapText="1"/>
    </xf>
    <xf numFmtId="0" fontId="40" fillId="27" borderId="22" xfId="0" applyFont="1" applyFill="1" applyBorder="1" applyAlignment="1">
      <alignment horizontal="left" vertical="center" wrapText="1"/>
    </xf>
    <xf numFmtId="0" fontId="40" fillId="27" borderId="23" xfId="0" applyFont="1" applyFill="1" applyBorder="1" applyAlignment="1">
      <alignment horizontal="left" vertical="center" wrapText="1"/>
    </xf>
    <xf numFmtId="0" fontId="40" fillId="27" borderId="33" xfId="0" applyFont="1" applyFill="1" applyBorder="1" applyAlignment="1">
      <alignment horizontal="center" vertical="center"/>
    </xf>
    <xf numFmtId="0" fontId="40" fillId="27" borderId="14" xfId="0" applyFont="1" applyFill="1" applyBorder="1" applyAlignment="1">
      <alignment horizontal="center" vertical="center"/>
    </xf>
    <xf numFmtId="0" fontId="40" fillId="27" borderId="25" xfId="0" applyFont="1" applyFill="1" applyBorder="1" applyAlignment="1">
      <alignment horizontal="center" vertical="center"/>
    </xf>
    <xf numFmtId="0" fontId="31" fillId="0" borderId="14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0" fontId="22" fillId="0" borderId="33" xfId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2" fillId="0" borderId="2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32" fillId="0" borderId="33" xfId="1" applyFont="1" applyFill="1" applyBorder="1" applyAlignment="1">
      <alignment horizontal="center" vertical="center" wrapText="1"/>
    </xf>
    <xf numFmtId="0" fontId="22" fillId="0" borderId="34" xfId="1" applyFont="1" applyFill="1" applyBorder="1" applyAlignment="1">
      <alignment horizontal="center" vertical="center" wrapText="1"/>
    </xf>
    <xf numFmtId="0" fontId="22" fillId="0" borderId="35" xfId="1" applyFont="1" applyFill="1" applyBorder="1" applyAlignment="1">
      <alignment horizontal="center" vertical="center" wrapText="1"/>
    </xf>
    <xf numFmtId="0" fontId="46" fillId="25" borderId="33" xfId="0" applyFont="1" applyFill="1" applyBorder="1" applyAlignment="1">
      <alignment horizontal="center" vertical="center" wrapText="1"/>
    </xf>
    <xf numFmtId="0" fontId="46" fillId="25" borderId="14" xfId="0" applyFont="1" applyFill="1" applyBorder="1" applyAlignment="1">
      <alignment horizontal="center" vertical="center" wrapText="1"/>
    </xf>
    <xf numFmtId="0" fontId="46" fillId="25" borderId="25" xfId="0" applyFont="1" applyFill="1" applyBorder="1" applyAlignment="1">
      <alignment horizontal="center" vertical="center" wrapText="1"/>
    </xf>
    <xf numFmtId="0" fontId="46" fillId="25" borderId="32" xfId="0" applyFont="1" applyFill="1" applyBorder="1" applyAlignment="1">
      <alignment horizontal="center" vertical="center"/>
    </xf>
    <xf numFmtId="0" fontId="47" fillId="0" borderId="32" xfId="1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4" fillId="24" borderId="32" xfId="38" applyFont="1" applyFill="1" applyBorder="1" applyAlignment="1">
      <alignment horizontal="center" vertical="center" wrapText="1"/>
    </xf>
    <xf numFmtId="0" fontId="22" fillId="0" borderId="55" xfId="38" applyFont="1" applyFill="1" applyBorder="1" applyAlignment="1">
      <alignment horizontal="left" vertical="center" wrapText="1"/>
    </xf>
    <xf numFmtId="0" fontId="22" fillId="0" borderId="56" xfId="38" applyFont="1" applyFill="1" applyBorder="1" applyAlignment="1">
      <alignment horizontal="left" vertical="center" wrapText="1"/>
    </xf>
    <xf numFmtId="0" fontId="22" fillId="0" borderId="53" xfId="38" applyFont="1" applyFill="1" applyBorder="1" applyAlignment="1">
      <alignment horizontal="left" vertical="center" wrapText="1"/>
    </xf>
    <xf numFmtId="0" fontId="22" fillId="0" borderId="54" xfId="38" applyFont="1" applyFill="1" applyBorder="1" applyAlignment="1">
      <alignment horizontal="left" vertical="center" wrapText="1"/>
    </xf>
    <xf numFmtId="0" fontId="46" fillId="25" borderId="33" xfId="0" applyFont="1" applyFill="1" applyBorder="1" applyAlignment="1">
      <alignment horizontal="center" vertical="center"/>
    </xf>
    <xf numFmtId="0" fontId="46" fillId="25" borderId="14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0" fontId="24" fillId="24" borderId="32" xfId="38" applyFont="1" applyFill="1" applyBorder="1" applyAlignment="1">
      <alignment horizontal="center" vertical="center"/>
    </xf>
    <xf numFmtId="10" fontId="24" fillId="24" borderId="32" xfId="38" applyNumberFormat="1" applyFont="1" applyFill="1" applyBorder="1" applyAlignment="1">
      <alignment horizontal="center" vertical="center" wrapText="1"/>
    </xf>
    <xf numFmtId="0" fontId="24" fillId="24" borderId="15" xfId="38" applyFont="1" applyFill="1" applyBorder="1" applyAlignment="1">
      <alignment horizontal="center" vertical="center" wrapText="1"/>
    </xf>
    <xf numFmtId="0" fontId="24" fillId="24" borderId="37" xfId="38" applyFont="1" applyFill="1" applyBorder="1" applyAlignment="1">
      <alignment horizontal="center" vertical="center" wrapText="1"/>
    </xf>
    <xf numFmtId="0" fontId="24" fillId="24" borderId="57" xfId="38" applyFont="1" applyFill="1" applyBorder="1" applyAlignment="1">
      <alignment horizontal="center" vertical="center" wrapText="1"/>
    </xf>
    <xf numFmtId="0" fontId="24" fillId="24" borderId="58" xfId="38" applyFont="1" applyFill="1" applyBorder="1" applyAlignment="1">
      <alignment horizontal="center" vertical="center" wrapText="1"/>
    </xf>
    <xf numFmtId="0" fontId="24" fillId="24" borderId="33" xfId="38" applyFont="1" applyFill="1" applyBorder="1" applyAlignment="1">
      <alignment horizontal="center" vertical="center" wrapText="1"/>
    </xf>
    <xf numFmtId="0" fontId="24" fillId="24" borderId="25" xfId="38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62" fillId="0" borderId="32" xfId="46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81" xfId="1" applyFont="1" applyFill="1" applyBorder="1" applyAlignment="1">
      <alignment horizontal="center" vertical="center" wrapText="1"/>
    </xf>
    <xf numFmtId="0" fontId="75" fillId="24" borderId="32" xfId="38" applyFont="1" applyFill="1" applyBorder="1" applyAlignment="1">
      <alignment horizontal="center" vertical="center" wrapText="1"/>
    </xf>
    <xf numFmtId="0" fontId="75" fillId="24" borderId="16" xfId="38" applyFont="1" applyFill="1" applyBorder="1" applyAlignment="1">
      <alignment horizontal="center" vertical="center" wrapText="1"/>
    </xf>
    <xf numFmtId="0" fontId="75" fillId="24" borderId="24" xfId="38" applyFont="1" applyFill="1" applyBorder="1" applyAlignment="1">
      <alignment horizontal="center" vertical="center" wrapText="1"/>
    </xf>
    <xf numFmtId="0" fontId="85" fillId="24" borderId="32" xfId="38" applyFont="1" applyFill="1" applyBorder="1" applyAlignment="1">
      <alignment horizontal="center" vertical="center" wrapText="1"/>
    </xf>
    <xf numFmtId="0" fontId="75" fillId="24" borderId="32" xfId="38" applyFont="1" applyFill="1" applyBorder="1" applyAlignment="1">
      <alignment horizontal="center" vertical="center"/>
    </xf>
    <xf numFmtId="10" fontId="75" fillId="24" borderId="32" xfId="38" applyNumberFormat="1" applyFont="1" applyFill="1" applyBorder="1" applyAlignment="1">
      <alignment horizontal="center" vertical="center" wrapText="1"/>
    </xf>
    <xf numFmtId="0" fontId="75" fillId="24" borderId="20" xfId="38" applyFont="1" applyFill="1" applyBorder="1" applyAlignment="1">
      <alignment horizontal="center" vertical="center" wrapText="1"/>
    </xf>
    <xf numFmtId="0" fontId="85" fillId="24" borderId="15" xfId="38" applyFont="1" applyFill="1" applyBorder="1" applyAlignment="1">
      <alignment horizontal="center" vertical="center" wrapText="1"/>
    </xf>
    <xf numFmtId="0" fontId="85" fillId="24" borderId="57" xfId="38" applyFont="1" applyFill="1" applyBorder="1" applyAlignment="1">
      <alignment horizontal="center" vertical="center" wrapText="1"/>
    </xf>
    <xf numFmtId="0" fontId="85" fillId="24" borderId="37" xfId="38" applyFont="1" applyFill="1" applyBorder="1" applyAlignment="1">
      <alignment horizontal="center" vertical="center" wrapText="1"/>
    </xf>
    <xf numFmtId="0" fontId="85" fillId="24" borderId="58" xfId="38" applyFont="1" applyFill="1" applyBorder="1" applyAlignment="1">
      <alignment horizontal="center" vertical="center" wrapText="1"/>
    </xf>
    <xf numFmtId="0" fontId="75" fillId="24" borderId="57" xfId="38" applyFont="1" applyFill="1" applyBorder="1" applyAlignment="1">
      <alignment horizontal="center" vertical="center" wrapText="1"/>
    </xf>
    <xf numFmtId="0" fontId="75" fillId="24" borderId="58" xfId="38" applyFont="1" applyFill="1" applyBorder="1" applyAlignment="1">
      <alignment horizontal="center" vertical="center" wrapText="1"/>
    </xf>
    <xf numFmtId="0" fontId="75" fillId="24" borderId="33" xfId="38" applyFont="1" applyFill="1" applyBorder="1" applyAlignment="1">
      <alignment horizontal="center" vertical="center" wrapText="1"/>
    </xf>
    <xf numFmtId="0" fontId="75" fillId="24" borderId="25" xfId="38" applyFont="1" applyFill="1" applyBorder="1" applyAlignment="1">
      <alignment horizontal="center" vertical="center" wrapText="1"/>
    </xf>
    <xf numFmtId="0" fontId="61" fillId="0" borderId="62" xfId="46" applyFont="1" applyFill="1" applyBorder="1" applyAlignment="1">
      <alignment horizontal="center" vertical="center"/>
    </xf>
    <xf numFmtId="0" fontId="61" fillId="0" borderId="63" xfId="46" applyFont="1" applyFill="1" applyBorder="1" applyAlignment="1">
      <alignment horizontal="center" vertical="center"/>
    </xf>
    <xf numFmtId="0" fontId="61" fillId="0" borderId="55" xfId="46" applyFont="1" applyFill="1" applyBorder="1" applyAlignment="1">
      <alignment horizontal="center" vertical="center"/>
    </xf>
    <xf numFmtId="0" fontId="61" fillId="0" borderId="56" xfId="46" applyFont="1" applyFill="1" applyBorder="1" applyAlignment="1">
      <alignment horizontal="center" vertical="center"/>
    </xf>
    <xf numFmtId="0" fontId="61" fillId="34" borderId="62" xfId="38" applyFont="1" applyFill="1" applyBorder="1" applyAlignment="1">
      <alignment horizontal="center" vertical="center" wrapText="1"/>
    </xf>
    <xf numFmtId="0" fontId="61" fillId="34" borderId="63" xfId="38" applyFont="1" applyFill="1" applyBorder="1" applyAlignment="1">
      <alignment horizontal="center" vertical="center" wrapText="1"/>
    </xf>
    <xf numFmtId="0" fontId="61" fillId="29" borderId="30" xfId="0" applyFont="1" applyFill="1" applyBorder="1" applyAlignment="1">
      <alignment horizontal="center" vertical="center"/>
    </xf>
    <xf numFmtId="0" fontId="61" fillId="0" borderId="79" xfId="46" applyFont="1" applyFill="1" applyBorder="1" applyAlignment="1">
      <alignment horizontal="center" vertical="center"/>
    </xf>
    <xf numFmtId="0" fontId="61" fillId="0" borderId="65" xfId="46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61" fillId="0" borderId="58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59" fillId="0" borderId="57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59" fillId="0" borderId="58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77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left" vertical="center" wrapText="1"/>
    </xf>
    <xf numFmtId="0" fontId="79" fillId="33" borderId="38" xfId="0" applyFont="1" applyFill="1" applyBorder="1" applyAlignment="1">
      <alignment horizontal="left" vertical="center" wrapText="1"/>
    </xf>
    <xf numFmtId="0" fontId="79" fillId="33" borderId="20" xfId="0" applyFont="1" applyFill="1" applyBorder="1" applyAlignment="1">
      <alignment horizontal="left" vertical="center" wrapText="1"/>
    </xf>
    <xf numFmtId="0" fontId="84" fillId="33" borderId="19" xfId="0" applyFont="1" applyFill="1" applyBorder="1" applyAlignment="1">
      <alignment horizontal="left" vertical="center" wrapText="1"/>
    </xf>
    <xf numFmtId="0" fontId="84" fillId="33" borderId="38" xfId="0" applyFont="1" applyFill="1" applyBorder="1" applyAlignment="1">
      <alignment horizontal="left" vertical="center" wrapText="1"/>
    </xf>
    <xf numFmtId="0" fontId="84" fillId="33" borderId="20" xfId="0" applyFont="1" applyFill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justify" vertical="center" wrapText="1"/>
    </xf>
    <xf numFmtId="0" fontId="61" fillId="0" borderId="58" xfId="0" applyFont="1" applyFill="1" applyBorder="1" applyAlignment="1">
      <alignment horizontal="justify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0" fontId="61" fillId="0" borderId="30" xfId="0" applyFont="1" applyFill="1" applyBorder="1" applyAlignment="1">
      <alignment horizontal="justify" vertical="center" wrapText="1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oeda 2" xfId="45"/>
    <cellStyle name="Neutral 2" xfId="37"/>
    <cellStyle name="Normal" xfId="0" builtinId="0"/>
    <cellStyle name="Normal 2" xfId="38"/>
    <cellStyle name="Normal 2 2" xfId="46"/>
    <cellStyle name="Normal 3" xfId="1"/>
    <cellStyle name="Note 2" xfId="39"/>
    <cellStyle name="Note 2 2" xfId="47"/>
    <cellStyle name="Output 2" xfId="40"/>
    <cellStyle name="Porcentagem" xfId="48" builtinId="5"/>
    <cellStyle name="Title 2" xfId="41"/>
    <cellStyle name="Total 2" xfId="42"/>
    <cellStyle name="Vírgula" xfId="44" builtinId="3"/>
    <cellStyle name="Warning Text 2" xfId="43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mruColors>
      <color rgb="FFFF0066"/>
      <color rgb="FF99FF66"/>
      <color rgb="FFFF0DFF"/>
      <color rgb="FFFF9933"/>
      <color rgb="FF333300"/>
      <color rgb="FF009249"/>
      <color rgb="FF6699FF"/>
      <color rgb="FF669900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BRASIL Programa de Saneamento Básico da Bacia da Estrada Nova - PROMABEN II                                                                                                                   Contrato de Empréstimo: 3303/ OC-BR                            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VALOR BID U$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Gráfico!$B$8:$B$14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Gráfico!$C$8:$C$14</c:f>
              <c:numCache>
                <c:formatCode>_-[$$-409]* #,##0_ ;_-[$$-409]* \-#,##0\ ;_-[$$-409]* "-"??_ ;_-@_ </c:formatCode>
                <c:ptCount val="7"/>
                <c:pt idx="0">
                  <c:v>43511461.630000003</c:v>
                </c:pt>
                <c:pt idx="1">
                  <c:v>479392.66359756445</c:v>
                </c:pt>
                <c:pt idx="2">
                  <c:v>2565366.8799477285</c:v>
                </c:pt>
                <c:pt idx="3">
                  <c:v>12157519.08</c:v>
                </c:pt>
                <c:pt idx="4">
                  <c:v>20940.310000000001</c:v>
                </c:pt>
                <c:pt idx="5">
                  <c:v>83313.19</c:v>
                </c:pt>
                <c:pt idx="6">
                  <c:v>2939584.08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F-43C1-AB87-F85647B68145}"/>
            </c:ext>
          </c:extLst>
        </c:ser>
        <c:ser>
          <c:idx val="1"/>
          <c:order val="1"/>
          <c:tx>
            <c:strRef>
              <c:f>Gráfico!$D$7</c:f>
              <c:strCache>
                <c:ptCount val="1"/>
                <c:pt idx="0">
                  <c:v>VALOR APORTE U$</c:v>
                </c:pt>
              </c:strCache>
            </c:strRef>
          </c:tx>
          <c:invertIfNegative val="0"/>
          <c:dLbls>
            <c:spPr>
              <a:effectLst/>
            </c:spPr>
            <c:txPr>
              <a:bodyPr rot="-5400000" vert="horz" anchor="ctr" anchorCtr="1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Gráfico!$B$8:$B$14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Gráfico!$D$8:$D$14</c:f>
              <c:numCache>
                <c:formatCode>_-[$$-409]* #,##0_ ;_-[$$-409]* \-#,##0\ ;_-[$$-409]* "-"??_ ;_-@_ </c:formatCode>
                <c:ptCount val="7"/>
                <c:pt idx="0">
                  <c:v>34029774.82</c:v>
                </c:pt>
                <c:pt idx="1">
                  <c:v>628573.11999999988</c:v>
                </c:pt>
                <c:pt idx="2">
                  <c:v>-304096.90684645902</c:v>
                </c:pt>
                <c:pt idx="3">
                  <c:v>11738687.21805503</c:v>
                </c:pt>
                <c:pt idx="4">
                  <c:v>83761.279999999999</c:v>
                </c:pt>
                <c:pt idx="5">
                  <c:v>426001.2</c:v>
                </c:pt>
                <c:pt idx="6">
                  <c:v>25112451.910000004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0F-43C1-AB87-F85647B68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box"/>
        <c:axId val="129331200"/>
        <c:axId val="129332736"/>
        <c:axId val="0"/>
      </c:bar3DChart>
      <c:catAx>
        <c:axId val="129331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332736"/>
        <c:crosses val="autoZero"/>
        <c:auto val="1"/>
        <c:lblAlgn val="ctr"/>
        <c:lblOffset val="100"/>
        <c:noMultiLvlLbl val="0"/>
      </c:catAx>
      <c:valAx>
        <c:axId val="129332736"/>
        <c:scaling>
          <c:orientation val="minMax"/>
        </c:scaling>
        <c:delete val="0"/>
        <c:axPos val="l"/>
        <c:majorGridlines/>
        <c:numFmt formatCode="_-[$$-409]* #,##0_ ;_-[$$-409]* \-#,##0\ ;_-[$$-409]* &quot;-&quot;??_ ;_-@_ " sourceLinked="1"/>
        <c:majorTickMark val="none"/>
        <c:minorTickMark val="none"/>
        <c:tickLblPos val="nextTo"/>
        <c:crossAx val="129331200"/>
        <c:crosses val="autoZero"/>
        <c:crossBetween val="between"/>
        <c:minorUnit val="100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BRASIL Programa de Saneamento Básico da Bacia da Estrada Nova - PROMABEN II                                                                                                                   Contrato de Empréstimo: 3303/ OC-BR                            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Gráfico!$C$17</c:f>
              <c:strCache>
                <c:ptCount val="1"/>
                <c:pt idx="0">
                  <c:v>% BID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Gráfico!$B$18:$B$24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Gráfico!$C$18:$C$24</c:f>
              <c:numCache>
                <c:formatCode>0%</c:formatCode>
                <c:ptCount val="7"/>
                <c:pt idx="0">
                  <c:v>0.56113964159002006</c:v>
                </c:pt>
                <c:pt idx="1">
                  <c:v>0.43267822047805188</c:v>
                </c:pt>
                <c:pt idx="2">
                  <c:v>1.1344805841247689</c:v>
                </c:pt>
                <c:pt idx="3">
                  <c:v>0.50876356390468258</c:v>
                </c:pt>
                <c:pt idx="4">
                  <c:v>0.19999992359237334</c:v>
                </c:pt>
                <c:pt idx="5">
                  <c:v>0.16357910091643002</c:v>
                </c:pt>
                <c:pt idx="6">
                  <c:v>0.1047904002778231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6-465C-9479-E9EB1C57240C}"/>
            </c:ext>
          </c:extLst>
        </c:ser>
        <c:ser>
          <c:idx val="1"/>
          <c:order val="1"/>
          <c:tx>
            <c:strRef>
              <c:f>Gráfico!$D$17</c:f>
              <c:strCache>
                <c:ptCount val="1"/>
                <c:pt idx="0">
                  <c:v>% APORTE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Gráfico!$B$18:$B$24</c:f>
              <c:strCache>
                <c:ptCount val="7"/>
                <c:pt idx="0">
                  <c:v>OBRAS</c:v>
                </c:pt>
                <c:pt idx="1">
                  <c:v>BENS</c:v>
                </c:pt>
                <c:pt idx="2">
                  <c:v>SERVIÇOS QUE NÃO SÃO DE CONSULTORIA</c:v>
                </c:pt>
                <c:pt idx="3">
                  <c:v>CONSULTORIAS FIRMAS</c:v>
                </c:pt>
                <c:pt idx="4">
                  <c:v>CONSULTORIAS INDIVIDUAL</c:v>
                </c:pt>
                <c:pt idx="5">
                  <c:v>CAPACITAÇÃO</c:v>
                </c:pt>
                <c:pt idx="6">
                  <c:v>SUBPROJETOS </c:v>
                </c:pt>
              </c:strCache>
            </c:strRef>
          </c:cat>
          <c:val>
            <c:numRef>
              <c:f>Gráfico!$D$18:$D$24</c:f>
              <c:numCache>
                <c:formatCode>0%</c:formatCode>
                <c:ptCount val="7"/>
                <c:pt idx="0">
                  <c:v>0.43886035840997994</c:v>
                </c:pt>
                <c:pt idx="1">
                  <c:v>0.56732177952194818</c:v>
                </c:pt>
                <c:pt idx="2">
                  <c:v>-0.13448058412476882</c:v>
                </c:pt>
                <c:pt idx="3">
                  <c:v>0.49123643609531736</c:v>
                </c:pt>
                <c:pt idx="4">
                  <c:v>0.80000007640762671</c:v>
                </c:pt>
                <c:pt idx="5">
                  <c:v>0.83642089908356998</c:v>
                </c:pt>
                <c:pt idx="6">
                  <c:v>0.89520959972217695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36-465C-9479-E9EB1C57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176064"/>
        <c:axId val="195130880"/>
        <c:axId val="0"/>
      </c:bar3DChart>
      <c:catAx>
        <c:axId val="1891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130880"/>
        <c:crosses val="autoZero"/>
        <c:auto val="1"/>
        <c:lblAlgn val="ctr"/>
        <c:lblOffset val="100"/>
        <c:noMultiLvlLbl val="0"/>
      </c:catAx>
      <c:valAx>
        <c:axId val="195130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9176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7142</xdr:colOff>
      <xdr:row>1</xdr:row>
      <xdr:rowOff>23812</xdr:rowOff>
    </xdr:from>
    <xdr:to>
      <xdr:col>13</xdr:col>
      <xdr:colOff>283368</xdr:colOff>
      <xdr:row>36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38</xdr:row>
      <xdr:rowOff>0</xdr:rowOff>
    </xdr:from>
    <xdr:to>
      <xdr:col>13</xdr:col>
      <xdr:colOff>297656</xdr:colOff>
      <xdr:row>71</xdr:row>
      <xdr:rowOff>59530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(4G)%20PA%20Julho%202015%20(+%20Instru&#231;&#245;es%20+%20Coment&#225;rios)Rev.%2008.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 refreshError="1"/>
      <sheetData sheetId="1">
        <row r="99">
          <cell r="E99" t="str">
            <v>Seleção Baseada na Qualidade e Custo (SBQC)</v>
          </cell>
        </row>
        <row r="100">
          <cell r="E100" t="str">
            <v>Seleção Baseada na Qualidade (SBQ)</v>
          </cell>
        </row>
        <row r="101">
          <cell r="E101" t="str">
            <v>Seleção Baseada nas Qualificações do Consultor (SQC)</v>
          </cell>
        </row>
        <row r="102">
          <cell r="E102" t="str">
            <v>Contratação Direta (CD)</v>
          </cell>
        </row>
        <row r="103">
          <cell r="E103" t="str">
            <v>Sistema Nacional (SN)</v>
          </cell>
        </row>
        <row r="104">
          <cell r="E104" t="str">
            <v>Seleção Baseada no Menor Custo (SBMC) </v>
          </cell>
        </row>
        <row r="105">
          <cell r="E105" t="str">
            <v>Seleção Baseada em Orçamento Fixo (SBOF)</v>
          </cell>
        </row>
        <row r="106">
          <cell r="E106" t="str">
            <v>Licitação Pública Nacional (LPN)</v>
          </cell>
        </row>
        <row r="107">
          <cell r="E107" t="str">
            <v>Comparação de Preços (CP)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62"/>
  <sheetViews>
    <sheetView zoomScale="85" zoomScaleNormal="85" workbookViewId="0">
      <selection activeCell="A11" sqref="A11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2" customFormat="1" x14ac:dyDescent="0.25"/>
    <row r="2" spans="1:3" s="2" customFormat="1" x14ac:dyDescent="0.25"/>
    <row r="3" spans="1:3" s="2" customFormat="1" x14ac:dyDescent="0.25"/>
    <row r="4" spans="1:3" s="2" customFormat="1" ht="67.5" customHeight="1" x14ac:dyDescent="0.25">
      <c r="A4" s="588" t="s">
        <v>0</v>
      </c>
      <c r="B4" s="588"/>
      <c r="C4" s="588"/>
    </row>
    <row r="5" spans="1:3" s="2" customFormat="1" x14ac:dyDescent="0.25"/>
    <row r="6" spans="1:3" s="2" customFormat="1" ht="15.75" thickBot="1" x14ac:dyDescent="0.3"/>
    <row r="7" spans="1:3" ht="15.75" thickBot="1" x14ac:dyDescent="0.3">
      <c r="A7" s="28"/>
      <c r="B7" s="29" t="s">
        <v>1</v>
      </c>
      <c r="C7" s="28"/>
    </row>
    <row r="8" spans="1:3" ht="51" x14ac:dyDescent="0.25">
      <c r="A8" s="20" t="s">
        <v>2</v>
      </c>
      <c r="B8" s="30" t="s">
        <v>3</v>
      </c>
      <c r="C8" s="28"/>
    </row>
    <row r="9" spans="1:3" ht="25.5" x14ac:dyDescent="0.25">
      <c r="A9" s="21" t="s">
        <v>4</v>
      </c>
      <c r="B9" s="31" t="s">
        <v>5</v>
      </c>
      <c r="C9" s="28"/>
    </row>
    <row r="10" spans="1:3" s="2" customFormat="1" x14ac:dyDescent="0.25">
      <c r="A10" s="27"/>
      <c r="B10" s="32"/>
      <c r="C10" s="28"/>
    </row>
    <row r="11" spans="1:3" s="2" customFormat="1" ht="15.75" thickBot="1" x14ac:dyDescent="0.3">
      <c r="A11" s="26"/>
      <c r="B11" s="33"/>
      <c r="C11" s="28"/>
    </row>
    <row r="12" spans="1:3" s="24" customFormat="1" ht="15.75" thickBot="1" x14ac:dyDescent="0.3">
      <c r="A12" s="28"/>
      <c r="B12" s="29" t="s">
        <v>6</v>
      </c>
      <c r="C12" s="34"/>
    </row>
    <row r="13" spans="1:3" x14ac:dyDescent="0.25">
      <c r="A13" s="25" t="s">
        <v>7</v>
      </c>
      <c r="B13" s="35" t="s">
        <v>8</v>
      </c>
      <c r="C13" s="28" t="s">
        <v>9</v>
      </c>
    </row>
    <row r="14" spans="1:3" ht="15.75" thickBot="1" x14ac:dyDescent="0.3">
      <c r="A14" s="544" t="s">
        <v>10</v>
      </c>
      <c r="B14" s="545" t="s">
        <v>11</v>
      </c>
      <c r="C14" s="28" t="s">
        <v>9</v>
      </c>
    </row>
    <row r="15" spans="1:3" s="2" customFormat="1" x14ac:dyDescent="0.25">
      <c r="A15" s="40" t="s">
        <v>12</v>
      </c>
      <c r="B15" s="33" t="s">
        <v>13</v>
      </c>
      <c r="C15" s="41" t="s">
        <v>14</v>
      </c>
    </row>
    <row r="16" spans="1:3" ht="15.75" thickBot="1" x14ac:dyDescent="0.3">
      <c r="A16" s="28"/>
      <c r="B16" s="28"/>
      <c r="C16" s="28"/>
    </row>
    <row r="17" spans="1:3" ht="15.75" thickBot="1" x14ac:dyDescent="0.3">
      <c r="A17" s="28"/>
      <c r="B17" s="29" t="s">
        <v>15</v>
      </c>
      <c r="C17" s="28"/>
    </row>
    <row r="18" spans="1:3" x14ac:dyDescent="0.25">
      <c r="A18" s="592" t="s">
        <v>16</v>
      </c>
      <c r="B18" s="22" t="s">
        <v>17</v>
      </c>
      <c r="C18" s="28" t="s">
        <v>9</v>
      </c>
    </row>
    <row r="19" spans="1:3" ht="15.75" customHeight="1" x14ac:dyDescent="0.25">
      <c r="A19" s="593"/>
      <c r="B19" s="546" t="s">
        <v>18</v>
      </c>
      <c r="C19" s="28" t="s">
        <v>9</v>
      </c>
    </row>
    <row r="20" spans="1:3" ht="15.75" thickBot="1" x14ac:dyDescent="0.3">
      <c r="A20" s="594"/>
      <c r="B20" s="547" t="s">
        <v>19</v>
      </c>
      <c r="C20" s="28" t="s">
        <v>9</v>
      </c>
    </row>
    <row r="21" spans="1:3" ht="15.75" thickBot="1" x14ac:dyDescent="0.3">
      <c r="A21" s="28"/>
      <c r="B21" s="28"/>
      <c r="C21" s="28"/>
    </row>
    <row r="22" spans="1:3" ht="15.75" thickBot="1" x14ac:dyDescent="0.3">
      <c r="A22" s="36"/>
      <c r="B22" s="29" t="s">
        <v>15</v>
      </c>
      <c r="C22" s="28"/>
    </row>
    <row r="23" spans="1:3" x14ac:dyDescent="0.25">
      <c r="A23" s="595" t="s">
        <v>20</v>
      </c>
      <c r="B23" s="22" t="s">
        <v>21</v>
      </c>
      <c r="C23" s="28" t="s">
        <v>9</v>
      </c>
    </row>
    <row r="24" spans="1:3" x14ac:dyDescent="0.25">
      <c r="A24" s="596"/>
      <c r="B24" s="546" t="s">
        <v>22</v>
      </c>
      <c r="C24" s="28" t="s">
        <v>9</v>
      </c>
    </row>
    <row r="25" spans="1:3" x14ac:dyDescent="0.25">
      <c r="A25" s="596"/>
      <c r="B25" s="546" t="s">
        <v>23</v>
      </c>
      <c r="C25" s="28" t="s">
        <v>9</v>
      </c>
    </row>
    <row r="26" spans="1:3" x14ac:dyDescent="0.25">
      <c r="A26" s="596"/>
      <c r="B26" s="546" t="s">
        <v>24</v>
      </c>
      <c r="C26" s="28" t="s">
        <v>9</v>
      </c>
    </row>
    <row r="27" spans="1:3" s="2" customFormat="1" x14ac:dyDescent="0.25">
      <c r="A27" s="596"/>
      <c r="B27" s="546" t="s">
        <v>25</v>
      </c>
      <c r="C27" s="28" t="s">
        <v>9</v>
      </c>
    </row>
    <row r="28" spans="1:3" s="2" customFormat="1" x14ac:dyDescent="0.25">
      <c r="A28" s="596"/>
      <c r="B28" s="546" t="s">
        <v>26</v>
      </c>
      <c r="C28" s="28" t="s">
        <v>9</v>
      </c>
    </row>
    <row r="29" spans="1:3" ht="15" customHeight="1" x14ac:dyDescent="0.25">
      <c r="A29" s="596"/>
      <c r="B29" s="546" t="s">
        <v>27</v>
      </c>
      <c r="C29" s="28" t="s">
        <v>9</v>
      </c>
    </row>
    <row r="30" spans="1:3" ht="15.75" thickBot="1" x14ac:dyDescent="0.3">
      <c r="A30" s="597"/>
      <c r="B30" s="548" t="s">
        <v>28</v>
      </c>
      <c r="C30" s="28" t="s">
        <v>9</v>
      </c>
    </row>
    <row r="31" spans="1:3" ht="15.75" thickBot="1" x14ac:dyDescent="0.3">
      <c r="A31" s="28"/>
      <c r="B31" s="28"/>
      <c r="C31" s="28"/>
    </row>
    <row r="32" spans="1:3" ht="15.75" thickBot="1" x14ac:dyDescent="0.3">
      <c r="A32" s="28"/>
      <c r="B32" s="29" t="s">
        <v>29</v>
      </c>
      <c r="C32" s="29" t="s">
        <v>15</v>
      </c>
    </row>
    <row r="33" spans="1:4" x14ac:dyDescent="0.25">
      <c r="A33" s="598" t="s">
        <v>30</v>
      </c>
      <c r="B33" s="601" t="s">
        <v>31</v>
      </c>
      <c r="C33" s="23" t="s">
        <v>32</v>
      </c>
      <c r="D33" s="2" t="s">
        <v>9</v>
      </c>
    </row>
    <row r="34" spans="1:4" x14ac:dyDescent="0.25">
      <c r="A34" s="599"/>
      <c r="B34" s="601"/>
      <c r="C34" s="549" t="s">
        <v>33</v>
      </c>
      <c r="D34" s="2" t="s">
        <v>9</v>
      </c>
    </row>
    <row r="35" spans="1:4" x14ac:dyDescent="0.25">
      <c r="A35" s="599"/>
      <c r="B35" s="601"/>
      <c r="C35" s="549" t="s">
        <v>34</v>
      </c>
      <c r="D35" s="2" t="s">
        <v>9</v>
      </c>
    </row>
    <row r="36" spans="1:4" x14ac:dyDescent="0.25">
      <c r="A36" s="599"/>
      <c r="B36" s="601"/>
      <c r="C36" s="549" t="s">
        <v>35</v>
      </c>
      <c r="D36" s="2" t="s">
        <v>9</v>
      </c>
    </row>
    <row r="37" spans="1:4" x14ac:dyDescent="0.25">
      <c r="A37" s="599"/>
      <c r="B37" s="601"/>
      <c r="C37" s="549" t="s">
        <v>36</v>
      </c>
      <c r="D37" s="2" t="s">
        <v>9</v>
      </c>
    </row>
    <row r="38" spans="1:4" x14ac:dyDescent="0.25">
      <c r="A38" s="599"/>
      <c r="B38" s="601"/>
      <c r="C38" s="549" t="s">
        <v>37</v>
      </c>
      <c r="D38" s="2" t="s">
        <v>9</v>
      </c>
    </row>
    <row r="39" spans="1:4" x14ac:dyDescent="0.25">
      <c r="A39" s="599"/>
      <c r="B39" s="602"/>
      <c r="C39" s="549" t="s">
        <v>38</v>
      </c>
      <c r="D39" s="2" t="s">
        <v>9</v>
      </c>
    </row>
    <row r="40" spans="1:4" x14ac:dyDescent="0.25">
      <c r="A40" s="599"/>
      <c r="B40" s="589" t="s">
        <v>39</v>
      </c>
      <c r="C40" s="549" t="s">
        <v>40</v>
      </c>
      <c r="D40" s="2" t="s">
        <v>9</v>
      </c>
    </row>
    <row r="41" spans="1:4" x14ac:dyDescent="0.25">
      <c r="A41" s="599"/>
      <c r="B41" s="590"/>
      <c r="C41" s="549" t="s">
        <v>41</v>
      </c>
      <c r="D41" s="2" t="s">
        <v>9</v>
      </c>
    </row>
    <row r="42" spans="1:4" x14ac:dyDescent="0.25">
      <c r="A42" s="599"/>
      <c r="B42" s="590"/>
      <c r="C42" s="549" t="s">
        <v>42</v>
      </c>
      <c r="D42" s="2" t="s">
        <v>9</v>
      </c>
    </row>
    <row r="43" spans="1:4" x14ac:dyDescent="0.25">
      <c r="A43" s="599"/>
      <c r="B43" s="590"/>
      <c r="C43" s="549" t="s">
        <v>35</v>
      </c>
      <c r="D43" s="2" t="s">
        <v>9</v>
      </c>
    </row>
    <row r="44" spans="1:4" x14ac:dyDescent="0.25">
      <c r="A44" s="599"/>
      <c r="B44" s="590"/>
      <c r="C44" s="549" t="s">
        <v>36</v>
      </c>
      <c r="D44" s="2" t="s">
        <v>9</v>
      </c>
    </row>
    <row r="45" spans="1:4" x14ac:dyDescent="0.25">
      <c r="A45" s="599"/>
      <c r="B45" s="590"/>
      <c r="C45" s="549" t="s">
        <v>43</v>
      </c>
      <c r="D45" s="2" t="s">
        <v>9</v>
      </c>
    </row>
    <row r="46" spans="1:4" x14ac:dyDescent="0.25">
      <c r="A46" s="599"/>
      <c r="B46" s="590"/>
      <c r="C46" s="549" t="s">
        <v>44</v>
      </c>
      <c r="D46" s="2" t="s">
        <v>9</v>
      </c>
    </row>
    <row r="47" spans="1:4" x14ac:dyDescent="0.25">
      <c r="A47" s="599"/>
      <c r="B47" s="590"/>
      <c r="C47" s="603" t="s">
        <v>45</v>
      </c>
      <c r="D47" s="2" t="s">
        <v>9</v>
      </c>
    </row>
    <row r="48" spans="1:4" ht="3.6" customHeight="1" x14ac:dyDescent="0.25">
      <c r="A48" s="599"/>
      <c r="B48" s="590"/>
      <c r="C48" s="604"/>
      <c r="D48" s="2" t="s">
        <v>9</v>
      </c>
    </row>
    <row r="49" spans="1:4" hidden="1" x14ac:dyDescent="0.25">
      <c r="A49" s="599"/>
      <c r="B49" s="591"/>
      <c r="C49" s="605"/>
      <c r="D49" s="2" t="s">
        <v>9</v>
      </c>
    </row>
    <row r="50" spans="1:4" x14ac:dyDescent="0.25">
      <c r="A50" s="599"/>
      <c r="B50" s="589" t="s">
        <v>46</v>
      </c>
      <c r="C50" s="549" t="s">
        <v>47</v>
      </c>
      <c r="D50" s="2" t="s">
        <v>9</v>
      </c>
    </row>
    <row r="51" spans="1:4" x14ac:dyDescent="0.25">
      <c r="A51" s="599"/>
      <c r="B51" s="590"/>
      <c r="C51" s="549" t="s">
        <v>35</v>
      </c>
      <c r="D51" s="2" t="s">
        <v>9</v>
      </c>
    </row>
    <row r="52" spans="1:4" x14ac:dyDescent="0.25">
      <c r="A52" s="600"/>
      <c r="B52" s="591"/>
      <c r="C52" s="549" t="s">
        <v>36</v>
      </c>
      <c r="D52" s="2" t="s">
        <v>9</v>
      </c>
    </row>
    <row r="53" spans="1:4" s="2" customFormat="1" x14ac:dyDescent="0.25">
      <c r="C53" s="38"/>
    </row>
    <row r="54" spans="1:4" s="2" customFormat="1" ht="15.75" thickBot="1" x14ac:dyDescent="0.3">
      <c r="C54" s="38"/>
    </row>
    <row r="55" spans="1:4" ht="15.75" thickBot="1" x14ac:dyDescent="0.3">
      <c r="A55" s="2"/>
      <c r="B55" s="29" t="s">
        <v>48</v>
      </c>
      <c r="C55" s="2"/>
      <c r="D55" s="2"/>
    </row>
    <row r="56" spans="1:4" x14ac:dyDescent="0.25">
      <c r="A56" s="587" t="s">
        <v>49</v>
      </c>
      <c r="B56" s="23" t="s">
        <v>50</v>
      </c>
      <c r="C56" s="2"/>
      <c r="D56" s="2"/>
    </row>
    <row r="57" spans="1:4" x14ac:dyDescent="0.25">
      <c r="A57" s="587"/>
      <c r="B57" s="549" t="s">
        <v>51</v>
      </c>
      <c r="C57" s="2"/>
      <c r="D57" s="2"/>
    </row>
    <row r="58" spans="1:4" x14ac:dyDescent="0.25">
      <c r="A58" s="587"/>
      <c r="B58" s="549" t="s">
        <v>52</v>
      </c>
      <c r="C58" s="2"/>
      <c r="D58" s="2"/>
    </row>
    <row r="59" spans="1:4" x14ac:dyDescent="0.25">
      <c r="A59" s="587"/>
      <c r="B59" s="549" t="s">
        <v>53</v>
      </c>
      <c r="C59" s="2"/>
      <c r="D59" s="2"/>
    </row>
    <row r="60" spans="1:4" x14ac:dyDescent="0.25">
      <c r="A60" s="587"/>
      <c r="B60" s="549" t="s">
        <v>54</v>
      </c>
      <c r="C60" s="2"/>
      <c r="D60" s="2"/>
    </row>
    <row r="61" spans="1:4" x14ac:dyDescent="0.25">
      <c r="A61" s="587"/>
      <c r="B61" s="549" t="s">
        <v>55</v>
      </c>
      <c r="C61" s="2"/>
      <c r="D61" s="2"/>
    </row>
    <row r="62" spans="1:4" x14ac:dyDescent="0.25">
      <c r="A62" s="587"/>
      <c r="B62" s="549" t="s">
        <v>56</v>
      </c>
      <c r="C62" s="2"/>
      <c r="D62" s="2"/>
    </row>
  </sheetData>
  <mergeCells count="9">
    <mergeCell ref="A56:A62"/>
    <mergeCell ref="A4:C4"/>
    <mergeCell ref="B50:B52"/>
    <mergeCell ref="A18:A20"/>
    <mergeCell ref="A23:A30"/>
    <mergeCell ref="A33:A52"/>
    <mergeCell ref="B33:B39"/>
    <mergeCell ref="B40:B49"/>
    <mergeCell ref="C47:C4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D20"/>
  <sheetViews>
    <sheetView workbookViewId="0">
      <selection activeCell="C18" sqref="C18"/>
    </sheetView>
  </sheetViews>
  <sheetFormatPr defaultRowHeight="15" x14ac:dyDescent="0.25"/>
  <cols>
    <col min="2" max="2" width="55" customWidth="1"/>
    <col min="3" max="3" width="50.140625" customWidth="1"/>
    <col min="4" max="4" width="30.85546875" bestFit="1" customWidth="1"/>
  </cols>
  <sheetData>
    <row r="1" spans="2:4" ht="15.75" thickBot="1" x14ac:dyDescent="0.3">
      <c r="B1" s="4"/>
      <c r="C1" s="4"/>
      <c r="D1" s="4"/>
    </row>
    <row r="2" spans="2:4" x14ac:dyDescent="0.25">
      <c r="B2" s="5" t="s">
        <v>57</v>
      </c>
      <c r="C2" s="6" t="s">
        <v>58</v>
      </c>
      <c r="D2" s="7" t="s">
        <v>59</v>
      </c>
    </row>
    <row r="3" spans="2:4" x14ac:dyDescent="0.25">
      <c r="B3" s="606" t="s">
        <v>60</v>
      </c>
      <c r="C3" s="550" t="s">
        <v>61</v>
      </c>
      <c r="D3" s="551"/>
    </row>
    <row r="4" spans="2:4" x14ac:dyDescent="0.25">
      <c r="B4" s="607"/>
      <c r="C4" s="552"/>
      <c r="D4" s="553"/>
    </row>
    <row r="5" spans="2:4" x14ac:dyDescent="0.25">
      <c r="B5" s="607"/>
      <c r="C5" s="552"/>
      <c r="D5" s="553"/>
    </row>
    <row r="6" spans="2:4" x14ac:dyDescent="0.25">
      <c r="B6" s="607"/>
      <c r="C6" s="552"/>
      <c r="D6" s="553"/>
    </row>
    <row r="7" spans="2:4" x14ac:dyDescent="0.25">
      <c r="B7" s="607"/>
      <c r="C7" s="552"/>
      <c r="D7" s="553"/>
    </row>
    <row r="8" spans="2:4" x14ac:dyDescent="0.25">
      <c r="B8" s="607"/>
      <c r="C8" s="552"/>
      <c r="D8" s="553"/>
    </row>
    <row r="9" spans="2:4" ht="15.75" thickBot="1" x14ac:dyDescent="0.3">
      <c r="B9" s="608"/>
      <c r="C9" s="554"/>
      <c r="D9" s="555"/>
    </row>
    <row r="11" spans="2:4" ht="49.5" customHeight="1" x14ac:dyDescent="0.25">
      <c r="B11" s="611" t="s">
        <v>62</v>
      </c>
      <c r="C11" s="611"/>
      <c r="D11" s="4"/>
    </row>
    <row r="12" spans="2:4" ht="15.75" thickBot="1" x14ac:dyDescent="0.3">
      <c r="B12" s="4"/>
      <c r="C12" s="4"/>
      <c r="D12" s="4"/>
    </row>
    <row r="13" spans="2:4" x14ac:dyDescent="0.25">
      <c r="B13" s="8" t="s">
        <v>63</v>
      </c>
      <c r="C13" s="9" t="s">
        <v>64</v>
      </c>
      <c r="D13" s="10"/>
    </row>
    <row r="14" spans="2:4" x14ac:dyDescent="0.25">
      <c r="B14" s="609" t="s">
        <v>65</v>
      </c>
      <c r="C14" s="553" t="s">
        <v>66</v>
      </c>
      <c r="D14" s="10"/>
    </row>
    <row r="15" spans="2:4" x14ac:dyDescent="0.25">
      <c r="B15" s="609"/>
      <c r="C15" s="553" t="s">
        <v>67</v>
      </c>
      <c r="D15" s="4"/>
    </row>
    <row r="16" spans="2:4" x14ac:dyDescent="0.25">
      <c r="B16" s="609"/>
      <c r="C16" s="553" t="s">
        <v>68</v>
      </c>
      <c r="D16" s="4"/>
    </row>
    <row r="17" spans="2:3" x14ac:dyDescent="0.25">
      <c r="B17" s="609"/>
      <c r="C17" s="553" t="s">
        <v>69</v>
      </c>
    </row>
    <row r="18" spans="2:3" ht="15.75" thickBot="1" x14ac:dyDescent="0.3">
      <c r="B18" s="610"/>
      <c r="C18" s="555" t="s">
        <v>70</v>
      </c>
    </row>
    <row r="20" spans="2:3" ht="54" customHeight="1" x14ac:dyDescent="0.25">
      <c r="B20" s="612" t="s">
        <v>71</v>
      </c>
      <c r="C20" s="612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0000"/>
  </sheetPr>
  <dimension ref="A1:C30"/>
  <sheetViews>
    <sheetView workbookViewId="0">
      <selection activeCell="B11" sqref="B11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33" customHeight="1" thickBot="1" x14ac:dyDescent="0.3">
      <c r="A1" s="616" t="s">
        <v>72</v>
      </c>
      <c r="B1" s="616"/>
      <c r="C1" s="616"/>
    </row>
    <row r="2" spans="1:3" ht="15.75" x14ac:dyDescent="0.25">
      <c r="A2" s="613" t="s">
        <v>73</v>
      </c>
      <c r="B2" s="614"/>
      <c r="C2" s="615"/>
    </row>
    <row r="3" spans="1:3" ht="15.75" x14ac:dyDescent="0.25">
      <c r="A3" s="11" t="s">
        <v>74</v>
      </c>
      <c r="B3" s="477" t="s">
        <v>75</v>
      </c>
      <c r="C3" s="478" t="s">
        <v>76</v>
      </c>
    </row>
    <row r="4" spans="1:3" ht="15.75" thickBot="1" x14ac:dyDescent="0.3">
      <c r="A4" s="484" t="s">
        <v>77</v>
      </c>
      <c r="B4" s="485" t="s">
        <v>78</v>
      </c>
      <c r="C4" s="486" t="s">
        <v>79</v>
      </c>
    </row>
    <row r="5" spans="1:3" ht="15.75" thickBot="1" x14ac:dyDescent="0.3">
      <c r="A5" s="601"/>
      <c r="B5" s="601"/>
      <c r="C5" s="601"/>
    </row>
    <row r="6" spans="1:3" ht="15.75" x14ac:dyDescent="0.25">
      <c r="A6" s="613" t="s">
        <v>80</v>
      </c>
      <c r="B6" s="614"/>
      <c r="C6" s="615"/>
    </row>
    <row r="7" spans="1:3" ht="15.75" thickBot="1" x14ac:dyDescent="0.3">
      <c r="A7" s="556" t="s">
        <v>81</v>
      </c>
      <c r="B7" s="617" t="s">
        <v>82</v>
      </c>
      <c r="C7" s="618"/>
    </row>
    <row r="8" spans="1:3" ht="15.75" thickBot="1" x14ac:dyDescent="0.3">
      <c r="A8" s="601"/>
      <c r="B8" s="601"/>
      <c r="C8" s="601"/>
    </row>
    <row r="9" spans="1:3" ht="15.75" x14ac:dyDescent="0.25">
      <c r="A9" s="613" t="s">
        <v>83</v>
      </c>
      <c r="B9" s="614"/>
      <c r="C9" s="615"/>
    </row>
    <row r="10" spans="1:3" ht="31.5" x14ac:dyDescent="0.25">
      <c r="A10" s="11" t="s">
        <v>84</v>
      </c>
      <c r="B10" s="477" t="s">
        <v>85</v>
      </c>
      <c r="C10" s="478" t="s">
        <v>86</v>
      </c>
    </row>
    <row r="11" spans="1:3" x14ac:dyDescent="0.25">
      <c r="A11" s="3" t="s">
        <v>87</v>
      </c>
      <c r="B11" s="487">
        <f>'Detalhe PA US$ - 5 anos'!L27</f>
        <v>85956311.695078865</v>
      </c>
      <c r="C11" s="487">
        <f>'Detalhe PA US$ - 5 anos'!J27</f>
        <v>164076807.50441641</v>
      </c>
    </row>
    <row r="12" spans="1:3" x14ac:dyDescent="0.25">
      <c r="A12" s="3" t="s">
        <v>88</v>
      </c>
      <c r="B12" s="487">
        <f>'Detalhe PA US$ - 5 anos'!L48</f>
        <v>1466102.6172344822</v>
      </c>
      <c r="C12" s="488">
        <f>'Detalhe PA US$ - 5 anos'!J48</f>
        <v>3699238.2902208203</v>
      </c>
    </row>
    <row r="13" spans="1:3" x14ac:dyDescent="0.25">
      <c r="A13" s="3" t="s">
        <v>89</v>
      </c>
      <c r="B13" s="487">
        <f>'Detalhe PA US$ - 5 anos'!L67</f>
        <v>2401598.9558359622</v>
      </c>
      <c r="C13" s="488">
        <f>'Detalhe PA US$ - 5 anos'!J67</f>
        <v>6334887.6971608829</v>
      </c>
    </row>
    <row r="14" spans="1:3" x14ac:dyDescent="0.25">
      <c r="A14" s="3" t="s">
        <v>90</v>
      </c>
      <c r="B14" s="487">
        <f>'Detalhe PA US$ - 5 anos'!L107</f>
        <v>93544</v>
      </c>
      <c r="C14" s="488">
        <f>'Detalhe PA US$ - 5 anos'!J107</f>
        <v>447620.18927444797</v>
      </c>
    </row>
    <row r="15" spans="1:3" x14ac:dyDescent="0.25">
      <c r="A15" s="3" t="s">
        <v>91</v>
      </c>
      <c r="B15" s="487">
        <v>0</v>
      </c>
      <c r="C15" s="488">
        <v>0</v>
      </c>
    </row>
    <row r="16" spans="1:3" x14ac:dyDescent="0.25">
      <c r="A16" s="3" t="s">
        <v>92</v>
      </c>
      <c r="B16" s="487">
        <f>'Detalhe PA US$ - 5 anos'!L87+'Detalhe PA US$ - 5 anos'!L98</f>
        <v>14385464.557508603</v>
      </c>
      <c r="C16" s="488">
        <f>'Detalhe PA US$ - 5 anos'!J87+'Detalhe PA US$ - 5 anos'!J98</f>
        <v>27044720.131041005</v>
      </c>
    </row>
    <row r="17" spans="1:3" x14ac:dyDescent="0.25">
      <c r="A17" s="12" t="s">
        <v>93</v>
      </c>
      <c r="B17" s="487">
        <v>0</v>
      </c>
      <c r="C17" s="488">
        <v>0</v>
      </c>
    </row>
    <row r="18" spans="1:3" x14ac:dyDescent="0.25">
      <c r="A18" s="3" t="s">
        <v>94</v>
      </c>
      <c r="B18" s="487">
        <f>'Detalhe PA US$ - 5 anos'!L116</f>
        <v>312701.5457413249</v>
      </c>
      <c r="C18" s="488">
        <f>'Detalhe PA US$ - 5 anos'!J116</f>
        <v>552709.77917981078</v>
      </c>
    </row>
    <row r="19" spans="1:3" x14ac:dyDescent="0.25">
      <c r="A19" s="12" t="s">
        <v>95</v>
      </c>
      <c r="B19" s="487">
        <v>0</v>
      </c>
      <c r="C19" s="488">
        <v>0</v>
      </c>
    </row>
    <row r="20" spans="1:3" ht="16.5" thickBot="1" x14ac:dyDescent="0.3">
      <c r="A20" s="481" t="s">
        <v>96</v>
      </c>
      <c r="B20" s="489">
        <f>SUM(B11:B19)</f>
        <v>104615723.37139924</v>
      </c>
      <c r="C20" s="489">
        <f>SUM(C11:C19)</f>
        <v>202155983.59129339</v>
      </c>
    </row>
    <row r="21" spans="1:3" ht="15.75" thickBot="1" x14ac:dyDescent="0.3">
      <c r="A21" s="2"/>
      <c r="B21" s="2"/>
      <c r="C21" s="2"/>
    </row>
    <row r="22" spans="1:3" ht="15.75" x14ac:dyDescent="0.25">
      <c r="A22" s="613" t="s">
        <v>97</v>
      </c>
      <c r="B22" s="614"/>
      <c r="C22" s="615"/>
    </row>
    <row r="23" spans="1:3" ht="31.5" x14ac:dyDescent="0.25">
      <c r="A23" s="11" t="s">
        <v>98</v>
      </c>
      <c r="B23" s="477" t="s">
        <v>85</v>
      </c>
      <c r="C23" s="478" t="s">
        <v>86</v>
      </c>
    </row>
    <row r="24" spans="1:3" x14ac:dyDescent="0.25">
      <c r="A24" s="12" t="s">
        <v>99</v>
      </c>
      <c r="B24" s="487">
        <v>90800000</v>
      </c>
      <c r="C24" s="488">
        <v>175800000</v>
      </c>
    </row>
    <row r="25" spans="1:3" ht="26.25" x14ac:dyDescent="0.25">
      <c r="A25" s="45" t="s">
        <v>100</v>
      </c>
      <c r="B25" s="487">
        <v>19300000</v>
      </c>
      <c r="C25" s="488">
        <v>47300000</v>
      </c>
    </row>
    <row r="26" spans="1:3" x14ac:dyDescent="0.25">
      <c r="A26" s="12" t="s">
        <v>101</v>
      </c>
      <c r="B26" s="487">
        <v>0</v>
      </c>
      <c r="C26" s="488">
        <v>0</v>
      </c>
    </row>
    <row r="27" spans="1:3" x14ac:dyDescent="0.25">
      <c r="A27" s="12" t="s">
        <v>102</v>
      </c>
      <c r="B27" s="487">
        <v>0</v>
      </c>
      <c r="C27" s="488">
        <v>0</v>
      </c>
    </row>
    <row r="28" spans="1:3" x14ac:dyDescent="0.25">
      <c r="A28" s="12" t="s">
        <v>103</v>
      </c>
      <c r="B28" s="487">
        <v>0</v>
      </c>
      <c r="C28" s="488">
        <v>0</v>
      </c>
    </row>
    <row r="29" spans="1:3" x14ac:dyDescent="0.25">
      <c r="A29" s="12" t="s">
        <v>104</v>
      </c>
      <c r="B29" s="487">
        <v>0</v>
      </c>
      <c r="C29" s="488">
        <v>0</v>
      </c>
    </row>
    <row r="30" spans="1:3" ht="16.5" thickBot="1" x14ac:dyDescent="0.3">
      <c r="A30" s="481" t="s">
        <v>96</v>
      </c>
      <c r="B30" s="489">
        <f>SUM(B24:B29)</f>
        <v>110100000</v>
      </c>
      <c r="C30" s="489">
        <f>SUM(C24:C29)</f>
        <v>223100000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FF0000"/>
    <pageSetUpPr fitToPage="1"/>
  </sheetPr>
  <dimension ref="A1:Y153"/>
  <sheetViews>
    <sheetView topLeftCell="A10" zoomScaleNormal="100" workbookViewId="0">
      <selection activeCell="B11" sqref="B11"/>
    </sheetView>
  </sheetViews>
  <sheetFormatPr defaultColWidth="8.85546875" defaultRowHeight="15" outlineLevelRow="1" x14ac:dyDescent="0.25"/>
  <cols>
    <col min="1" max="1" width="4.85546875" style="46" customWidth="1"/>
    <col min="2" max="2" width="9.7109375" style="2" customWidth="1"/>
    <col min="3" max="3" width="46" style="2" customWidth="1"/>
    <col min="4" max="5" width="12.42578125" style="2" customWidth="1"/>
    <col min="6" max="6" width="31.5703125" style="2" customWidth="1"/>
    <col min="7" max="7" width="37.7109375" style="2" bestFit="1" customWidth="1"/>
    <col min="8" max="8" width="12.85546875" style="2" hidden="1" customWidth="1"/>
    <col min="9" max="9" width="16.140625" style="2" hidden="1" customWidth="1"/>
    <col min="10" max="10" width="17.5703125" style="13" customWidth="1"/>
    <col min="11" max="11" width="15.7109375" style="14" customWidth="1"/>
    <col min="12" max="12" width="15.7109375" style="14" hidden="1" customWidth="1"/>
    <col min="13" max="13" width="18" style="14" customWidth="1"/>
    <col min="14" max="14" width="12.7109375" style="2" customWidth="1"/>
    <col min="15" max="15" width="19.5703125" style="2" customWidth="1"/>
    <col min="16" max="16" width="19.7109375" style="2" customWidth="1"/>
    <col min="17" max="17" width="17.28515625" style="2" customWidth="1"/>
    <col min="18" max="18" width="18.85546875" style="2" customWidth="1"/>
    <col min="19" max="19" width="18.85546875" style="2" hidden="1" customWidth="1"/>
    <col min="20" max="20" width="18.85546875" style="2" customWidth="1"/>
    <col min="21" max="21" width="11" style="2" hidden="1" customWidth="1"/>
    <col min="22" max="22" width="11" style="192" hidden="1" customWidth="1"/>
    <col min="23" max="23" width="16.28515625" customWidth="1"/>
    <col min="25" max="16384" width="8.85546875" style="2"/>
  </cols>
  <sheetData>
    <row r="1" spans="1:24" x14ac:dyDescent="0.25">
      <c r="B1" s="18"/>
      <c r="V1" s="220"/>
      <c r="W1" s="2"/>
      <c r="X1" s="2"/>
    </row>
    <row r="2" spans="1:24" ht="15.75" x14ac:dyDescent="0.25">
      <c r="B2" s="42" t="s">
        <v>105</v>
      </c>
      <c r="C2" s="43"/>
      <c r="D2" s="43"/>
      <c r="E2" s="43"/>
      <c r="V2" s="220"/>
      <c r="W2" s="2"/>
      <c r="X2" s="2"/>
    </row>
    <row r="3" spans="1:24" ht="15.75" x14ac:dyDescent="0.25">
      <c r="B3" s="44" t="s">
        <v>106</v>
      </c>
      <c r="C3" s="43"/>
      <c r="D3" s="43"/>
      <c r="E3" s="43"/>
      <c r="V3" s="220"/>
      <c r="W3" s="2"/>
      <c r="X3" s="2"/>
    </row>
    <row r="4" spans="1:24" ht="15.75" x14ac:dyDescent="0.25">
      <c r="B4" s="44" t="s">
        <v>107</v>
      </c>
      <c r="C4" s="43"/>
      <c r="D4" s="43"/>
      <c r="E4" s="43"/>
      <c r="V4" s="220"/>
      <c r="W4" s="2"/>
      <c r="X4" s="2"/>
    </row>
    <row r="5" spans="1:24" ht="15.75" x14ac:dyDescent="0.25">
      <c r="B5" s="44" t="s">
        <v>108</v>
      </c>
      <c r="C5" s="43"/>
      <c r="D5" s="43"/>
      <c r="E5" s="43"/>
      <c r="F5" s="48"/>
      <c r="G5" s="2" t="s">
        <v>109</v>
      </c>
      <c r="V5" s="220"/>
      <c r="W5" s="2"/>
      <c r="X5" s="2"/>
    </row>
    <row r="6" spans="1:24" ht="15.75" x14ac:dyDescent="0.25">
      <c r="B6" s="19"/>
      <c r="V6" s="220"/>
      <c r="W6" s="2"/>
      <c r="X6" s="2"/>
    </row>
    <row r="7" spans="1:24" ht="15.75" x14ac:dyDescent="0.25">
      <c r="B7" s="44" t="s">
        <v>110</v>
      </c>
      <c r="C7" s="43"/>
      <c r="D7" s="43"/>
      <c r="E7" s="43"/>
      <c r="V7" s="220"/>
      <c r="W7" s="2"/>
      <c r="X7" s="2"/>
    </row>
    <row r="8" spans="1:24" ht="15.75" x14ac:dyDescent="0.25">
      <c r="B8" s="44" t="s">
        <v>111</v>
      </c>
      <c r="C8" s="43"/>
      <c r="D8" s="43"/>
      <c r="E8" s="43"/>
      <c r="V8" s="220"/>
      <c r="W8" s="2"/>
      <c r="X8" s="2"/>
    </row>
    <row r="9" spans="1:24" ht="15.75" x14ac:dyDescent="0.25">
      <c r="B9" s="44" t="s">
        <v>112</v>
      </c>
      <c r="C9" s="43"/>
      <c r="D9" s="43"/>
      <c r="E9" s="43"/>
      <c r="V9" s="220"/>
      <c r="W9" s="2"/>
      <c r="X9" s="2"/>
    </row>
    <row r="10" spans="1:24" ht="15.75" x14ac:dyDescent="0.25">
      <c r="B10" s="37" t="s">
        <v>113</v>
      </c>
      <c r="V10" s="220"/>
      <c r="W10" s="2"/>
      <c r="X10" s="2"/>
    </row>
    <row r="11" spans="1:24" ht="15.75" customHeight="1" x14ac:dyDescent="0.25">
      <c r="B11" s="138" t="s">
        <v>114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1"/>
      <c r="V11" s="131"/>
      <c r="W11" s="2"/>
      <c r="X11" s="2"/>
    </row>
    <row r="12" spans="1:24" ht="15.75" x14ac:dyDescent="0.25">
      <c r="A12" s="644">
        <v>1</v>
      </c>
      <c r="B12" s="53" t="s">
        <v>115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1"/>
      <c r="V12" s="131"/>
      <c r="W12" s="2"/>
      <c r="X12" s="2"/>
    </row>
    <row r="13" spans="1:24" ht="15" customHeight="1" x14ac:dyDescent="0.25">
      <c r="A13" s="644"/>
      <c r="B13" s="628" t="s">
        <v>116</v>
      </c>
      <c r="C13" s="628" t="s">
        <v>117</v>
      </c>
      <c r="D13" s="628" t="s">
        <v>118</v>
      </c>
      <c r="E13" s="628" t="s">
        <v>119</v>
      </c>
      <c r="F13" s="628" t="s">
        <v>120</v>
      </c>
      <c r="G13" s="628" t="s">
        <v>121</v>
      </c>
      <c r="H13" s="628" t="s">
        <v>122</v>
      </c>
      <c r="I13" s="628" t="s">
        <v>123</v>
      </c>
      <c r="J13" s="636" t="s">
        <v>124</v>
      </c>
      <c r="K13" s="636"/>
      <c r="L13" s="636"/>
      <c r="M13" s="636"/>
      <c r="N13" s="642" t="s">
        <v>125</v>
      </c>
      <c r="O13" s="642" t="s">
        <v>126</v>
      </c>
      <c r="P13" s="628" t="s">
        <v>127</v>
      </c>
      <c r="Q13" s="628"/>
      <c r="R13" s="642" t="s">
        <v>128</v>
      </c>
      <c r="S13" s="642" t="s">
        <v>129</v>
      </c>
      <c r="T13" s="642" t="s">
        <v>20</v>
      </c>
      <c r="U13" s="1"/>
      <c r="V13" s="2"/>
      <c r="W13" s="2"/>
      <c r="X13" s="2"/>
    </row>
    <row r="14" spans="1:24" s="98" customFormat="1" ht="54.75" customHeight="1" x14ac:dyDescent="0.25">
      <c r="A14" s="97"/>
      <c r="B14" s="628"/>
      <c r="C14" s="628"/>
      <c r="D14" s="628"/>
      <c r="E14" s="628"/>
      <c r="F14" s="628"/>
      <c r="G14" s="628"/>
      <c r="H14" s="628"/>
      <c r="I14" s="628"/>
      <c r="J14" s="52" t="s">
        <v>130</v>
      </c>
      <c r="K14" s="565" t="s">
        <v>131</v>
      </c>
      <c r="L14" s="565" t="s">
        <v>132</v>
      </c>
      <c r="M14" s="565" t="s">
        <v>133</v>
      </c>
      <c r="N14" s="643"/>
      <c r="O14" s="643"/>
      <c r="P14" s="564" t="s">
        <v>134</v>
      </c>
      <c r="Q14" s="564" t="s">
        <v>135</v>
      </c>
      <c r="R14" s="643"/>
      <c r="S14" s="643"/>
      <c r="T14" s="643"/>
      <c r="U14" s="126"/>
      <c r="V14" s="2"/>
      <c r="W14" s="2"/>
      <c r="X14" s="2"/>
    </row>
    <row r="15" spans="1:24" s="34" customFormat="1" ht="63.75" outlineLevel="1" x14ac:dyDescent="0.25">
      <c r="A15" s="122" t="s">
        <v>136</v>
      </c>
      <c r="B15" s="99" t="s">
        <v>137</v>
      </c>
      <c r="C15" s="100" t="s">
        <v>138</v>
      </c>
      <c r="D15" s="206" t="s">
        <v>139</v>
      </c>
      <c r="E15" s="101" t="s">
        <v>140</v>
      </c>
      <c r="F15" s="62"/>
      <c r="G15" s="61" t="s">
        <v>40</v>
      </c>
      <c r="H15" s="61"/>
      <c r="I15" s="61"/>
      <c r="J15" s="63">
        <v>36643494.006309152</v>
      </c>
      <c r="K15" s="64">
        <v>0.92165295527691504</v>
      </c>
      <c r="L15" s="119">
        <f>J15*K15</f>
        <v>33772584.542586751</v>
      </c>
      <c r="M15" s="64">
        <v>7.834704472308493E-2</v>
      </c>
      <c r="N15" s="71" t="s">
        <v>140</v>
      </c>
      <c r="O15" s="61" t="s">
        <v>19</v>
      </c>
      <c r="P15" s="128">
        <v>43352</v>
      </c>
      <c r="Q15" s="129">
        <v>43436</v>
      </c>
      <c r="R15" s="61"/>
      <c r="S15" s="61"/>
      <c r="T15" s="70" t="s">
        <v>21</v>
      </c>
      <c r="U15" s="125">
        <v>84</v>
      </c>
      <c r="V15" s="205">
        <f>Q15</f>
        <v>43436</v>
      </c>
      <c r="W15" s="2"/>
      <c r="X15" s="2"/>
    </row>
    <row r="16" spans="1:24" s="34" customFormat="1" outlineLevel="1" x14ac:dyDescent="0.25">
      <c r="A16" s="122" t="s">
        <v>141</v>
      </c>
      <c r="B16" s="102" t="s">
        <v>137</v>
      </c>
      <c r="C16" s="103" t="s">
        <v>142</v>
      </c>
      <c r="D16" s="206" t="s">
        <v>143</v>
      </c>
      <c r="E16" s="104" t="s">
        <v>144</v>
      </c>
      <c r="F16" s="62" t="s">
        <v>109</v>
      </c>
      <c r="G16" s="62" t="s">
        <v>42</v>
      </c>
      <c r="H16" s="62" t="s">
        <v>109</v>
      </c>
      <c r="I16" s="62"/>
      <c r="J16" s="63">
        <v>47000</v>
      </c>
      <c r="K16" s="68">
        <v>0.79999999999999982</v>
      </c>
      <c r="L16" s="119">
        <f t="shared" ref="L16:L26" si="0">J16*K16</f>
        <v>37599.999999999993</v>
      </c>
      <c r="M16" s="64">
        <v>0.19999999999999996</v>
      </c>
      <c r="N16" s="166" t="s">
        <v>140</v>
      </c>
      <c r="O16" s="62" t="s">
        <v>19</v>
      </c>
      <c r="P16" s="124">
        <v>43193</v>
      </c>
      <c r="Q16" s="124">
        <v>43222</v>
      </c>
      <c r="R16" s="62"/>
      <c r="S16" s="62"/>
      <c r="T16" s="65" t="s">
        <v>21</v>
      </c>
      <c r="U16" s="125">
        <v>29</v>
      </c>
      <c r="V16" s="205">
        <f t="shared" ref="V16:V26" si="1">Q16</f>
        <v>43222</v>
      </c>
      <c r="W16" s="2"/>
      <c r="X16" s="2"/>
    </row>
    <row r="17" spans="1:24" s="34" customFormat="1" ht="25.5" outlineLevel="1" x14ac:dyDescent="0.25">
      <c r="A17" s="122" t="s">
        <v>145</v>
      </c>
      <c r="B17" s="102" t="s">
        <v>137</v>
      </c>
      <c r="C17" s="103" t="s">
        <v>146</v>
      </c>
      <c r="D17" s="206" t="s">
        <v>147</v>
      </c>
      <c r="E17" s="104" t="s">
        <v>148</v>
      </c>
      <c r="F17" s="62"/>
      <c r="G17" s="62" t="s">
        <v>41</v>
      </c>
      <c r="H17" s="62"/>
      <c r="I17" s="62"/>
      <c r="J17" s="63">
        <v>13840733.056466874</v>
      </c>
      <c r="K17" s="64">
        <v>0.65333320109256698</v>
      </c>
      <c r="L17" s="119">
        <f t="shared" si="0"/>
        <v>9042610.4332492109</v>
      </c>
      <c r="M17" s="64">
        <v>0.34666679890743318</v>
      </c>
      <c r="N17" s="166" t="s">
        <v>140</v>
      </c>
      <c r="O17" s="62" t="s">
        <v>19</v>
      </c>
      <c r="P17" s="124">
        <v>43442</v>
      </c>
      <c r="Q17" s="124">
        <v>43526</v>
      </c>
      <c r="R17" s="62"/>
      <c r="S17" s="62"/>
      <c r="T17" s="65" t="s">
        <v>21</v>
      </c>
      <c r="U17" s="125">
        <v>84</v>
      </c>
      <c r="V17" s="205">
        <f t="shared" si="1"/>
        <v>43526</v>
      </c>
      <c r="W17" s="2"/>
      <c r="X17" s="2"/>
    </row>
    <row r="18" spans="1:24" s="34" customFormat="1" ht="25.5" outlineLevel="1" x14ac:dyDescent="0.25">
      <c r="A18" s="122" t="s">
        <v>149</v>
      </c>
      <c r="B18" s="102" t="s">
        <v>137</v>
      </c>
      <c r="C18" s="103" t="s">
        <v>150</v>
      </c>
      <c r="D18" s="206" t="s">
        <v>151</v>
      </c>
      <c r="E18" s="104" t="s">
        <v>152</v>
      </c>
      <c r="F18" s="62"/>
      <c r="G18" s="62" t="s">
        <v>41</v>
      </c>
      <c r="H18" s="62"/>
      <c r="I18" s="62"/>
      <c r="J18" s="63">
        <v>14714644.164037853</v>
      </c>
      <c r="K18" s="64">
        <v>0.51934914427400836</v>
      </c>
      <c r="L18" s="119">
        <f t="shared" si="0"/>
        <v>7642037.8548895903</v>
      </c>
      <c r="M18" s="64">
        <v>0.48065085572599175</v>
      </c>
      <c r="N18" s="166" t="s">
        <v>140</v>
      </c>
      <c r="O18" s="62" t="s">
        <v>19</v>
      </c>
      <c r="P18" s="124">
        <v>43368</v>
      </c>
      <c r="Q18" s="124">
        <v>43436</v>
      </c>
      <c r="R18" s="62"/>
      <c r="S18" s="62"/>
      <c r="T18" s="65" t="s">
        <v>21</v>
      </c>
      <c r="U18" s="125">
        <v>68</v>
      </c>
      <c r="V18" s="205">
        <f t="shared" si="1"/>
        <v>43436</v>
      </c>
      <c r="W18" s="2"/>
      <c r="X18" s="2"/>
    </row>
    <row r="19" spans="1:24" s="34" customFormat="1" ht="25.5" outlineLevel="1" x14ac:dyDescent="0.25">
      <c r="A19" s="122" t="s">
        <v>153</v>
      </c>
      <c r="B19" s="102" t="s">
        <v>137</v>
      </c>
      <c r="C19" s="103" t="s">
        <v>154</v>
      </c>
      <c r="D19" s="206" t="s">
        <v>155</v>
      </c>
      <c r="E19" s="104" t="s">
        <v>156</v>
      </c>
      <c r="F19" s="62"/>
      <c r="G19" s="62" t="s">
        <v>40</v>
      </c>
      <c r="H19" s="62"/>
      <c r="I19" s="62"/>
      <c r="J19" s="63">
        <v>45000000</v>
      </c>
      <c r="K19" s="64">
        <v>0.6</v>
      </c>
      <c r="L19" s="119">
        <f t="shared" si="0"/>
        <v>27000000</v>
      </c>
      <c r="M19" s="64">
        <v>0.4</v>
      </c>
      <c r="N19" s="166" t="s">
        <v>140</v>
      </c>
      <c r="O19" s="62" t="s">
        <v>19</v>
      </c>
      <c r="P19" s="124">
        <v>43352</v>
      </c>
      <c r="Q19" s="124">
        <v>43436</v>
      </c>
      <c r="R19" s="62"/>
      <c r="S19" s="62"/>
      <c r="T19" s="65" t="s">
        <v>21</v>
      </c>
      <c r="U19" s="125">
        <v>84</v>
      </c>
      <c r="V19" s="205">
        <f t="shared" si="1"/>
        <v>43436</v>
      </c>
      <c r="W19" s="2"/>
      <c r="X19" s="2"/>
    </row>
    <row r="20" spans="1:24" s="34" customFormat="1" ht="25.5" outlineLevel="1" x14ac:dyDescent="0.25">
      <c r="A20" s="122" t="s">
        <v>157</v>
      </c>
      <c r="B20" s="102" t="s">
        <v>137</v>
      </c>
      <c r="C20" s="103" t="s">
        <v>158</v>
      </c>
      <c r="D20" s="206" t="s">
        <v>159</v>
      </c>
      <c r="E20" s="104" t="s">
        <v>160</v>
      </c>
      <c r="F20" s="62" t="s">
        <v>161</v>
      </c>
      <c r="G20" s="62" t="s">
        <v>41</v>
      </c>
      <c r="H20" s="62"/>
      <c r="I20" s="62"/>
      <c r="J20" s="63">
        <v>21625709.779179811</v>
      </c>
      <c r="K20" s="64">
        <v>0.26776001225320367</v>
      </c>
      <c r="L20" s="119">
        <f t="shared" si="0"/>
        <v>5790500.315457413</v>
      </c>
      <c r="M20" s="64">
        <v>0.73223998774679622</v>
      </c>
      <c r="N20" s="166" t="s">
        <v>140</v>
      </c>
      <c r="O20" s="62" t="s">
        <v>18</v>
      </c>
      <c r="P20" s="124">
        <v>43480</v>
      </c>
      <c r="Q20" s="124">
        <f>P20+68</f>
        <v>43548</v>
      </c>
      <c r="R20" s="62"/>
      <c r="S20" s="62"/>
      <c r="T20" s="65" t="s">
        <v>21</v>
      </c>
      <c r="U20" s="125">
        <v>68</v>
      </c>
      <c r="V20" s="205">
        <f t="shared" si="1"/>
        <v>43548</v>
      </c>
      <c r="W20" s="2"/>
      <c r="X20" s="2"/>
    </row>
    <row r="21" spans="1:24" s="34" customFormat="1" ht="25.5" outlineLevel="1" x14ac:dyDescent="0.25">
      <c r="A21" s="122" t="s">
        <v>162</v>
      </c>
      <c r="B21" s="102" t="s">
        <v>137</v>
      </c>
      <c r="C21" s="103" t="s">
        <v>163</v>
      </c>
      <c r="D21" s="206" t="s">
        <v>164</v>
      </c>
      <c r="E21" s="104" t="s">
        <v>160</v>
      </c>
      <c r="F21" s="62" t="s">
        <v>165</v>
      </c>
      <c r="G21" s="62" t="s">
        <v>41</v>
      </c>
      <c r="H21" s="62"/>
      <c r="I21" s="62"/>
      <c r="J21" s="63">
        <v>3981599.3690851736</v>
      </c>
      <c r="K21" s="64">
        <v>0.64436813828914874</v>
      </c>
      <c r="L21" s="119">
        <f t="shared" si="0"/>
        <v>2565615.7728706626</v>
      </c>
      <c r="M21" s="64">
        <v>0.3556318617108512</v>
      </c>
      <c r="N21" s="166" t="s">
        <v>140</v>
      </c>
      <c r="O21" s="62" t="s">
        <v>18</v>
      </c>
      <c r="P21" s="124">
        <v>43480</v>
      </c>
      <c r="Q21" s="124">
        <f>P21+68</f>
        <v>43548</v>
      </c>
      <c r="R21" s="62"/>
      <c r="S21" s="62"/>
      <c r="T21" s="65" t="s">
        <v>21</v>
      </c>
      <c r="U21" s="125">
        <v>68</v>
      </c>
      <c r="V21" s="205">
        <f t="shared" si="1"/>
        <v>43548</v>
      </c>
      <c r="W21" s="2"/>
      <c r="X21" s="2"/>
    </row>
    <row r="22" spans="1:24" s="34" customFormat="1" ht="51" outlineLevel="1" x14ac:dyDescent="0.25">
      <c r="A22" s="122" t="s">
        <v>166</v>
      </c>
      <c r="B22" s="102" t="s">
        <v>137</v>
      </c>
      <c r="C22" s="213" t="s">
        <v>167</v>
      </c>
      <c r="D22" s="206" t="s">
        <v>168</v>
      </c>
      <c r="E22" s="107"/>
      <c r="F22" s="62" t="s">
        <v>169</v>
      </c>
      <c r="G22" s="62" t="s">
        <v>36</v>
      </c>
      <c r="H22" s="62"/>
      <c r="I22" s="62"/>
      <c r="J22" s="210">
        <v>874497.16088328103</v>
      </c>
      <c r="K22" s="130">
        <v>0</v>
      </c>
      <c r="L22" s="119">
        <f t="shared" si="0"/>
        <v>0</v>
      </c>
      <c r="M22" s="130">
        <v>1</v>
      </c>
      <c r="N22" s="166" t="s">
        <v>140</v>
      </c>
      <c r="O22" s="62" t="s">
        <v>18</v>
      </c>
      <c r="P22" s="124">
        <v>43162</v>
      </c>
      <c r="Q22" s="124">
        <v>43222</v>
      </c>
      <c r="R22" s="62" t="s">
        <v>170</v>
      </c>
      <c r="S22" s="62"/>
      <c r="T22" s="65" t="s">
        <v>21</v>
      </c>
      <c r="U22" s="125">
        <v>60</v>
      </c>
      <c r="V22" s="205">
        <f t="shared" si="1"/>
        <v>43222</v>
      </c>
      <c r="W22" s="2"/>
      <c r="X22" s="2"/>
    </row>
    <row r="23" spans="1:24" s="34" customFormat="1" ht="25.5" outlineLevel="1" x14ac:dyDescent="0.25">
      <c r="A23" s="122" t="s">
        <v>171</v>
      </c>
      <c r="B23" s="102" t="s">
        <v>137</v>
      </c>
      <c r="C23" s="213" t="s">
        <v>172</v>
      </c>
      <c r="D23" s="206" t="s">
        <v>173</v>
      </c>
      <c r="E23" s="121"/>
      <c r="F23" s="62" t="s">
        <v>169</v>
      </c>
      <c r="G23" s="62" t="s">
        <v>36</v>
      </c>
      <c r="H23" s="62"/>
      <c r="I23" s="62"/>
      <c r="J23" s="63">
        <f>64433854/3.17</f>
        <v>20326136.90851735</v>
      </c>
      <c r="K23" s="64">
        <v>0</v>
      </c>
      <c r="L23" s="119">
        <f t="shared" si="0"/>
        <v>0</v>
      </c>
      <c r="M23" s="64">
        <v>1.0000000014108903</v>
      </c>
      <c r="N23" s="166" t="s">
        <v>140</v>
      </c>
      <c r="O23" s="62" t="s">
        <v>18</v>
      </c>
      <c r="P23" s="124">
        <v>43115</v>
      </c>
      <c r="Q23" s="124">
        <f>P23+60</f>
        <v>43175</v>
      </c>
      <c r="R23" s="62" t="s">
        <v>174</v>
      </c>
      <c r="S23" s="62"/>
      <c r="T23" s="65" t="s">
        <v>21</v>
      </c>
      <c r="U23" s="125">
        <v>60</v>
      </c>
      <c r="V23" s="205">
        <f t="shared" si="1"/>
        <v>43175</v>
      </c>
      <c r="W23" s="2"/>
      <c r="X23" s="2"/>
    </row>
    <row r="24" spans="1:24" s="34" customFormat="1" ht="38.25" outlineLevel="1" x14ac:dyDescent="0.25">
      <c r="A24" s="122" t="s">
        <v>175</v>
      </c>
      <c r="B24" s="111" t="s">
        <v>137</v>
      </c>
      <c r="C24" s="213" t="s">
        <v>176</v>
      </c>
      <c r="D24" s="206" t="s">
        <v>177</v>
      </c>
      <c r="E24" s="112"/>
      <c r="F24" s="62" t="s">
        <v>169</v>
      </c>
      <c r="G24" s="80" t="s">
        <v>36</v>
      </c>
      <c r="H24" s="80"/>
      <c r="I24" s="80"/>
      <c r="J24" s="197">
        <f>20477888/3.17</f>
        <v>6459901.5772870667</v>
      </c>
      <c r="K24" s="113">
        <v>0</v>
      </c>
      <c r="L24" s="119">
        <f t="shared" si="0"/>
        <v>0</v>
      </c>
      <c r="M24" s="113">
        <v>1</v>
      </c>
      <c r="N24" s="166" t="s">
        <v>140</v>
      </c>
      <c r="O24" s="141" t="s">
        <v>18</v>
      </c>
      <c r="P24" s="124">
        <v>43115</v>
      </c>
      <c r="Q24" s="142">
        <f>P24+60</f>
        <v>43175</v>
      </c>
      <c r="R24" s="62" t="s">
        <v>174</v>
      </c>
      <c r="S24" s="80"/>
      <c r="T24" s="81" t="s">
        <v>21</v>
      </c>
      <c r="U24" s="125">
        <v>60</v>
      </c>
      <c r="V24" s="205">
        <f t="shared" si="1"/>
        <v>43175</v>
      </c>
      <c r="W24" s="2"/>
      <c r="X24" s="2"/>
    </row>
    <row r="25" spans="1:24" s="34" customFormat="1" ht="25.5" outlineLevel="1" x14ac:dyDescent="0.25">
      <c r="A25" s="122" t="s">
        <v>178</v>
      </c>
      <c r="B25" s="102" t="s">
        <v>137</v>
      </c>
      <c r="C25" s="103" t="s">
        <v>179</v>
      </c>
      <c r="D25" s="206" t="s">
        <v>180</v>
      </c>
      <c r="E25" s="106"/>
      <c r="F25" s="62" t="s">
        <v>181</v>
      </c>
      <c r="G25" s="62" t="s">
        <v>42</v>
      </c>
      <c r="H25" s="62"/>
      <c r="I25" s="62"/>
      <c r="J25" s="63">
        <v>121451.10410094637</v>
      </c>
      <c r="K25" s="64">
        <v>0.46753246753246758</v>
      </c>
      <c r="L25" s="119">
        <f t="shared" si="0"/>
        <v>56782.334384858048</v>
      </c>
      <c r="M25" s="64">
        <v>0.53246753246753253</v>
      </c>
      <c r="N25" s="166" t="s">
        <v>140</v>
      </c>
      <c r="O25" s="62" t="s">
        <v>19</v>
      </c>
      <c r="P25" s="124">
        <v>43315</v>
      </c>
      <c r="Q25" s="124">
        <v>43344</v>
      </c>
      <c r="R25" s="62"/>
      <c r="S25" s="62"/>
      <c r="T25" s="65" t="s">
        <v>21</v>
      </c>
      <c r="U25" s="125">
        <v>29</v>
      </c>
      <c r="V25" s="205">
        <f t="shared" si="1"/>
        <v>43344</v>
      </c>
      <c r="W25" s="2"/>
      <c r="X25" s="2"/>
    </row>
    <row r="26" spans="1:24" s="34" customFormat="1" ht="25.5" outlineLevel="1" x14ac:dyDescent="0.25">
      <c r="A26" s="122" t="s">
        <v>182</v>
      </c>
      <c r="B26" s="102" t="s">
        <v>137</v>
      </c>
      <c r="C26" s="103" t="s">
        <v>183</v>
      </c>
      <c r="D26" s="206" t="s">
        <v>184</v>
      </c>
      <c r="E26" s="104" t="s">
        <v>185</v>
      </c>
      <c r="F26" s="62" t="s">
        <v>186</v>
      </c>
      <c r="G26" s="62" t="s">
        <v>41</v>
      </c>
      <c r="H26" s="62"/>
      <c r="I26" s="62"/>
      <c r="J26" s="63">
        <v>441640.37854889594</v>
      </c>
      <c r="K26" s="64">
        <v>0.11</v>
      </c>
      <c r="L26" s="119">
        <f t="shared" si="0"/>
        <v>48580.441640378551</v>
      </c>
      <c r="M26" s="64">
        <v>0.89</v>
      </c>
      <c r="N26" s="166" t="s">
        <v>140</v>
      </c>
      <c r="O26" s="62" t="s">
        <v>18</v>
      </c>
      <c r="P26" s="124">
        <v>43154</v>
      </c>
      <c r="Q26" s="124">
        <v>43222</v>
      </c>
      <c r="R26" s="62"/>
      <c r="S26" s="62"/>
      <c r="T26" s="65" t="s">
        <v>21</v>
      </c>
      <c r="U26" s="125">
        <v>68</v>
      </c>
      <c r="V26" s="205">
        <f t="shared" si="1"/>
        <v>43222</v>
      </c>
      <c r="W26" s="2"/>
      <c r="X26" s="2"/>
    </row>
    <row r="27" spans="1:24" s="72" customFormat="1" ht="20.25" customHeight="1" x14ac:dyDescent="0.25">
      <c r="A27" s="193"/>
      <c r="B27" s="73"/>
      <c r="C27" s="60"/>
      <c r="D27" s="60"/>
      <c r="E27" s="60"/>
      <c r="F27" s="60"/>
      <c r="G27" s="60"/>
      <c r="H27" s="77"/>
      <c r="I27" s="58" t="s">
        <v>187</v>
      </c>
      <c r="J27" s="136">
        <f>SUM(J15:J26)</f>
        <v>164076807.50441641</v>
      </c>
      <c r="K27" s="74"/>
      <c r="L27" s="136">
        <f>SUM(L15:L26)</f>
        <v>85956311.695078865</v>
      </c>
      <c r="M27" s="75"/>
      <c r="N27" s="60"/>
      <c r="O27" s="60"/>
      <c r="P27" s="60"/>
      <c r="Q27" s="60"/>
      <c r="R27" s="60"/>
      <c r="S27" s="60"/>
      <c r="T27" s="76"/>
      <c r="U27" s="125"/>
      <c r="V27" s="2"/>
      <c r="W27" s="2"/>
      <c r="X27" s="2"/>
    </row>
    <row r="28" spans="1:24" x14ac:dyDescent="0.25">
      <c r="U28" s="125"/>
      <c r="V28" s="2"/>
      <c r="W28" s="2"/>
      <c r="X28" s="2"/>
    </row>
    <row r="29" spans="1:24" ht="20.100000000000001" customHeight="1" x14ac:dyDescent="0.25">
      <c r="A29" s="51">
        <v>2</v>
      </c>
      <c r="B29" s="56" t="s">
        <v>188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125"/>
      <c r="V29" s="2"/>
      <c r="W29" s="2"/>
      <c r="X29" s="2"/>
    </row>
    <row r="30" spans="1:24" ht="15" customHeight="1" x14ac:dyDescent="0.25">
      <c r="B30" s="628" t="s">
        <v>189</v>
      </c>
      <c r="C30" s="628" t="s">
        <v>10</v>
      </c>
      <c r="D30" s="628" t="s">
        <v>118</v>
      </c>
      <c r="E30" s="628" t="s">
        <v>119</v>
      </c>
      <c r="F30" s="628" t="s">
        <v>120</v>
      </c>
      <c r="G30" s="628" t="s">
        <v>121</v>
      </c>
      <c r="H30" s="628" t="s">
        <v>122</v>
      </c>
      <c r="I30" s="628" t="s">
        <v>123</v>
      </c>
      <c r="J30" s="636" t="s">
        <v>190</v>
      </c>
      <c r="K30" s="636"/>
      <c r="L30" s="636"/>
      <c r="M30" s="636"/>
      <c r="N30" s="628" t="s">
        <v>191</v>
      </c>
      <c r="O30" s="628" t="s">
        <v>192</v>
      </c>
      <c r="P30" s="628" t="s">
        <v>193</v>
      </c>
      <c r="Q30" s="628"/>
      <c r="R30" s="628" t="s">
        <v>128</v>
      </c>
      <c r="S30" s="628" t="s">
        <v>129</v>
      </c>
      <c r="T30" s="628" t="s">
        <v>20</v>
      </c>
      <c r="U30" s="125"/>
      <c r="V30" s="2"/>
      <c r="W30" s="2"/>
      <c r="X30" s="2"/>
    </row>
    <row r="31" spans="1:24" ht="51.75" customHeight="1" x14ac:dyDescent="0.25">
      <c r="B31" s="628"/>
      <c r="C31" s="628"/>
      <c r="D31" s="628"/>
      <c r="E31" s="628"/>
      <c r="F31" s="628"/>
      <c r="G31" s="628"/>
      <c r="H31" s="628"/>
      <c r="I31" s="628"/>
      <c r="J31" s="52" t="s">
        <v>130</v>
      </c>
      <c r="K31" s="565" t="s">
        <v>131</v>
      </c>
      <c r="L31" s="565" t="s">
        <v>132</v>
      </c>
      <c r="M31" s="565" t="s">
        <v>133</v>
      </c>
      <c r="N31" s="628"/>
      <c r="O31" s="628"/>
      <c r="P31" s="564" t="s">
        <v>134</v>
      </c>
      <c r="Q31" s="564" t="s">
        <v>135</v>
      </c>
      <c r="R31" s="628"/>
      <c r="S31" s="628"/>
      <c r="T31" s="628"/>
      <c r="U31" s="125"/>
      <c r="V31" s="2"/>
      <c r="W31" s="2"/>
      <c r="X31" s="2"/>
    </row>
    <row r="32" spans="1:24" s="34" customFormat="1" outlineLevel="1" x14ac:dyDescent="0.25">
      <c r="A32" s="122" t="s">
        <v>140</v>
      </c>
      <c r="B32" s="111" t="s">
        <v>137</v>
      </c>
      <c r="C32" s="170" t="s">
        <v>194</v>
      </c>
      <c r="D32" s="206" t="s">
        <v>195</v>
      </c>
      <c r="E32" s="148"/>
      <c r="F32" s="62" t="s">
        <v>169</v>
      </c>
      <c r="G32" s="62" t="s">
        <v>36</v>
      </c>
      <c r="H32" s="80"/>
      <c r="I32" s="80"/>
      <c r="J32" s="63">
        <f>320000/3.17</f>
        <v>100946.37223974764</v>
      </c>
      <c r="K32" s="64">
        <v>0.84</v>
      </c>
      <c r="L32" s="119">
        <f>J32*K32</f>
        <v>84794.952681388007</v>
      </c>
      <c r="M32" s="64">
        <v>0.16</v>
      </c>
      <c r="N32" s="114" t="s">
        <v>148</v>
      </c>
      <c r="O32" s="80" t="s">
        <v>19</v>
      </c>
      <c r="P32" s="124">
        <v>43375</v>
      </c>
      <c r="Q32" s="124">
        <f>P32+60</f>
        <v>43435</v>
      </c>
      <c r="R32" s="62" t="s">
        <v>196</v>
      </c>
      <c r="S32" s="80"/>
      <c r="T32" s="81"/>
      <c r="U32" s="125">
        <v>0</v>
      </c>
      <c r="V32" s="205">
        <f>Q32</f>
        <v>43435</v>
      </c>
      <c r="W32" s="2"/>
      <c r="X32" s="2"/>
    </row>
    <row r="33" spans="1:24" s="34" customFormat="1" outlineLevel="1" x14ac:dyDescent="0.25">
      <c r="A33" s="122" t="s">
        <v>148</v>
      </c>
      <c r="B33" s="111" t="s">
        <v>137</v>
      </c>
      <c r="C33" s="170" t="s">
        <v>197</v>
      </c>
      <c r="D33" s="206" t="s">
        <v>195</v>
      </c>
      <c r="E33" s="147"/>
      <c r="F33" s="62" t="s">
        <v>169</v>
      </c>
      <c r="G33" s="62" t="s">
        <v>36</v>
      </c>
      <c r="H33" s="80"/>
      <c r="I33" s="80"/>
      <c r="J33" s="63">
        <f>120000/3.17</f>
        <v>37854.88958990536</v>
      </c>
      <c r="K33" s="64">
        <v>0.83</v>
      </c>
      <c r="L33" s="119">
        <f t="shared" ref="L33:L47" si="2">J33*K33</f>
        <v>31419.558359621449</v>
      </c>
      <c r="M33" s="64">
        <v>0.17</v>
      </c>
      <c r="N33" s="114" t="s">
        <v>148</v>
      </c>
      <c r="O33" s="80" t="s">
        <v>18</v>
      </c>
      <c r="P33" s="124">
        <v>43375</v>
      </c>
      <c r="Q33" s="124">
        <f>P33+60</f>
        <v>43435</v>
      </c>
      <c r="R33" s="62" t="s">
        <v>196</v>
      </c>
      <c r="S33" s="80"/>
      <c r="T33" s="81"/>
      <c r="U33" s="125">
        <v>0</v>
      </c>
      <c r="V33" s="205">
        <f t="shared" ref="V33:V47" si="3">Q33</f>
        <v>43435</v>
      </c>
      <c r="W33" s="2"/>
      <c r="X33" s="2"/>
    </row>
    <row r="34" spans="1:24" s="34" customFormat="1" ht="25.5" outlineLevel="1" x14ac:dyDescent="0.25">
      <c r="A34" s="122" t="s">
        <v>152</v>
      </c>
      <c r="B34" s="111" t="s">
        <v>137</v>
      </c>
      <c r="C34" s="170" t="s">
        <v>198</v>
      </c>
      <c r="D34" s="206" t="s">
        <v>195</v>
      </c>
      <c r="E34" s="147"/>
      <c r="F34" s="62" t="s">
        <v>169</v>
      </c>
      <c r="G34" s="62" t="s">
        <v>36</v>
      </c>
      <c r="H34" s="80"/>
      <c r="I34" s="80"/>
      <c r="J34" s="63">
        <f>556223/3.17</f>
        <v>175464.66876971608</v>
      </c>
      <c r="K34" s="64">
        <v>1</v>
      </c>
      <c r="L34" s="119">
        <f t="shared" si="2"/>
        <v>175464.66876971608</v>
      </c>
      <c r="M34" s="64">
        <v>0</v>
      </c>
      <c r="N34" s="114" t="s">
        <v>148</v>
      </c>
      <c r="O34" s="80" t="s">
        <v>19</v>
      </c>
      <c r="P34" s="124">
        <v>43375</v>
      </c>
      <c r="Q34" s="124">
        <f>P34+60</f>
        <v>43435</v>
      </c>
      <c r="R34" s="62" t="s">
        <v>196</v>
      </c>
      <c r="S34" s="80"/>
      <c r="T34" s="81"/>
      <c r="U34" s="125">
        <v>0</v>
      </c>
      <c r="V34" s="205">
        <f t="shared" si="3"/>
        <v>43435</v>
      </c>
      <c r="W34" s="2"/>
      <c r="X34" s="2"/>
    </row>
    <row r="35" spans="1:24" s="34" customFormat="1" ht="38.25" outlineLevel="1" x14ac:dyDescent="0.25">
      <c r="A35" s="122" t="s">
        <v>156</v>
      </c>
      <c r="B35" s="102" t="s">
        <v>137</v>
      </c>
      <c r="C35" s="106" t="s">
        <v>199</v>
      </c>
      <c r="D35" s="206" t="s">
        <v>200</v>
      </c>
      <c r="E35" s="104" t="s">
        <v>201</v>
      </c>
      <c r="F35" s="62" t="s">
        <v>202</v>
      </c>
      <c r="G35" s="62" t="s">
        <v>35</v>
      </c>
      <c r="H35" s="62"/>
      <c r="I35" s="62"/>
      <c r="J35" s="63">
        <v>37854.88958990536</v>
      </c>
      <c r="K35" s="64">
        <v>1</v>
      </c>
      <c r="L35" s="119">
        <f t="shared" si="2"/>
        <v>37854.88958990536</v>
      </c>
      <c r="M35" s="64">
        <v>0</v>
      </c>
      <c r="N35" s="166" t="s">
        <v>136</v>
      </c>
      <c r="O35" s="62" t="s">
        <v>19</v>
      </c>
      <c r="P35" s="124">
        <v>43061</v>
      </c>
      <c r="Q35" s="124">
        <v>43102</v>
      </c>
      <c r="R35" s="123"/>
      <c r="S35" s="62"/>
      <c r="T35" s="65" t="s">
        <v>22</v>
      </c>
      <c r="U35" s="125">
        <v>41</v>
      </c>
      <c r="V35" s="205">
        <f t="shared" si="3"/>
        <v>43102</v>
      </c>
      <c r="W35" s="2"/>
      <c r="X35" s="2"/>
    </row>
    <row r="36" spans="1:24" s="34" customFormat="1" outlineLevel="1" x14ac:dyDescent="0.25">
      <c r="A36" s="122" t="s">
        <v>185</v>
      </c>
      <c r="B36" s="102" t="s">
        <v>137</v>
      </c>
      <c r="C36" s="106" t="s">
        <v>203</v>
      </c>
      <c r="D36" s="206" t="s">
        <v>204</v>
      </c>
      <c r="E36" s="104" t="s">
        <v>205</v>
      </c>
      <c r="F36" s="62" t="s">
        <v>169</v>
      </c>
      <c r="G36" s="62" t="s">
        <v>36</v>
      </c>
      <c r="H36" s="62"/>
      <c r="I36" s="62"/>
      <c r="J36" s="63">
        <v>881388.01261829655</v>
      </c>
      <c r="K36" s="64">
        <v>0.3078024337866857</v>
      </c>
      <c r="L36" s="119">
        <f t="shared" si="2"/>
        <v>271293.37539432175</v>
      </c>
      <c r="M36" s="64">
        <v>0.6921975662133143</v>
      </c>
      <c r="N36" s="166" t="s">
        <v>148</v>
      </c>
      <c r="O36" s="62" t="s">
        <v>18</v>
      </c>
      <c r="P36" s="124">
        <v>43466</v>
      </c>
      <c r="Q36" s="124">
        <f>P36+60</f>
        <v>43526</v>
      </c>
      <c r="R36" s="62" t="s">
        <v>196</v>
      </c>
      <c r="S36" s="62"/>
      <c r="T36" s="65" t="s">
        <v>21</v>
      </c>
      <c r="U36" s="125">
        <v>60</v>
      </c>
      <c r="V36" s="205">
        <f t="shared" si="3"/>
        <v>43526</v>
      </c>
      <c r="W36" s="2"/>
      <c r="X36" s="2"/>
    </row>
    <row r="37" spans="1:24" s="34" customFormat="1" outlineLevel="1" x14ac:dyDescent="0.25">
      <c r="A37" s="122" t="s">
        <v>160</v>
      </c>
      <c r="B37" s="102" t="s">
        <v>137</v>
      </c>
      <c r="C37" s="107" t="s">
        <v>206</v>
      </c>
      <c r="D37" s="206" t="s">
        <v>207</v>
      </c>
      <c r="E37" s="108" t="s">
        <v>208</v>
      </c>
      <c r="F37" s="62" t="s">
        <v>169</v>
      </c>
      <c r="G37" s="62" t="s">
        <v>36</v>
      </c>
      <c r="H37" s="62"/>
      <c r="I37" s="62"/>
      <c r="J37" s="63">
        <v>281388.01261829655</v>
      </c>
      <c r="K37" s="64">
        <v>2.2421524663677129E-2</v>
      </c>
      <c r="L37" s="119">
        <f t="shared" si="2"/>
        <v>6309.1482649842274</v>
      </c>
      <c r="M37" s="64">
        <v>0.97757847533632281</v>
      </c>
      <c r="N37" s="166" t="s">
        <v>148</v>
      </c>
      <c r="O37" s="62" t="s">
        <v>18</v>
      </c>
      <c r="P37" s="124">
        <v>43466</v>
      </c>
      <c r="Q37" s="124">
        <f>P37+40</f>
        <v>43506</v>
      </c>
      <c r="R37" s="62" t="s">
        <v>196</v>
      </c>
      <c r="S37" s="62"/>
      <c r="T37" s="65" t="s">
        <v>21</v>
      </c>
      <c r="U37" s="125">
        <v>60</v>
      </c>
      <c r="V37" s="205">
        <f t="shared" si="3"/>
        <v>43506</v>
      </c>
      <c r="W37" s="2"/>
      <c r="X37" s="2"/>
    </row>
    <row r="38" spans="1:24" s="34" customFormat="1" outlineLevel="1" x14ac:dyDescent="0.25">
      <c r="A38" s="122" t="s">
        <v>144</v>
      </c>
      <c r="B38" s="102" t="s">
        <v>137</v>
      </c>
      <c r="C38" s="106" t="s">
        <v>209</v>
      </c>
      <c r="D38" s="206" t="s">
        <v>210</v>
      </c>
      <c r="E38" s="104" t="s">
        <v>211</v>
      </c>
      <c r="F38" s="62" t="s">
        <v>169</v>
      </c>
      <c r="G38" s="62" t="s">
        <v>36</v>
      </c>
      <c r="H38" s="62"/>
      <c r="I38" s="62"/>
      <c r="J38" s="63">
        <v>302839.11671924294</v>
      </c>
      <c r="K38" s="64">
        <v>0.375</v>
      </c>
      <c r="L38" s="119">
        <f t="shared" si="2"/>
        <v>113564.66876971611</v>
      </c>
      <c r="M38" s="64">
        <v>0.625</v>
      </c>
      <c r="N38" s="166" t="s">
        <v>148</v>
      </c>
      <c r="O38" s="62" t="s">
        <v>18</v>
      </c>
      <c r="P38" s="124">
        <v>43466</v>
      </c>
      <c r="Q38" s="124">
        <f t="shared" ref="Q38:Q47" si="4">P38+60</f>
        <v>43526</v>
      </c>
      <c r="R38" s="62" t="s">
        <v>196</v>
      </c>
      <c r="S38" s="62"/>
      <c r="T38" s="65" t="s">
        <v>21</v>
      </c>
      <c r="U38" s="125">
        <v>60</v>
      </c>
      <c r="V38" s="205">
        <f t="shared" si="3"/>
        <v>43526</v>
      </c>
      <c r="W38" s="2"/>
      <c r="X38" s="2"/>
    </row>
    <row r="39" spans="1:24" s="34" customFormat="1" outlineLevel="1" x14ac:dyDescent="0.25">
      <c r="A39" s="122" t="s">
        <v>212</v>
      </c>
      <c r="B39" s="102" t="s">
        <v>137</v>
      </c>
      <c r="C39" s="121" t="s">
        <v>213</v>
      </c>
      <c r="D39" s="206" t="s">
        <v>214</v>
      </c>
      <c r="E39" s="104" t="s">
        <v>215</v>
      </c>
      <c r="F39" s="62" t="s">
        <v>216</v>
      </c>
      <c r="G39" s="62" t="s">
        <v>36</v>
      </c>
      <c r="H39" s="62"/>
      <c r="I39" s="62"/>
      <c r="J39" s="63">
        <v>458500</v>
      </c>
      <c r="K39" s="64">
        <v>0.6</v>
      </c>
      <c r="L39" s="119">
        <f t="shared" si="2"/>
        <v>275100</v>
      </c>
      <c r="M39" s="64">
        <v>0.4</v>
      </c>
      <c r="N39" s="166" t="s">
        <v>140</v>
      </c>
      <c r="O39" s="62" t="s">
        <v>18</v>
      </c>
      <c r="P39" s="124">
        <v>43740</v>
      </c>
      <c r="Q39" s="124">
        <f t="shared" si="4"/>
        <v>43800</v>
      </c>
      <c r="R39" s="62" t="s">
        <v>196</v>
      </c>
      <c r="S39" s="62"/>
      <c r="T39" s="65"/>
      <c r="U39" s="125">
        <v>0</v>
      </c>
      <c r="V39" s="127">
        <f t="shared" si="3"/>
        <v>43800</v>
      </c>
      <c r="W39" s="2"/>
      <c r="X39" s="2"/>
    </row>
    <row r="40" spans="1:24" s="34" customFormat="1" ht="33" customHeight="1" outlineLevel="1" x14ac:dyDescent="0.25">
      <c r="A40" s="122" t="s">
        <v>217</v>
      </c>
      <c r="B40" s="102" t="s">
        <v>137</v>
      </c>
      <c r="C40" s="121" t="s">
        <v>218</v>
      </c>
      <c r="D40" s="206" t="s">
        <v>214</v>
      </c>
      <c r="E40" s="104" t="s">
        <v>215</v>
      </c>
      <c r="F40" s="62" t="s">
        <v>219</v>
      </c>
      <c r="G40" s="62" t="s">
        <v>36</v>
      </c>
      <c r="H40" s="62"/>
      <c r="I40" s="62"/>
      <c r="J40" s="63">
        <v>458500</v>
      </c>
      <c r="K40" s="64">
        <v>0.6</v>
      </c>
      <c r="L40" s="119">
        <f t="shared" si="2"/>
        <v>275100</v>
      </c>
      <c r="M40" s="64">
        <v>0.4</v>
      </c>
      <c r="N40" s="166" t="s">
        <v>140</v>
      </c>
      <c r="O40" s="62" t="s">
        <v>18</v>
      </c>
      <c r="P40" s="124">
        <v>43466</v>
      </c>
      <c r="Q40" s="124">
        <f t="shared" si="4"/>
        <v>43526</v>
      </c>
      <c r="R40" s="62" t="s">
        <v>196</v>
      </c>
      <c r="S40" s="62"/>
      <c r="T40" s="65" t="s">
        <v>21</v>
      </c>
      <c r="U40" s="125">
        <v>60</v>
      </c>
      <c r="V40" s="205">
        <f t="shared" si="3"/>
        <v>43526</v>
      </c>
      <c r="W40" s="2"/>
      <c r="X40" s="2"/>
    </row>
    <row r="41" spans="1:24" s="34" customFormat="1" ht="25.5" outlineLevel="1" x14ac:dyDescent="0.25">
      <c r="A41" s="122" t="s">
        <v>220</v>
      </c>
      <c r="B41" s="102" t="s">
        <v>137</v>
      </c>
      <c r="C41" s="106" t="s">
        <v>221</v>
      </c>
      <c r="D41" s="206" t="s">
        <v>222</v>
      </c>
      <c r="E41" s="104" t="s">
        <v>223</v>
      </c>
      <c r="F41" s="62" t="s">
        <v>224</v>
      </c>
      <c r="G41" s="62" t="s">
        <v>36</v>
      </c>
      <c r="H41" s="62"/>
      <c r="I41" s="62"/>
      <c r="J41" s="63">
        <v>54259</v>
      </c>
      <c r="K41" s="64">
        <v>0.15258215962441313</v>
      </c>
      <c r="L41" s="119">
        <f t="shared" si="2"/>
        <v>8278.9553990610311</v>
      </c>
      <c r="M41" s="64">
        <v>0.84741784037558687</v>
      </c>
      <c r="N41" s="166" t="s">
        <v>148</v>
      </c>
      <c r="O41" s="62" t="s">
        <v>18</v>
      </c>
      <c r="P41" s="124">
        <v>43284</v>
      </c>
      <c r="Q41" s="124">
        <f t="shared" si="4"/>
        <v>43344</v>
      </c>
      <c r="R41" s="62" t="s">
        <v>196</v>
      </c>
      <c r="S41" s="62"/>
      <c r="T41" s="65" t="s">
        <v>21</v>
      </c>
      <c r="U41" s="125">
        <v>60</v>
      </c>
      <c r="V41" s="205">
        <f t="shared" si="3"/>
        <v>43344</v>
      </c>
      <c r="W41" s="2"/>
      <c r="X41" s="2"/>
    </row>
    <row r="42" spans="1:24" s="34" customFormat="1" outlineLevel="1" x14ac:dyDescent="0.25">
      <c r="A42" s="122" t="s">
        <v>225</v>
      </c>
      <c r="B42" s="102" t="s">
        <v>137</v>
      </c>
      <c r="C42" s="121" t="s">
        <v>226</v>
      </c>
      <c r="D42" s="206" t="s">
        <v>222</v>
      </c>
      <c r="E42" s="118"/>
      <c r="F42" s="62" t="s">
        <v>224</v>
      </c>
      <c r="G42" s="62" t="s">
        <v>36</v>
      </c>
      <c r="H42" s="62"/>
      <c r="I42" s="62"/>
      <c r="J42" s="63">
        <f>(120000+560000)/3.17</f>
        <v>214511.04100946372</v>
      </c>
      <c r="K42" s="64">
        <v>0.15258215962441313</v>
      </c>
      <c r="L42" s="119">
        <f t="shared" si="2"/>
        <v>32730.557900505024</v>
      </c>
      <c r="M42" s="64">
        <v>0.84741784037558687</v>
      </c>
      <c r="N42" s="166" t="s">
        <v>148</v>
      </c>
      <c r="O42" s="62" t="s">
        <v>18</v>
      </c>
      <c r="P42" s="124">
        <v>43375</v>
      </c>
      <c r="Q42" s="124">
        <f t="shared" si="4"/>
        <v>43435</v>
      </c>
      <c r="R42" s="62" t="s">
        <v>196</v>
      </c>
      <c r="S42" s="62"/>
      <c r="T42" s="65" t="s">
        <v>21</v>
      </c>
      <c r="U42" s="125">
        <v>0</v>
      </c>
      <c r="V42" s="205">
        <f t="shared" si="3"/>
        <v>43435</v>
      </c>
      <c r="W42" s="2"/>
      <c r="X42" s="2"/>
    </row>
    <row r="43" spans="1:24" s="34" customFormat="1" outlineLevel="1" x14ac:dyDescent="0.25">
      <c r="A43" s="122" t="s">
        <v>227</v>
      </c>
      <c r="B43" s="102" t="s">
        <v>137</v>
      </c>
      <c r="C43" s="121" t="s">
        <v>228</v>
      </c>
      <c r="D43" s="206" t="s">
        <v>222</v>
      </c>
      <c r="E43" s="118"/>
      <c r="F43" s="62" t="s">
        <v>224</v>
      </c>
      <c r="G43" s="62" t="s">
        <v>36</v>
      </c>
      <c r="H43" s="62"/>
      <c r="I43" s="62"/>
      <c r="J43" s="63">
        <v>1000</v>
      </c>
      <c r="K43" s="64">
        <v>1</v>
      </c>
      <c r="L43" s="119">
        <f t="shared" si="2"/>
        <v>1000</v>
      </c>
      <c r="M43" s="64">
        <v>0</v>
      </c>
      <c r="N43" s="166" t="s">
        <v>148</v>
      </c>
      <c r="O43" s="62" t="s">
        <v>18</v>
      </c>
      <c r="P43" s="124">
        <v>43375</v>
      </c>
      <c r="Q43" s="124">
        <f t="shared" si="4"/>
        <v>43435</v>
      </c>
      <c r="R43" s="62" t="s">
        <v>196</v>
      </c>
      <c r="S43" s="62"/>
      <c r="T43" s="65" t="s">
        <v>21</v>
      </c>
      <c r="U43" s="125">
        <v>0</v>
      </c>
      <c r="V43" s="205">
        <f t="shared" si="3"/>
        <v>43435</v>
      </c>
      <c r="W43" s="2"/>
      <c r="X43" s="2"/>
    </row>
    <row r="44" spans="1:24" s="34" customFormat="1" outlineLevel="1" x14ac:dyDescent="0.25">
      <c r="A44" s="122" t="s">
        <v>229</v>
      </c>
      <c r="B44" s="102" t="s">
        <v>137</v>
      </c>
      <c r="C44" s="121" t="s">
        <v>230</v>
      </c>
      <c r="D44" s="206" t="s">
        <v>231</v>
      </c>
      <c r="E44" s="104"/>
      <c r="F44" s="62" t="s">
        <v>232</v>
      </c>
      <c r="G44" s="62" t="s">
        <v>36</v>
      </c>
      <c r="H44" s="62"/>
      <c r="I44" s="62"/>
      <c r="J44" s="63">
        <v>3155</v>
      </c>
      <c r="K44" s="64">
        <v>1</v>
      </c>
      <c r="L44" s="119">
        <f t="shared" si="2"/>
        <v>3155</v>
      </c>
      <c r="M44" s="64">
        <v>0</v>
      </c>
      <c r="N44" s="166" t="s">
        <v>136</v>
      </c>
      <c r="O44" s="62" t="s">
        <v>18</v>
      </c>
      <c r="P44" s="124">
        <v>43161</v>
      </c>
      <c r="Q44" s="124">
        <f t="shared" si="4"/>
        <v>43221</v>
      </c>
      <c r="R44" s="62" t="s">
        <v>196</v>
      </c>
      <c r="S44" s="62"/>
      <c r="T44" s="65" t="s">
        <v>21</v>
      </c>
      <c r="U44" s="125">
        <v>0</v>
      </c>
      <c r="V44" s="205">
        <f t="shared" si="3"/>
        <v>43221</v>
      </c>
      <c r="W44" s="2"/>
      <c r="X44" s="2"/>
    </row>
    <row r="45" spans="1:24" s="34" customFormat="1" ht="25.5" outlineLevel="1" x14ac:dyDescent="0.25">
      <c r="A45" s="122" t="s">
        <v>233</v>
      </c>
      <c r="B45" s="102" t="s">
        <v>137</v>
      </c>
      <c r="C45" s="106" t="s">
        <v>234</v>
      </c>
      <c r="D45" s="206" t="s">
        <v>235</v>
      </c>
      <c r="E45" s="106"/>
      <c r="F45" s="62" t="s">
        <v>236</v>
      </c>
      <c r="G45" s="62" t="s">
        <v>36</v>
      </c>
      <c r="H45" s="62"/>
      <c r="I45" s="62"/>
      <c r="J45" s="63">
        <v>501577.28706624609</v>
      </c>
      <c r="K45" s="64">
        <v>0</v>
      </c>
      <c r="L45" s="119">
        <f t="shared" si="2"/>
        <v>0</v>
      </c>
      <c r="M45" s="64">
        <v>1</v>
      </c>
      <c r="N45" s="166" t="s">
        <v>148</v>
      </c>
      <c r="O45" s="62" t="s">
        <v>18</v>
      </c>
      <c r="P45" s="124">
        <v>43466</v>
      </c>
      <c r="Q45" s="124">
        <f t="shared" si="4"/>
        <v>43526</v>
      </c>
      <c r="R45" s="62" t="s">
        <v>196</v>
      </c>
      <c r="S45" s="62"/>
      <c r="T45" s="65" t="s">
        <v>21</v>
      </c>
      <c r="U45" s="125">
        <v>60</v>
      </c>
      <c r="V45" s="205">
        <f t="shared" si="3"/>
        <v>43526</v>
      </c>
      <c r="W45" s="2"/>
      <c r="X45" s="2"/>
    </row>
    <row r="46" spans="1:24" s="34" customFormat="1" outlineLevel="1" x14ac:dyDescent="0.25">
      <c r="A46" s="122" t="s">
        <v>237</v>
      </c>
      <c r="B46" s="102" t="s">
        <v>137</v>
      </c>
      <c r="C46" s="106" t="s">
        <v>234</v>
      </c>
      <c r="D46" s="206" t="s">
        <v>143</v>
      </c>
      <c r="E46" s="104" t="s">
        <v>238</v>
      </c>
      <c r="F46" s="62" t="s">
        <v>232</v>
      </c>
      <c r="G46" s="62" t="s">
        <v>36</v>
      </c>
      <c r="H46" s="66"/>
      <c r="I46" s="66"/>
      <c r="J46" s="63">
        <v>120000</v>
      </c>
      <c r="K46" s="64">
        <v>0.78947368421052633</v>
      </c>
      <c r="L46" s="119">
        <f t="shared" si="2"/>
        <v>94736.84210526316</v>
      </c>
      <c r="M46" s="64">
        <v>0.2105263157894737</v>
      </c>
      <c r="N46" s="166" t="s">
        <v>136</v>
      </c>
      <c r="O46" s="62" t="s">
        <v>18</v>
      </c>
      <c r="P46" s="124">
        <v>43315</v>
      </c>
      <c r="Q46" s="124">
        <f t="shared" si="4"/>
        <v>43375</v>
      </c>
      <c r="R46" s="62" t="s">
        <v>196</v>
      </c>
      <c r="S46" s="66"/>
      <c r="T46" s="65" t="s">
        <v>21</v>
      </c>
      <c r="U46" s="125">
        <v>29</v>
      </c>
      <c r="V46" s="205">
        <f t="shared" si="3"/>
        <v>43375</v>
      </c>
      <c r="W46" s="2"/>
      <c r="X46" s="2"/>
    </row>
    <row r="47" spans="1:24" s="34" customFormat="1" outlineLevel="1" x14ac:dyDescent="0.25">
      <c r="A47" s="122" t="s">
        <v>239</v>
      </c>
      <c r="B47" s="105" t="s">
        <v>137</v>
      </c>
      <c r="C47" s="187" t="s">
        <v>240</v>
      </c>
      <c r="D47" s="212" t="s">
        <v>143</v>
      </c>
      <c r="E47" s="182"/>
      <c r="F47" s="66" t="s">
        <v>232</v>
      </c>
      <c r="G47" s="62" t="s">
        <v>36</v>
      </c>
      <c r="H47" s="183"/>
      <c r="I47" s="183"/>
      <c r="J47" s="186">
        <v>70000</v>
      </c>
      <c r="K47" s="184">
        <v>0.79</v>
      </c>
      <c r="L47" s="119">
        <f t="shared" si="2"/>
        <v>55300</v>
      </c>
      <c r="M47" s="184">
        <v>0.21</v>
      </c>
      <c r="N47" s="185" t="s">
        <v>136</v>
      </c>
      <c r="O47" s="183" t="s">
        <v>18</v>
      </c>
      <c r="P47" s="124">
        <v>43315</v>
      </c>
      <c r="Q47" s="124">
        <f t="shared" si="4"/>
        <v>43375</v>
      </c>
      <c r="R47" s="62" t="s">
        <v>196</v>
      </c>
      <c r="S47" s="66"/>
      <c r="T47" s="65" t="s">
        <v>21</v>
      </c>
      <c r="U47" s="125">
        <v>29</v>
      </c>
      <c r="V47" s="205">
        <f t="shared" si="3"/>
        <v>43375</v>
      </c>
      <c r="W47" s="2"/>
      <c r="X47" s="2"/>
    </row>
    <row r="48" spans="1:24" s="72" customFormat="1" ht="20.25" customHeight="1" x14ac:dyDescent="0.25">
      <c r="A48" s="193"/>
      <c r="B48" s="73"/>
      <c r="C48" s="60"/>
      <c r="D48" s="60"/>
      <c r="E48" s="60"/>
      <c r="F48" s="60"/>
      <c r="G48" s="60"/>
      <c r="H48" s="77"/>
      <c r="I48" s="58" t="s">
        <v>241</v>
      </c>
      <c r="J48" s="135">
        <f>SUM(J32:J47)</f>
        <v>3699238.2902208203</v>
      </c>
      <c r="K48" s="74"/>
      <c r="L48" s="135">
        <f>SUM(L32:L47)</f>
        <v>1466102.6172344822</v>
      </c>
      <c r="M48" s="82"/>
      <c r="N48" s="60"/>
      <c r="O48" s="60"/>
      <c r="P48" s="60"/>
      <c r="Q48" s="60"/>
      <c r="R48" s="60"/>
      <c r="S48" s="60"/>
      <c r="T48" s="76"/>
      <c r="U48" s="125"/>
      <c r="V48" s="2"/>
      <c r="W48" s="2"/>
      <c r="X48" s="2"/>
    </row>
    <row r="49" spans="1:24" x14ac:dyDescent="0.25">
      <c r="U49" s="125"/>
      <c r="V49" s="2"/>
      <c r="W49" s="2"/>
      <c r="X49" s="2"/>
    </row>
    <row r="50" spans="1:24" ht="20.100000000000001" customHeight="1" x14ac:dyDescent="0.25">
      <c r="A50" s="51">
        <v>3</v>
      </c>
      <c r="B50" s="56" t="s">
        <v>242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125"/>
      <c r="V50" s="2"/>
      <c r="W50" s="2"/>
      <c r="X50" s="2"/>
    </row>
    <row r="51" spans="1:24" ht="15" customHeight="1" x14ac:dyDescent="0.25">
      <c r="B51" s="628" t="s">
        <v>189</v>
      </c>
      <c r="C51" s="628" t="s">
        <v>10</v>
      </c>
      <c r="D51" s="628" t="s">
        <v>118</v>
      </c>
      <c r="E51" s="628" t="s">
        <v>119</v>
      </c>
      <c r="F51" s="628" t="s">
        <v>120</v>
      </c>
      <c r="G51" s="628" t="s">
        <v>121</v>
      </c>
      <c r="H51" s="628" t="s">
        <v>122</v>
      </c>
      <c r="I51" s="628" t="s">
        <v>123</v>
      </c>
      <c r="J51" s="636" t="s">
        <v>190</v>
      </c>
      <c r="K51" s="636"/>
      <c r="L51" s="636"/>
      <c r="M51" s="636"/>
      <c r="N51" s="628" t="s">
        <v>191</v>
      </c>
      <c r="O51" s="628" t="s">
        <v>192</v>
      </c>
      <c r="P51" s="628" t="s">
        <v>193</v>
      </c>
      <c r="Q51" s="628"/>
      <c r="R51" s="628" t="s">
        <v>128</v>
      </c>
      <c r="S51" s="628" t="s">
        <v>129</v>
      </c>
      <c r="T51" s="628" t="s">
        <v>20</v>
      </c>
      <c r="U51" s="125"/>
      <c r="V51" s="2"/>
      <c r="W51" s="2"/>
      <c r="X51" s="2"/>
    </row>
    <row r="52" spans="1:24" ht="36.75" customHeight="1" x14ac:dyDescent="0.25">
      <c r="B52" s="628"/>
      <c r="C52" s="628"/>
      <c r="D52" s="628"/>
      <c r="E52" s="628"/>
      <c r="F52" s="628"/>
      <c r="G52" s="628"/>
      <c r="H52" s="628"/>
      <c r="I52" s="628"/>
      <c r="J52" s="52" t="s">
        <v>130</v>
      </c>
      <c r="K52" s="57" t="s">
        <v>131</v>
      </c>
      <c r="L52" s="565" t="s">
        <v>132</v>
      </c>
      <c r="M52" s="565" t="s">
        <v>133</v>
      </c>
      <c r="N52" s="628"/>
      <c r="O52" s="628"/>
      <c r="P52" s="564" t="s">
        <v>134</v>
      </c>
      <c r="Q52" s="564" t="s">
        <v>135</v>
      </c>
      <c r="R52" s="628"/>
      <c r="S52" s="628"/>
      <c r="T52" s="628"/>
      <c r="U52" s="125"/>
      <c r="V52" s="2"/>
      <c r="W52" s="2"/>
      <c r="X52" s="2"/>
    </row>
    <row r="53" spans="1:24" s="34" customFormat="1" ht="16.899999999999999" customHeight="1" outlineLevel="1" x14ac:dyDescent="0.25">
      <c r="A53" s="122" t="s">
        <v>243</v>
      </c>
      <c r="B53" s="99" t="s">
        <v>137</v>
      </c>
      <c r="C53" s="121" t="s">
        <v>244</v>
      </c>
      <c r="D53" s="206" t="s">
        <v>245</v>
      </c>
      <c r="E53" s="118" t="s">
        <v>145</v>
      </c>
      <c r="F53" s="62" t="s">
        <v>169</v>
      </c>
      <c r="G53" s="62" t="s">
        <v>42</v>
      </c>
      <c r="H53" s="62"/>
      <c r="I53" s="62"/>
      <c r="J53" s="63">
        <v>1000000</v>
      </c>
      <c r="K53" s="64">
        <v>0.2</v>
      </c>
      <c r="L53" s="119">
        <f>J53*K53</f>
        <v>200000</v>
      </c>
      <c r="M53" s="64">
        <v>0.8</v>
      </c>
      <c r="N53" s="116" t="s">
        <v>148</v>
      </c>
      <c r="O53" s="62" t="s">
        <v>19</v>
      </c>
      <c r="P53" s="124">
        <v>43192</v>
      </c>
      <c r="Q53" s="124">
        <f>P53+119</f>
        <v>43311</v>
      </c>
      <c r="R53" s="62"/>
      <c r="S53" s="62"/>
      <c r="T53" s="65" t="s">
        <v>21</v>
      </c>
      <c r="U53" s="125">
        <v>119</v>
      </c>
      <c r="V53" s="205">
        <f>Q53</f>
        <v>43311</v>
      </c>
      <c r="W53" s="2"/>
      <c r="X53" s="2"/>
    </row>
    <row r="54" spans="1:24" s="34" customFormat="1" outlineLevel="1" x14ac:dyDescent="0.25">
      <c r="A54" s="122" t="s">
        <v>201</v>
      </c>
      <c r="B54" s="111" t="s">
        <v>137</v>
      </c>
      <c r="C54" s="121" t="s">
        <v>246</v>
      </c>
      <c r="D54" s="206" t="s">
        <v>247</v>
      </c>
      <c r="E54" s="196"/>
      <c r="F54" s="62" t="s">
        <v>169</v>
      </c>
      <c r="G54" s="62" t="s">
        <v>42</v>
      </c>
      <c r="H54" s="80"/>
      <c r="I54" s="80"/>
      <c r="J54" s="197">
        <v>1000000</v>
      </c>
      <c r="K54" s="64">
        <v>0.2</v>
      </c>
      <c r="L54" s="119">
        <f t="shared" ref="L54:L66" si="5">J54*K54</f>
        <v>200000</v>
      </c>
      <c r="M54" s="64">
        <v>0.8</v>
      </c>
      <c r="N54" s="116" t="s">
        <v>148</v>
      </c>
      <c r="O54" s="80" t="s">
        <v>18</v>
      </c>
      <c r="P54" s="124">
        <v>43192</v>
      </c>
      <c r="Q54" s="124">
        <f>P54+119</f>
        <v>43311</v>
      </c>
      <c r="R54" s="62"/>
      <c r="S54" s="80"/>
      <c r="T54" s="65" t="s">
        <v>21</v>
      </c>
      <c r="U54" s="125">
        <v>0</v>
      </c>
      <c r="V54" s="205">
        <f t="shared" ref="V54:V66" si="6">Q54</f>
        <v>43311</v>
      </c>
      <c r="W54" s="2"/>
      <c r="X54" s="2"/>
    </row>
    <row r="55" spans="1:24" s="34" customFormat="1" outlineLevel="1" x14ac:dyDescent="0.25">
      <c r="A55" s="122" t="s">
        <v>205</v>
      </c>
      <c r="B55" s="111" t="s">
        <v>137</v>
      </c>
      <c r="C55" s="121" t="s">
        <v>248</v>
      </c>
      <c r="D55" s="206" t="s">
        <v>249</v>
      </c>
      <c r="E55" s="196"/>
      <c r="F55" s="62" t="s">
        <v>169</v>
      </c>
      <c r="G55" s="62" t="s">
        <v>42</v>
      </c>
      <c r="H55" s="80"/>
      <c r="I55" s="80"/>
      <c r="J55" s="197">
        <v>1000000</v>
      </c>
      <c r="K55" s="64">
        <v>0.2</v>
      </c>
      <c r="L55" s="119">
        <f t="shared" si="5"/>
        <v>200000</v>
      </c>
      <c r="M55" s="64">
        <v>0.8</v>
      </c>
      <c r="N55" s="116" t="s">
        <v>148</v>
      </c>
      <c r="O55" s="80" t="s">
        <v>18</v>
      </c>
      <c r="P55" s="124">
        <v>43192</v>
      </c>
      <c r="Q55" s="124">
        <f>P55+119</f>
        <v>43311</v>
      </c>
      <c r="R55" s="62"/>
      <c r="S55" s="80"/>
      <c r="T55" s="65" t="s">
        <v>21</v>
      </c>
      <c r="U55" s="125">
        <v>0</v>
      </c>
      <c r="V55" s="205">
        <f t="shared" si="6"/>
        <v>43311</v>
      </c>
      <c r="W55" s="2"/>
      <c r="X55" s="2"/>
    </row>
    <row r="56" spans="1:24" s="34" customFormat="1" ht="25.5" outlineLevel="1" x14ac:dyDescent="0.25">
      <c r="A56" s="122" t="s">
        <v>208</v>
      </c>
      <c r="B56" s="111" t="s">
        <v>137</v>
      </c>
      <c r="C56" s="106" t="s">
        <v>250</v>
      </c>
      <c r="D56" s="206" t="s">
        <v>251</v>
      </c>
      <c r="E56" s="147"/>
      <c r="F56" s="80" t="s">
        <v>169</v>
      </c>
      <c r="G56" s="62" t="s">
        <v>36</v>
      </c>
      <c r="H56" s="80"/>
      <c r="I56" s="80"/>
      <c r="J56" s="63">
        <v>1257413.2492113565</v>
      </c>
      <c r="K56" s="64">
        <v>0.63100393627696938</v>
      </c>
      <c r="L56" s="119">
        <f t="shared" si="5"/>
        <v>793432.70977917977</v>
      </c>
      <c r="M56" s="64">
        <v>0.36899606372303062</v>
      </c>
      <c r="N56" s="116" t="s">
        <v>148</v>
      </c>
      <c r="O56" s="80" t="s">
        <v>18</v>
      </c>
      <c r="P56" s="124">
        <v>43192</v>
      </c>
      <c r="Q56" s="124">
        <f>P56+119</f>
        <v>43311</v>
      </c>
      <c r="R56" s="62"/>
      <c r="S56" s="80"/>
      <c r="T56" s="65" t="s">
        <v>21</v>
      </c>
      <c r="U56" s="125">
        <v>0</v>
      </c>
      <c r="V56" s="205">
        <f t="shared" si="6"/>
        <v>43311</v>
      </c>
      <c r="W56" s="2"/>
      <c r="X56" s="2"/>
    </row>
    <row r="57" spans="1:24" s="34" customFormat="1" ht="25.5" outlineLevel="1" x14ac:dyDescent="0.25">
      <c r="A57" s="122" t="s">
        <v>211</v>
      </c>
      <c r="B57" s="111" t="s">
        <v>137</v>
      </c>
      <c r="C57" s="194" t="s">
        <v>252</v>
      </c>
      <c r="D57" s="206" t="s">
        <v>222</v>
      </c>
      <c r="E57" s="147"/>
      <c r="F57" s="80" t="s">
        <v>253</v>
      </c>
      <c r="G57" s="62" t="s">
        <v>36</v>
      </c>
      <c r="H57" s="80"/>
      <c r="I57" s="80"/>
      <c r="J57" s="197">
        <f>900/3.17</f>
        <v>283.9116719242902</v>
      </c>
      <c r="K57" s="113">
        <v>0</v>
      </c>
      <c r="L57" s="119">
        <f t="shared" si="5"/>
        <v>0</v>
      </c>
      <c r="M57" s="113">
        <v>1</v>
      </c>
      <c r="N57" s="116" t="s">
        <v>148</v>
      </c>
      <c r="O57" s="80" t="s">
        <v>18</v>
      </c>
      <c r="P57" s="124">
        <v>43375</v>
      </c>
      <c r="Q57" s="124">
        <f>P57+60</f>
        <v>43435</v>
      </c>
      <c r="R57" s="146" t="s">
        <v>254</v>
      </c>
      <c r="S57" s="198"/>
      <c r="T57" s="132" t="s">
        <v>21</v>
      </c>
      <c r="U57" s="125">
        <v>0</v>
      </c>
      <c r="V57" s="205">
        <f t="shared" si="6"/>
        <v>43435</v>
      </c>
      <c r="W57" s="2"/>
      <c r="X57" s="2"/>
    </row>
    <row r="58" spans="1:24" s="34" customFormat="1" ht="25.5" outlineLevel="1" x14ac:dyDescent="0.25">
      <c r="A58" s="122" t="s">
        <v>215</v>
      </c>
      <c r="B58" s="102" t="s">
        <v>137</v>
      </c>
      <c r="C58" s="106" t="s">
        <v>255</v>
      </c>
      <c r="D58" s="206" t="s">
        <v>256</v>
      </c>
      <c r="E58" s="104" t="s">
        <v>257</v>
      </c>
      <c r="F58" s="62"/>
      <c r="G58" s="62" t="s">
        <v>36</v>
      </c>
      <c r="H58" s="62"/>
      <c r="I58" s="62"/>
      <c r="J58" s="63">
        <v>105736.90851735017</v>
      </c>
      <c r="K58" s="64">
        <v>0</v>
      </c>
      <c r="L58" s="119">
        <f t="shared" si="5"/>
        <v>0</v>
      </c>
      <c r="M58" s="64">
        <v>1</v>
      </c>
      <c r="N58" s="166" t="s">
        <v>136</v>
      </c>
      <c r="O58" s="62" t="s">
        <v>18</v>
      </c>
      <c r="P58" s="124">
        <v>43120</v>
      </c>
      <c r="Q58" s="124">
        <f>P58+60</f>
        <v>43180</v>
      </c>
      <c r="R58" s="62" t="s">
        <v>196</v>
      </c>
      <c r="S58" s="62"/>
      <c r="T58" s="65" t="s">
        <v>21</v>
      </c>
      <c r="U58" s="125">
        <v>60</v>
      </c>
      <c r="V58" s="205">
        <f t="shared" si="6"/>
        <v>43180</v>
      </c>
      <c r="W58" s="2"/>
      <c r="X58" s="2"/>
    </row>
    <row r="59" spans="1:24" s="34" customFormat="1" outlineLevel="1" x14ac:dyDescent="0.25">
      <c r="A59" s="122" t="s">
        <v>223</v>
      </c>
      <c r="B59" s="102" t="s">
        <v>137</v>
      </c>
      <c r="C59" s="106" t="s">
        <v>258</v>
      </c>
      <c r="D59" s="206" t="s">
        <v>259</v>
      </c>
      <c r="E59" s="104" t="s">
        <v>260</v>
      </c>
      <c r="F59" s="62"/>
      <c r="G59" s="62" t="s">
        <v>36</v>
      </c>
      <c r="H59" s="62"/>
      <c r="I59" s="62"/>
      <c r="J59" s="63">
        <v>257525.55205047317</v>
      </c>
      <c r="K59" s="64">
        <v>0.34000485082488524</v>
      </c>
      <c r="L59" s="119">
        <f t="shared" si="5"/>
        <v>87559.936908517353</v>
      </c>
      <c r="M59" s="64">
        <v>0.65999514917511481</v>
      </c>
      <c r="N59" s="166" t="s">
        <v>136</v>
      </c>
      <c r="O59" s="62" t="s">
        <v>18</v>
      </c>
      <c r="P59" s="124">
        <v>43011</v>
      </c>
      <c r="Q59" s="124">
        <v>43071</v>
      </c>
      <c r="R59" s="62" t="s">
        <v>196</v>
      </c>
      <c r="S59" s="62"/>
      <c r="T59" s="65" t="s">
        <v>27</v>
      </c>
      <c r="U59" s="125">
        <v>60</v>
      </c>
      <c r="V59" s="205">
        <f t="shared" si="6"/>
        <v>43071</v>
      </c>
      <c r="W59" s="2"/>
      <c r="X59" s="2"/>
    </row>
    <row r="60" spans="1:24" s="34" customFormat="1" outlineLevel="1" x14ac:dyDescent="0.25">
      <c r="A60" s="122" t="s">
        <v>238</v>
      </c>
      <c r="B60" s="102" t="s">
        <v>137</v>
      </c>
      <c r="C60" s="106" t="s">
        <v>261</v>
      </c>
      <c r="D60" s="206" t="s">
        <v>262</v>
      </c>
      <c r="E60" s="104" t="s">
        <v>263</v>
      </c>
      <c r="F60" s="62"/>
      <c r="G60" s="62" t="s">
        <v>36</v>
      </c>
      <c r="H60" s="62"/>
      <c r="I60" s="62"/>
      <c r="J60" s="63">
        <v>1418975.7097791799</v>
      </c>
      <c r="K60" s="64">
        <v>0.56595918369161746</v>
      </c>
      <c r="L60" s="119">
        <f t="shared" si="5"/>
        <v>803082.33438485814</v>
      </c>
      <c r="M60" s="64">
        <v>0.43404081630838254</v>
      </c>
      <c r="N60" s="166" t="s">
        <v>136</v>
      </c>
      <c r="O60" s="62" t="s">
        <v>18</v>
      </c>
      <c r="P60" s="124">
        <v>43011</v>
      </c>
      <c r="Q60" s="124">
        <v>43071</v>
      </c>
      <c r="R60" s="62" t="s">
        <v>196</v>
      </c>
      <c r="S60" s="62"/>
      <c r="T60" s="65" t="s">
        <v>27</v>
      </c>
      <c r="U60" s="125">
        <v>60</v>
      </c>
      <c r="V60" s="205">
        <f t="shared" si="6"/>
        <v>43071</v>
      </c>
      <c r="W60" s="2"/>
      <c r="X60" s="2"/>
    </row>
    <row r="61" spans="1:24" s="34" customFormat="1" ht="25.5" outlineLevel="1" x14ac:dyDescent="0.25">
      <c r="A61" s="122" t="s">
        <v>264</v>
      </c>
      <c r="B61" s="102" t="s">
        <v>137</v>
      </c>
      <c r="C61" s="106" t="s">
        <v>265</v>
      </c>
      <c r="D61" s="206" t="s">
        <v>266</v>
      </c>
      <c r="E61" s="104" t="s">
        <v>267</v>
      </c>
      <c r="F61" s="62"/>
      <c r="G61" s="62" t="s">
        <v>36</v>
      </c>
      <c r="H61" s="62" t="s">
        <v>109</v>
      </c>
      <c r="I61" s="62" t="s">
        <v>109</v>
      </c>
      <c r="J61" s="63">
        <v>53164.353312302846</v>
      </c>
      <c r="K61" s="64">
        <v>0.65000504358248623</v>
      </c>
      <c r="L61" s="119">
        <f t="shared" si="5"/>
        <v>34557.097791798107</v>
      </c>
      <c r="M61" s="64">
        <v>0.34999495641751366</v>
      </c>
      <c r="N61" s="166" t="s">
        <v>136</v>
      </c>
      <c r="O61" s="62" t="s">
        <v>18</v>
      </c>
      <c r="P61" s="124">
        <v>43011</v>
      </c>
      <c r="Q61" s="124">
        <v>43071</v>
      </c>
      <c r="R61" s="62" t="s">
        <v>196</v>
      </c>
      <c r="S61" s="62"/>
      <c r="T61" s="65" t="s">
        <v>27</v>
      </c>
      <c r="U61" s="125">
        <v>60</v>
      </c>
      <c r="V61" s="205">
        <f t="shared" si="6"/>
        <v>43071</v>
      </c>
      <c r="W61" s="2"/>
      <c r="X61" s="2"/>
    </row>
    <row r="62" spans="1:24" s="34" customFormat="1" ht="25.5" outlineLevel="1" x14ac:dyDescent="0.25">
      <c r="A62" s="122" t="s">
        <v>268</v>
      </c>
      <c r="B62" s="102" t="s">
        <v>137</v>
      </c>
      <c r="C62" s="106" t="s">
        <v>269</v>
      </c>
      <c r="D62" s="206" t="s">
        <v>270</v>
      </c>
      <c r="E62" s="104" t="s">
        <v>271</v>
      </c>
      <c r="F62" s="62"/>
      <c r="G62" s="62" t="s">
        <v>36</v>
      </c>
      <c r="H62" s="62"/>
      <c r="I62" s="62"/>
      <c r="J62" s="63">
        <v>118537.53943217667</v>
      </c>
      <c r="K62" s="64">
        <v>0</v>
      </c>
      <c r="L62" s="119">
        <f t="shared" si="5"/>
        <v>0</v>
      </c>
      <c r="M62" s="64">
        <v>1</v>
      </c>
      <c r="N62" s="166" t="s">
        <v>136</v>
      </c>
      <c r="O62" s="62" t="s">
        <v>18</v>
      </c>
      <c r="P62" s="124">
        <v>43120</v>
      </c>
      <c r="Q62" s="124">
        <f>P62+60</f>
        <v>43180</v>
      </c>
      <c r="R62" s="62" t="s">
        <v>196</v>
      </c>
      <c r="S62" s="62"/>
      <c r="T62" s="65" t="s">
        <v>21</v>
      </c>
      <c r="U62" s="125">
        <v>60</v>
      </c>
      <c r="V62" s="205">
        <f t="shared" si="6"/>
        <v>43180</v>
      </c>
      <c r="W62" s="2"/>
      <c r="X62" s="2"/>
    </row>
    <row r="63" spans="1:24" s="34" customFormat="1" ht="25.5" outlineLevel="1" x14ac:dyDescent="0.25">
      <c r="A63" s="122" t="s">
        <v>272</v>
      </c>
      <c r="B63" s="111" t="s">
        <v>137</v>
      </c>
      <c r="C63" s="112" t="s">
        <v>273</v>
      </c>
      <c r="D63" s="211" t="s">
        <v>274</v>
      </c>
      <c r="E63" s="199"/>
      <c r="F63" s="62" t="s">
        <v>169</v>
      </c>
      <c r="G63" s="80" t="s">
        <v>36</v>
      </c>
      <c r="H63" s="80"/>
      <c r="I63" s="80"/>
      <c r="J63" s="197">
        <v>12194.952681388015</v>
      </c>
      <c r="K63" s="113">
        <v>0.80006725645403265</v>
      </c>
      <c r="L63" s="119">
        <f t="shared" si="5"/>
        <v>9756.7823343848577</v>
      </c>
      <c r="M63" s="64">
        <v>0.19993274354596718</v>
      </c>
      <c r="N63" s="114" t="s">
        <v>136</v>
      </c>
      <c r="O63" s="62" t="s">
        <v>18</v>
      </c>
      <c r="P63" s="124">
        <v>43011</v>
      </c>
      <c r="Q63" s="124">
        <v>43071</v>
      </c>
      <c r="R63" s="146" t="s">
        <v>254</v>
      </c>
      <c r="S63" s="80"/>
      <c r="T63" s="65" t="s">
        <v>27</v>
      </c>
      <c r="U63" s="125">
        <v>60</v>
      </c>
      <c r="V63" s="205">
        <f t="shared" si="6"/>
        <v>43071</v>
      </c>
      <c r="W63" s="2"/>
      <c r="X63" s="2"/>
    </row>
    <row r="64" spans="1:24" s="34" customFormat="1" outlineLevel="1" x14ac:dyDescent="0.25">
      <c r="A64" s="122" t="s">
        <v>275</v>
      </c>
      <c r="B64" s="102" t="s">
        <v>137</v>
      </c>
      <c r="C64" s="106" t="s">
        <v>276</v>
      </c>
      <c r="D64" s="206" t="s">
        <v>277</v>
      </c>
      <c r="E64" s="200"/>
      <c r="F64" s="62" t="s">
        <v>169</v>
      </c>
      <c r="G64" s="62" t="s">
        <v>36</v>
      </c>
      <c r="H64" s="62"/>
      <c r="I64" s="62"/>
      <c r="J64" s="63">
        <v>73210.094637223985</v>
      </c>
      <c r="K64" s="64">
        <v>1</v>
      </c>
      <c r="L64" s="119">
        <f t="shared" si="5"/>
        <v>73210.094637223985</v>
      </c>
      <c r="M64" s="64">
        <v>0</v>
      </c>
      <c r="N64" s="166" t="s">
        <v>136</v>
      </c>
      <c r="O64" s="62" t="s">
        <v>18</v>
      </c>
      <c r="P64" s="124">
        <v>43131</v>
      </c>
      <c r="Q64" s="124">
        <v>43191</v>
      </c>
      <c r="R64" s="62" t="s">
        <v>196</v>
      </c>
      <c r="S64" s="62"/>
      <c r="T64" s="65" t="s">
        <v>21</v>
      </c>
      <c r="U64" s="125">
        <v>60</v>
      </c>
      <c r="V64" s="205">
        <f t="shared" si="6"/>
        <v>43191</v>
      </c>
      <c r="W64" s="2"/>
      <c r="X64" s="2"/>
    </row>
    <row r="65" spans="1:25" s="34" customFormat="1" ht="51" outlineLevel="1" x14ac:dyDescent="0.25">
      <c r="A65" s="122" t="s">
        <v>278</v>
      </c>
      <c r="B65" s="102" t="s">
        <v>137</v>
      </c>
      <c r="C65" s="195" t="s">
        <v>279</v>
      </c>
      <c r="D65" s="206" t="s">
        <v>280</v>
      </c>
      <c r="E65" s="104" t="s">
        <v>281</v>
      </c>
      <c r="F65" s="62"/>
      <c r="G65" s="62" t="s">
        <v>36</v>
      </c>
      <c r="H65" s="62"/>
      <c r="I65" s="62"/>
      <c r="J65" s="63">
        <v>23935.331230283911</v>
      </c>
      <c r="K65" s="144">
        <v>0</v>
      </c>
      <c r="L65" s="119">
        <f t="shared" si="5"/>
        <v>0</v>
      </c>
      <c r="M65" s="64">
        <v>1.0000000000000002</v>
      </c>
      <c r="N65" s="166" t="s">
        <v>136</v>
      </c>
      <c r="O65" s="62" t="s">
        <v>18</v>
      </c>
      <c r="P65" s="124">
        <v>43120</v>
      </c>
      <c r="Q65" s="124">
        <f>P65+60</f>
        <v>43180</v>
      </c>
      <c r="R65" s="146" t="s">
        <v>254</v>
      </c>
      <c r="S65" s="188" t="s">
        <v>282</v>
      </c>
      <c r="T65" s="65" t="s">
        <v>21</v>
      </c>
      <c r="U65" s="125">
        <v>60</v>
      </c>
      <c r="V65" s="205">
        <f t="shared" si="6"/>
        <v>43180</v>
      </c>
      <c r="W65" s="2"/>
      <c r="X65" s="2"/>
    </row>
    <row r="66" spans="1:25" s="34" customFormat="1" ht="25.5" outlineLevel="1" x14ac:dyDescent="0.25">
      <c r="A66" s="122" t="s">
        <v>283</v>
      </c>
      <c r="B66" s="102" t="s">
        <v>137</v>
      </c>
      <c r="C66" s="106" t="s">
        <v>284</v>
      </c>
      <c r="D66" s="206" t="s">
        <v>285</v>
      </c>
      <c r="E66" s="104" t="s">
        <v>286</v>
      </c>
      <c r="F66" s="62"/>
      <c r="G66" s="62" t="s">
        <v>36</v>
      </c>
      <c r="H66" s="62"/>
      <c r="I66" s="62"/>
      <c r="J66" s="63">
        <v>13910.094637223974</v>
      </c>
      <c r="K66" s="68">
        <v>0</v>
      </c>
      <c r="L66" s="119">
        <f t="shared" si="5"/>
        <v>0</v>
      </c>
      <c r="M66" s="64">
        <v>1</v>
      </c>
      <c r="N66" s="166" t="s">
        <v>136</v>
      </c>
      <c r="O66" s="62" t="s">
        <v>18</v>
      </c>
      <c r="P66" s="124">
        <v>43011</v>
      </c>
      <c r="Q66" s="124">
        <v>43071</v>
      </c>
      <c r="R66" s="146" t="s">
        <v>254</v>
      </c>
      <c r="S66" s="62"/>
      <c r="T66" s="65" t="s">
        <v>27</v>
      </c>
      <c r="U66" s="125">
        <v>60</v>
      </c>
      <c r="V66" s="205">
        <f t="shared" si="6"/>
        <v>43071</v>
      </c>
      <c r="W66" s="2"/>
      <c r="X66" s="2"/>
    </row>
    <row r="67" spans="1:25" s="72" customFormat="1" ht="20.25" customHeight="1" x14ac:dyDescent="0.25">
      <c r="A67" s="193"/>
      <c r="B67" s="73"/>
      <c r="C67" s="60"/>
      <c r="D67" s="60"/>
      <c r="E67" s="60"/>
      <c r="F67" s="60"/>
      <c r="G67" s="60"/>
      <c r="H67" s="77"/>
      <c r="I67" s="58" t="s">
        <v>287</v>
      </c>
      <c r="J67" s="136">
        <f>SUM(J53:J66)</f>
        <v>6334887.6971608829</v>
      </c>
      <c r="K67" s="74"/>
      <c r="L67" s="136">
        <f>SUM(L53:L66)</f>
        <v>2401598.9558359622</v>
      </c>
      <c r="M67" s="75"/>
      <c r="N67" s="60"/>
      <c r="O67" s="60"/>
      <c r="P67" s="60"/>
      <c r="Q67" s="60"/>
      <c r="R67" s="60"/>
      <c r="S67" s="60"/>
      <c r="T67" s="76"/>
      <c r="U67" s="125"/>
      <c r="V67" s="2"/>
      <c r="W67" s="2"/>
      <c r="X67" s="2"/>
    </row>
    <row r="68" spans="1:25" x14ac:dyDescent="0.25">
      <c r="U68" s="125"/>
      <c r="V68" s="2"/>
      <c r="W68" s="2"/>
      <c r="X68" s="2"/>
    </row>
    <row r="69" spans="1:25" ht="15.75" customHeight="1" x14ac:dyDescent="0.25">
      <c r="A69" s="51">
        <v>4</v>
      </c>
      <c r="B69" s="56" t="s">
        <v>288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9"/>
      <c r="U69" s="125"/>
      <c r="V69" s="2"/>
      <c r="W69" s="2"/>
      <c r="X69" s="2"/>
    </row>
    <row r="70" spans="1:25" ht="15" customHeight="1" x14ac:dyDescent="0.25">
      <c r="B70" s="628" t="s">
        <v>189</v>
      </c>
      <c r="C70" s="628" t="s">
        <v>10</v>
      </c>
      <c r="D70" s="628" t="s">
        <v>118</v>
      </c>
      <c r="E70" s="628" t="s">
        <v>119</v>
      </c>
      <c r="F70" s="628" t="s">
        <v>120</v>
      </c>
      <c r="G70" s="628" t="s">
        <v>121</v>
      </c>
      <c r="H70" s="638" t="s">
        <v>289</v>
      </c>
      <c r="I70" s="640"/>
      <c r="J70" s="636" t="s">
        <v>190</v>
      </c>
      <c r="K70" s="636"/>
      <c r="L70" s="636"/>
      <c r="M70" s="636"/>
      <c r="N70" s="628" t="s">
        <v>191</v>
      </c>
      <c r="O70" s="628" t="s">
        <v>192</v>
      </c>
      <c r="P70" s="628" t="s">
        <v>193</v>
      </c>
      <c r="Q70" s="628"/>
      <c r="R70" s="628" t="s">
        <v>128</v>
      </c>
      <c r="S70" s="628" t="s">
        <v>129</v>
      </c>
      <c r="T70" s="628" t="s">
        <v>20</v>
      </c>
      <c r="U70" s="125"/>
      <c r="V70" s="2"/>
      <c r="W70" s="2"/>
      <c r="X70" s="2"/>
    </row>
    <row r="71" spans="1:25" ht="42.6" customHeight="1" x14ac:dyDescent="0.25">
      <c r="B71" s="628"/>
      <c r="C71" s="628"/>
      <c r="D71" s="628"/>
      <c r="E71" s="628"/>
      <c r="F71" s="628"/>
      <c r="G71" s="628"/>
      <c r="H71" s="639"/>
      <c r="I71" s="641"/>
      <c r="J71" s="564" t="s">
        <v>130</v>
      </c>
      <c r="K71" s="52" t="s">
        <v>131</v>
      </c>
      <c r="L71" s="565" t="s">
        <v>132</v>
      </c>
      <c r="M71" s="565" t="s">
        <v>133</v>
      </c>
      <c r="N71" s="628"/>
      <c r="O71" s="628"/>
      <c r="P71" s="564" t="s">
        <v>290</v>
      </c>
      <c r="Q71" s="564" t="s">
        <v>135</v>
      </c>
      <c r="R71" s="628"/>
      <c r="S71" s="628"/>
      <c r="T71" s="628"/>
      <c r="U71" s="125"/>
      <c r="V71" s="2"/>
      <c r="W71" s="2"/>
      <c r="X71" s="2"/>
    </row>
    <row r="72" spans="1:25" s="34" customFormat="1" ht="25.5" outlineLevel="1" x14ac:dyDescent="0.25">
      <c r="A72" s="122" t="s">
        <v>257</v>
      </c>
      <c r="B72" s="102" t="s">
        <v>137</v>
      </c>
      <c r="C72" s="103" t="s">
        <v>291</v>
      </c>
      <c r="D72" s="206" t="s">
        <v>292</v>
      </c>
      <c r="E72" s="104" t="s">
        <v>293</v>
      </c>
      <c r="F72" s="62"/>
      <c r="G72" s="103" t="s">
        <v>34</v>
      </c>
      <c r="H72" s="62"/>
      <c r="I72" s="62"/>
      <c r="J72" s="63">
        <v>115000</v>
      </c>
      <c r="K72" s="64">
        <v>0.48</v>
      </c>
      <c r="L72" s="119">
        <f>J72*K72</f>
        <v>55200</v>
      </c>
      <c r="M72" s="64">
        <v>0.52</v>
      </c>
      <c r="N72" s="116" t="s">
        <v>201</v>
      </c>
      <c r="O72" s="62" t="s">
        <v>18</v>
      </c>
      <c r="P72" s="124">
        <v>43682</v>
      </c>
      <c r="Q72" s="124">
        <f>P72+66</f>
        <v>43748</v>
      </c>
      <c r="R72" s="62"/>
      <c r="S72" s="62"/>
      <c r="T72" s="65" t="s">
        <v>21</v>
      </c>
      <c r="U72" s="125">
        <v>66</v>
      </c>
      <c r="V72" s="127">
        <f>Q72</f>
        <v>43748</v>
      </c>
      <c r="W72" s="2"/>
      <c r="X72" s="2"/>
    </row>
    <row r="73" spans="1:25" s="34" customFormat="1" ht="25.5" outlineLevel="1" x14ac:dyDescent="0.25">
      <c r="A73" s="122" t="s">
        <v>260</v>
      </c>
      <c r="B73" s="99" t="s">
        <v>137</v>
      </c>
      <c r="C73" s="100" t="s">
        <v>294</v>
      </c>
      <c r="D73" s="206" t="s">
        <v>295</v>
      </c>
      <c r="E73" s="101" t="s">
        <v>153</v>
      </c>
      <c r="F73" s="61" t="s">
        <v>296</v>
      </c>
      <c r="G73" s="165" t="s">
        <v>297</v>
      </c>
      <c r="H73" s="61"/>
      <c r="I73" s="61"/>
      <c r="J73" s="109">
        <v>220820.18927444794</v>
      </c>
      <c r="K73" s="110">
        <v>0.2</v>
      </c>
      <c r="L73" s="119">
        <f t="shared" ref="L73:L85" si="7">J73*K73</f>
        <v>44164.03785488959</v>
      </c>
      <c r="M73" s="110">
        <v>0.8</v>
      </c>
      <c r="N73" s="117" t="s">
        <v>243</v>
      </c>
      <c r="O73" s="61" t="s">
        <v>19</v>
      </c>
      <c r="P73" s="124">
        <v>43407</v>
      </c>
      <c r="Q73" s="124">
        <f>P73+119</f>
        <v>43526</v>
      </c>
      <c r="R73" s="62"/>
      <c r="S73" s="143"/>
      <c r="T73" s="132" t="s">
        <v>21</v>
      </c>
      <c r="U73" s="125">
        <v>119</v>
      </c>
      <c r="V73" s="205">
        <f t="shared" ref="V73:V85" si="8">Q73</f>
        <v>43526</v>
      </c>
      <c r="W73" s="2"/>
      <c r="X73" s="2"/>
    </row>
    <row r="74" spans="1:25" s="34" customFormat="1" ht="25.5" outlineLevel="1" x14ac:dyDescent="0.25">
      <c r="A74" s="122" t="s">
        <v>263</v>
      </c>
      <c r="B74" s="102" t="s">
        <v>137</v>
      </c>
      <c r="C74" s="103" t="s">
        <v>298</v>
      </c>
      <c r="D74" s="206" t="s">
        <v>299</v>
      </c>
      <c r="E74" s="104" t="s">
        <v>136</v>
      </c>
      <c r="F74" s="62" t="s">
        <v>169</v>
      </c>
      <c r="G74" s="103" t="s">
        <v>297</v>
      </c>
      <c r="H74" s="62"/>
      <c r="I74" s="62"/>
      <c r="J74" s="63">
        <v>9367524</v>
      </c>
      <c r="K74" s="64">
        <v>0.8000001161776843</v>
      </c>
      <c r="L74" s="119">
        <f t="shared" si="7"/>
        <v>7494020.2882972462</v>
      </c>
      <c r="M74" s="64">
        <v>0.19999988382231548</v>
      </c>
      <c r="N74" s="116" t="s">
        <v>300</v>
      </c>
      <c r="O74" s="62" t="s">
        <v>18</v>
      </c>
      <c r="P74" s="124">
        <v>43115</v>
      </c>
      <c r="Q74" s="124">
        <f>P74+119</f>
        <v>43234</v>
      </c>
      <c r="R74" s="123"/>
      <c r="S74" s="62"/>
      <c r="T74" s="65" t="s">
        <v>21</v>
      </c>
      <c r="U74" s="125">
        <v>119</v>
      </c>
      <c r="V74" s="205">
        <f t="shared" si="8"/>
        <v>43234</v>
      </c>
      <c r="W74" s="2"/>
      <c r="X74" s="2"/>
    </row>
    <row r="75" spans="1:25" s="34" customFormat="1" ht="34.5" customHeight="1" outlineLevel="1" x14ac:dyDescent="0.25">
      <c r="A75" s="122" t="s">
        <v>267</v>
      </c>
      <c r="B75" s="102" t="s">
        <v>137</v>
      </c>
      <c r="C75" s="103" t="s">
        <v>301</v>
      </c>
      <c r="D75" s="206" t="s">
        <v>302</v>
      </c>
      <c r="E75" s="103"/>
      <c r="F75" s="62" t="s">
        <v>169</v>
      </c>
      <c r="G75" s="103" t="s">
        <v>34</v>
      </c>
      <c r="H75" s="62"/>
      <c r="I75" s="62"/>
      <c r="J75" s="63">
        <v>50473.186119873819</v>
      </c>
      <c r="K75" s="64">
        <v>1</v>
      </c>
      <c r="L75" s="119">
        <f t="shared" si="7"/>
        <v>50473.186119873819</v>
      </c>
      <c r="M75" s="64">
        <v>0</v>
      </c>
      <c r="N75" s="116" t="s">
        <v>145</v>
      </c>
      <c r="O75" s="62" t="s">
        <v>18</v>
      </c>
      <c r="P75" s="124">
        <v>43248</v>
      </c>
      <c r="Q75" s="124">
        <f>P75+66</f>
        <v>43314</v>
      </c>
      <c r="R75" s="62"/>
      <c r="S75" s="62"/>
      <c r="T75" s="65" t="s">
        <v>21</v>
      </c>
      <c r="U75" s="125">
        <v>66</v>
      </c>
      <c r="V75" s="205">
        <f t="shared" si="8"/>
        <v>43314</v>
      </c>
      <c r="W75" s="2"/>
      <c r="X75" s="2"/>
    </row>
    <row r="76" spans="1:25" s="34" customFormat="1" ht="38.25" outlineLevel="1" x14ac:dyDescent="0.25">
      <c r="A76" s="122" t="s">
        <v>271</v>
      </c>
      <c r="B76" s="102" t="s">
        <v>137</v>
      </c>
      <c r="C76" s="103" t="s">
        <v>303</v>
      </c>
      <c r="D76" s="206" t="s">
        <v>304</v>
      </c>
      <c r="E76" s="104" t="s">
        <v>171</v>
      </c>
      <c r="F76" s="62" t="s">
        <v>305</v>
      </c>
      <c r="G76" s="103" t="s">
        <v>34</v>
      </c>
      <c r="H76" s="62"/>
      <c r="I76" s="62"/>
      <c r="J76" s="63">
        <f>220000/3.17</f>
        <v>69400.630914826499</v>
      </c>
      <c r="K76" s="64">
        <v>0.45</v>
      </c>
      <c r="L76" s="119">
        <f t="shared" si="7"/>
        <v>31230.283911671926</v>
      </c>
      <c r="M76" s="64">
        <v>0.55000000000000004</v>
      </c>
      <c r="N76" s="116" t="s">
        <v>148</v>
      </c>
      <c r="O76" s="62" t="s">
        <v>18</v>
      </c>
      <c r="P76" s="124">
        <v>43360</v>
      </c>
      <c r="Q76" s="124">
        <f>P76+66</f>
        <v>43426</v>
      </c>
      <c r="R76" s="62"/>
      <c r="S76" s="62"/>
      <c r="T76" s="132" t="s">
        <v>21</v>
      </c>
      <c r="U76" s="125">
        <v>15</v>
      </c>
      <c r="V76" s="205">
        <f t="shared" si="8"/>
        <v>43426</v>
      </c>
      <c r="W76" s="2"/>
      <c r="X76" s="2"/>
    </row>
    <row r="77" spans="1:25" ht="38.25" x14ac:dyDescent="0.25">
      <c r="A77" s="122" t="s">
        <v>281</v>
      </c>
      <c r="B77" s="102" t="s">
        <v>137</v>
      </c>
      <c r="C77" s="103" t="s">
        <v>306</v>
      </c>
      <c r="D77" s="206" t="s">
        <v>307</v>
      </c>
      <c r="E77" s="104"/>
      <c r="F77" s="62" t="s">
        <v>308</v>
      </c>
      <c r="G77" s="103" t="s">
        <v>297</v>
      </c>
      <c r="J77" s="63">
        <v>1104332.8075709778</v>
      </c>
      <c r="K77" s="64">
        <v>0.19995800881814821</v>
      </c>
      <c r="L77" s="119">
        <f t="shared" si="7"/>
        <v>220820.18927444794</v>
      </c>
      <c r="M77" s="64">
        <v>0.80004199118185193</v>
      </c>
      <c r="N77" s="116" t="s">
        <v>148</v>
      </c>
      <c r="O77" s="62" t="s">
        <v>18</v>
      </c>
      <c r="P77" s="124">
        <v>43192</v>
      </c>
      <c r="Q77" s="124">
        <f>P77+119</f>
        <v>43311</v>
      </c>
      <c r="R77" s="62"/>
      <c r="S77" s="62"/>
      <c r="T77" s="132" t="s">
        <v>21</v>
      </c>
      <c r="U77" s="125">
        <v>0</v>
      </c>
      <c r="V77" s="205">
        <f t="shared" si="8"/>
        <v>43311</v>
      </c>
      <c r="W77" s="2"/>
      <c r="X77" s="2"/>
    </row>
    <row r="78" spans="1:25" ht="25.5" x14ac:dyDescent="0.25">
      <c r="A78" s="122" t="s">
        <v>286</v>
      </c>
      <c r="B78" s="102" t="s">
        <v>137</v>
      </c>
      <c r="C78" s="115" t="s">
        <v>309</v>
      </c>
      <c r="D78" s="206" t="s">
        <v>310</v>
      </c>
      <c r="F78" s="62" t="s">
        <v>311</v>
      </c>
      <c r="G78" s="115" t="s">
        <v>297</v>
      </c>
      <c r="J78" s="63">
        <v>315457</v>
      </c>
      <c r="K78" s="64">
        <v>0.2</v>
      </c>
      <c r="L78" s="64">
        <v>0.8</v>
      </c>
      <c r="M78" s="64">
        <v>0.8</v>
      </c>
      <c r="N78" s="116" t="s">
        <v>148</v>
      </c>
      <c r="O78" s="62" t="s">
        <v>18</v>
      </c>
      <c r="P78" s="124">
        <v>43125</v>
      </c>
      <c r="Q78" s="124">
        <f>P78+119</f>
        <v>43244</v>
      </c>
      <c r="R78" s="188" t="s">
        <v>109</v>
      </c>
      <c r="S78" s="132" t="s">
        <v>21</v>
      </c>
      <c r="T78" s="132" t="s">
        <v>21</v>
      </c>
      <c r="U78" s="205">
        <f>Q78</f>
        <v>43244</v>
      </c>
      <c r="V78" s="2"/>
      <c r="W78" s="2"/>
      <c r="X78" s="2"/>
    </row>
    <row r="79" spans="1:25" s="34" customFormat="1" ht="25.5" outlineLevel="1" x14ac:dyDescent="0.25">
      <c r="A79" s="122" t="s">
        <v>312</v>
      </c>
      <c r="B79" s="102" t="s">
        <v>137</v>
      </c>
      <c r="C79" s="115" t="s">
        <v>313</v>
      </c>
      <c r="D79" s="206" t="s">
        <v>314</v>
      </c>
      <c r="E79" s="104"/>
      <c r="F79" s="62" t="s">
        <v>315</v>
      </c>
      <c r="G79" s="103" t="s">
        <v>297</v>
      </c>
      <c r="H79" s="62"/>
      <c r="I79" s="62"/>
      <c r="J79" s="63">
        <v>630770</v>
      </c>
      <c r="K79" s="64">
        <v>0.4</v>
      </c>
      <c r="L79" s="64">
        <v>0.6</v>
      </c>
      <c r="M79" s="64">
        <v>0.6</v>
      </c>
      <c r="N79" s="116" t="s">
        <v>148</v>
      </c>
      <c r="O79" s="62" t="s">
        <v>18</v>
      </c>
      <c r="P79" s="124">
        <v>43125</v>
      </c>
      <c r="Q79" s="124">
        <f>P79+119</f>
        <v>43244</v>
      </c>
      <c r="R79" s="188" t="s">
        <v>109</v>
      </c>
      <c r="S79" s="65" t="s">
        <v>21</v>
      </c>
      <c r="T79" s="132" t="s">
        <v>21</v>
      </c>
      <c r="U79" s="205">
        <f>Q79</f>
        <v>43244</v>
      </c>
      <c r="V79" s="2"/>
      <c r="W79" s="2"/>
      <c r="X79" s="2"/>
      <c r="Y79" s="2"/>
    </row>
    <row r="80" spans="1:25" s="34" customFormat="1" ht="38.25" outlineLevel="1" x14ac:dyDescent="0.25">
      <c r="A80" s="122" t="s">
        <v>316</v>
      </c>
      <c r="B80" s="102" t="s">
        <v>137</v>
      </c>
      <c r="C80" s="103" t="s">
        <v>317</v>
      </c>
      <c r="D80" s="206" t="s">
        <v>318</v>
      </c>
      <c r="E80" s="104" t="s">
        <v>166</v>
      </c>
      <c r="F80" s="62" t="s">
        <v>169</v>
      </c>
      <c r="G80" s="103" t="s">
        <v>297</v>
      </c>
      <c r="H80" s="62"/>
      <c r="I80" s="62"/>
      <c r="J80" s="63">
        <v>425999.68454258679</v>
      </c>
      <c r="K80" s="64">
        <v>0.86368378999406836</v>
      </c>
      <c r="L80" s="119">
        <f t="shared" si="7"/>
        <v>367929.0220820189</v>
      </c>
      <c r="M80" s="64">
        <v>0.13631621000593147</v>
      </c>
      <c r="N80" s="116" t="s">
        <v>145</v>
      </c>
      <c r="O80" s="62" t="s">
        <v>18</v>
      </c>
      <c r="P80" s="214">
        <v>43136</v>
      </c>
      <c r="Q80" s="214">
        <f>P80+119</f>
        <v>43255</v>
      </c>
      <c r="R80" s="123"/>
      <c r="S80" s="62"/>
      <c r="T80" s="65" t="s">
        <v>21</v>
      </c>
      <c r="U80" s="125">
        <v>119</v>
      </c>
      <c r="V80" s="205">
        <f t="shared" si="8"/>
        <v>43255</v>
      </c>
      <c r="W80" s="2"/>
      <c r="X80" s="2"/>
    </row>
    <row r="81" spans="1:24" s="34" customFormat="1" ht="63.75" outlineLevel="1" x14ac:dyDescent="0.25">
      <c r="A81" s="122" t="s">
        <v>319</v>
      </c>
      <c r="B81" s="102" t="s">
        <v>137</v>
      </c>
      <c r="C81" s="103" t="s">
        <v>320</v>
      </c>
      <c r="D81" s="206" t="s">
        <v>321</v>
      </c>
      <c r="E81" s="103"/>
      <c r="F81" s="62" t="s">
        <v>322</v>
      </c>
      <c r="G81" s="103" t="s">
        <v>297</v>
      </c>
      <c r="H81" s="166"/>
      <c r="I81" s="166"/>
      <c r="J81" s="63">
        <f>47318.62+94637+189274</f>
        <v>331229.62</v>
      </c>
      <c r="K81" s="64">
        <v>1.0000000000000002</v>
      </c>
      <c r="L81" s="119">
        <f t="shared" si="7"/>
        <v>331229.62000000005</v>
      </c>
      <c r="M81" s="64">
        <v>0</v>
      </c>
      <c r="N81" s="116" t="s">
        <v>148</v>
      </c>
      <c r="O81" s="62" t="s">
        <v>18</v>
      </c>
      <c r="P81" s="124">
        <v>43186</v>
      </c>
      <c r="Q81" s="124">
        <f>P81+119</f>
        <v>43305</v>
      </c>
      <c r="R81" s="62"/>
      <c r="S81" s="62"/>
      <c r="T81" s="65" t="s">
        <v>21</v>
      </c>
      <c r="U81" s="125">
        <v>66</v>
      </c>
      <c r="V81" s="205">
        <f t="shared" si="8"/>
        <v>43305</v>
      </c>
      <c r="W81" s="2"/>
      <c r="X81" s="2"/>
    </row>
    <row r="82" spans="1:24" s="34" customFormat="1" ht="25.5" outlineLevel="1" x14ac:dyDescent="0.25">
      <c r="A82" s="122" t="s">
        <v>323</v>
      </c>
      <c r="B82" s="102" t="s">
        <v>137</v>
      </c>
      <c r="C82" s="103" t="s">
        <v>324</v>
      </c>
      <c r="D82" s="206" t="s">
        <v>325</v>
      </c>
      <c r="E82" s="104" t="s">
        <v>182</v>
      </c>
      <c r="F82" s="62" t="s">
        <v>326</v>
      </c>
      <c r="G82" s="103" t="s">
        <v>36</v>
      </c>
      <c r="H82" s="166"/>
      <c r="I82" s="166"/>
      <c r="J82" s="63">
        <v>1324921.1356466876</v>
      </c>
      <c r="K82" s="64">
        <v>0</v>
      </c>
      <c r="L82" s="119">
        <f t="shared" si="7"/>
        <v>0</v>
      </c>
      <c r="M82" s="64">
        <v>1</v>
      </c>
      <c r="N82" s="116" t="s">
        <v>148</v>
      </c>
      <c r="O82" s="62" t="s">
        <v>18</v>
      </c>
      <c r="P82" s="124">
        <v>43407</v>
      </c>
      <c r="Q82" s="124">
        <f>P82+60</f>
        <v>43467</v>
      </c>
      <c r="R82" s="62" t="s">
        <v>327</v>
      </c>
      <c r="S82" s="62" t="s">
        <v>109</v>
      </c>
      <c r="T82" s="65" t="s">
        <v>21</v>
      </c>
      <c r="U82" s="125">
        <v>119</v>
      </c>
      <c r="V82" s="205">
        <f t="shared" si="8"/>
        <v>43467</v>
      </c>
      <c r="W82" s="2"/>
      <c r="X82" s="2"/>
    </row>
    <row r="83" spans="1:24" s="34" customFormat="1" ht="38.25" outlineLevel="1" x14ac:dyDescent="0.25">
      <c r="A83" s="122" t="s">
        <v>328</v>
      </c>
      <c r="B83" s="102" t="s">
        <v>137</v>
      </c>
      <c r="C83" s="115" t="s">
        <v>329</v>
      </c>
      <c r="D83" s="206" t="s">
        <v>330</v>
      </c>
      <c r="E83" s="118" t="s">
        <v>331</v>
      </c>
      <c r="F83" s="62" t="s">
        <v>332</v>
      </c>
      <c r="G83" s="115" t="s">
        <v>297</v>
      </c>
      <c r="H83" s="62"/>
      <c r="I83" s="62"/>
      <c r="J83" s="63">
        <v>5993690.8517350163</v>
      </c>
      <c r="K83" s="64">
        <v>0.71000000000000008</v>
      </c>
      <c r="L83" s="119">
        <f t="shared" si="7"/>
        <v>4255520.5047318619</v>
      </c>
      <c r="M83" s="64">
        <v>0.28999999999999998</v>
      </c>
      <c r="N83" s="145" t="s">
        <v>148</v>
      </c>
      <c r="O83" s="62" t="s">
        <v>19</v>
      </c>
      <c r="P83" s="124">
        <v>43115</v>
      </c>
      <c r="Q83" s="124">
        <f>P83+119</f>
        <v>43234</v>
      </c>
      <c r="R83" s="62"/>
      <c r="S83" s="62"/>
      <c r="T83" s="65" t="s">
        <v>21</v>
      </c>
      <c r="U83" s="125">
        <v>119</v>
      </c>
      <c r="V83" s="205">
        <f t="shared" si="8"/>
        <v>43234</v>
      </c>
      <c r="W83" s="2"/>
      <c r="X83" s="2"/>
    </row>
    <row r="84" spans="1:24" s="34" customFormat="1" ht="38.25" outlineLevel="1" x14ac:dyDescent="0.25">
      <c r="A84" s="122" t="s">
        <v>333</v>
      </c>
      <c r="B84" s="102" t="s">
        <v>137</v>
      </c>
      <c r="C84" s="103" t="s">
        <v>334</v>
      </c>
      <c r="D84" s="206" t="s">
        <v>335</v>
      </c>
      <c r="E84" s="104" t="s">
        <v>336</v>
      </c>
      <c r="F84" s="62" t="s">
        <v>169</v>
      </c>
      <c r="G84" s="103" t="s">
        <v>297</v>
      </c>
      <c r="H84" s="62"/>
      <c r="I84" s="62"/>
      <c r="J84" s="63">
        <v>4731861.1987381699</v>
      </c>
      <c r="K84" s="64">
        <v>0.2</v>
      </c>
      <c r="L84" s="119">
        <f t="shared" si="7"/>
        <v>946372.23974763404</v>
      </c>
      <c r="M84" s="64">
        <v>0.8</v>
      </c>
      <c r="N84" s="116" t="s">
        <v>148</v>
      </c>
      <c r="O84" s="62" t="s">
        <v>19</v>
      </c>
      <c r="P84" s="124">
        <v>43480</v>
      </c>
      <c r="Q84" s="124">
        <f>P84+119</f>
        <v>43599</v>
      </c>
      <c r="R84" s="62"/>
      <c r="S84" s="62"/>
      <c r="T84" s="65" t="s">
        <v>21</v>
      </c>
      <c r="U84" s="125">
        <v>119</v>
      </c>
      <c r="V84" s="205">
        <f t="shared" si="8"/>
        <v>43599</v>
      </c>
      <c r="W84" s="2"/>
      <c r="X84" s="2"/>
    </row>
    <row r="85" spans="1:24" s="34" customFormat="1" ht="25.5" outlineLevel="1" x14ac:dyDescent="0.25">
      <c r="A85" s="122" t="s">
        <v>337</v>
      </c>
      <c r="B85" s="102" t="s">
        <v>137</v>
      </c>
      <c r="C85" s="115" t="s">
        <v>338</v>
      </c>
      <c r="D85" s="206" t="s">
        <v>339</v>
      </c>
      <c r="E85" s="115"/>
      <c r="F85" s="62" t="s">
        <v>311</v>
      </c>
      <c r="G85" s="115" t="s">
        <v>297</v>
      </c>
      <c r="H85" s="166"/>
      <c r="I85" s="166"/>
      <c r="J85" s="63">
        <v>315457.41324921139</v>
      </c>
      <c r="K85" s="64">
        <v>0.213947</v>
      </c>
      <c r="L85" s="119">
        <f t="shared" si="7"/>
        <v>67491.167192429028</v>
      </c>
      <c r="M85" s="64">
        <v>0.786053</v>
      </c>
      <c r="N85" s="116" t="s">
        <v>148</v>
      </c>
      <c r="O85" s="62" t="s">
        <v>18</v>
      </c>
      <c r="P85" s="124">
        <v>43407</v>
      </c>
      <c r="Q85" s="124">
        <f>P85+119</f>
        <v>43526</v>
      </c>
      <c r="R85" s="62"/>
      <c r="S85" s="62"/>
      <c r="T85" s="65" t="s">
        <v>21</v>
      </c>
      <c r="U85" s="125">
        <v>119</v>
      </c>
      <c r="V85" s="205">
        <f t="shared" si="8"/>
        <v>43526</v>
      </c>
      <c r="W85" s="2"/>
      <c r="X85" s="2"/>
    </row>
    <row r="86" spans="1:24" s="209" customFormat="1" ht="51" outlineLevel="1" x14ac:dyDescent="0.25">
      <c r="A86" s="122" t="s">
        <v>340</v>
      </c>
      <c r="B86" s="102" t="s">
        <v>137</v>
      </c>
      <c r="C86" s="207" t="s">
        <v>341</v>
      </c>
      <c r="D86" s="206" t="s">
        <v>307</v>
      </c>
      <c r="E86" s="118" t="s">
        <v>149</v>
      </c>
      <c r="F86" s="62" t="s">
        <v>109</v>
      </c>
      <c r="G86" s="61" t="s">
        <v>342</v>
      </c>
      <c r="H86" s="62"/>
      <c r="I86" s="62"/>
      <c r="J86" s="63">
        <v>1000000</v>
      </c>
      <c r="K86" s="64">
        <v>0.2</v>
      </c>
      <c r="L86" s="119">
        <f>J86*K86</f>
        <v>200000</v>
      </c>
      <c r="M86" s="64">
        <v>0.8</v>
      </c>
      <c r="N86" s="145" t="s">
        <v>148</v>
      </c>
      <c r="O86" s="62" t="s">
        <v>19</v>
      </c>
      <c r="P86" s="124">
        <v>43407</v>
      </c>
      <c r="Q86" s="124">
        <f>P86+15</f>
        <v>43422</v>
      </c>
      <c r="R86" s="62"/>
      <c r="S86" s="62"/>
      <c r="T86" s="65" t="s">
        <v>21</v>
      </c>
      <c r="U86" s="125">
        <v>119</v>
      </c>
      <c r="V86" s="205">
        <f>Q86</f>
        <v>43422</v>
      </c>
      <c r="W86" s="208"/>
      <c r="X86" s="208"/>
    </row>
    <row r="87" spans="1:24" s="72" customFormat="1" ht="20.25" customHeight="1" x14ac:dyDescent="0.25">
      <c r="A87" s="193"/>
      <c r="B87" s="73"/>
      <c r="C87" s="60"/>
      <c r="D87" s="60"/>
      <c r="E87" s="60"/>
      <c r="F87" s="60"/>
      <c r="G87" s="60"/>
      <c r="H87" s="77"/>
      <c r="I87" s="58" t="s">
        <v>343</v>
      </c>
      <c r="J87" s="136">
        <f>SUM(J73:J86)</f>
        <v>25881937.717791796</v>
      </c>
      <c r="K87" s="74"/>
      <c r="L87" s="136">
        <f>SUM(L72:L86)</f>
        <v>14064451.939212073</v>
      </c>
      <c r="M87" s="75"/>
      <c r="N87" s="60"/>
      <c r="O87" s="60"/>
      <c r="P87" s="60"/>
      <c r="Q87" s="60"/>
      <c r="R87" s="60"/>
      <c r="S87" s="60"/>
      <c r="T87" s="76"/>
      <c r="U87" s="125"/>
      <c r="V87" s="2"/>
      <c r="W87" s="2"/>
      <c r="X87" s="2"/>
    </row>
    <row r="88" spans="1:24" x14ac:dyDescent="0.25">
      <c r="U88" s="125"/>
      <c r="V88" s="2"/>
      <c r="W88" s="2"/>
      <c r="X88" s="2"/>
    </row>
    <row r="89" spans="1:24" ht="15.75" customHeight="1" x14ac:dyDescent="0.25">
      <c r="A89" s="51">
        <v>5</v>
      </c>
      <c r="B89" s="56" t="s">
        <v>344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9"/>
      <c r="U89" s="125"/>
      <c r="V89" s="2"/>
      <c r="W89" s="2"/>
      <c r="X89" s="2"/>
    </row>
    <row r="90" spans="1:24" ht="15" customHeight="1" x14ac:dyDescent="0.25">
      <c r="B90" s="628" t="s">
        <v>189</v>
      </c>
      <c r="C90" s="628" t="s">
        <v>10</v>
      </c>
      <c r="D90" s="628" t="s">
        <v>118</v>
      </c>
      <c r="E90" s="628" t="s">
        <v>119</v>
      </c>
      <c r="F90" s="628" t="s">
        <v>120</v>
      </c>
      <c r="G90" s="628" t="s">
        <v>121</v>
      </c>
      <c r="H90" s="638" t="s">
        <v>289</v>
      </c>
      <c r="I90" s="640"/>
      <c r="J90" s="636" t="s">
        <v>190</v>
      </c>
      <c r="K90" s="636"/>
      <c r="L90" s="636"/>
      <c r="M90" s="636"/>
      <c r="N90" s="628" t="s">
        <v>191</v>
      </c>
      <c r="O90" s="628" t="s">
        <v>192</v>
      </c>
      <c r="P90" s="628" t="s">
        <v>193</v>
      </c>
      <c r="Q90" s="628"/>
      <c r="R90" s="628" t="s">
        <v>128</v>
      </c>
      <c r="S90" s="628" t="s">
        <v>129</v>
      </c>
      <c r="T90" s="628" t="s">
        <v>20</v>
      </c>
      <c r="U90" s="125"/>
      <c r="V90" s="2"/>
      <c r="W90" s="2"/>
      <c r="X90" s="2"/>
    </row>
    <row r="91" spans="1:24" ht="25.5" x14ac:dyDescent="0.25">
      <c r="B91" s="628"/>
      <c r="C91" s="628"/>
      <c r="D91" s="628"/>
      <c r="E91" s="628"/>
      <c r="F91" s="628"/>
      <c r="G91" s="628"/>
      <c r="H91" s="639"/>
      <c r="I91" s="641"/>
      <c r="J91" s="564" t="s">
        <v>130</v>
      </c>
      <c r="K91" s="52" t="s">
        <v>131</v>
      </c>
      <c r="L91" s="565" t="s">
        <v>132</v>
      </c>
      <c r="M91" s="565" t="s">
        <v>133</v>
      </c>
      <c r="N91" s="628"/>
      <c r="O91" s="628"/>
      <c r="P91" s="564" t="s">
        <v>345</v>
      </c>
      <c r="Q91" s="564" t="s">
        <v>346</v>
      </c>
      <c r="R91" s="628"/>
      <c r="S91" s="628"/>
      <c r="T91" s="628"/>
      <c r="U91" s="125"/>
      <c r="V91" s="2"/>
      <c r="W91" s="2"/>
      <c r="X91" s="2"/>
    </row>
    <row r="92" spans="1:24" s="34" customFormat="1" ht="25.5" outlineLevel="1" x14ac:dyDescent="0.25">
      <c r="A92" s="122" t="s">
        <v>347</v>
      </c>
      <c r="B92" s="99" t="s">
        <v>137</v>
      </c>
      <c r="C92" s="120" t="s">
        <v>348</v>
      </c>
      <c r="D92" s="206" t="s">
        <v>349</v>
      </c>
      <c r="E92" s="120"/>
      <c r="F92" s="120" t="s">
        <v>169</v>
      </c>
      <c r="G92" s="61" t="s">
        <v>342</v>
      </c>
      <c r="H92" s="71"/>
      <c r="I92" s="71"/>
      <c r="J92" s="63">
        <v>63091.48264984227</v>
      </c>
      <c r="K92" s="64">
        <v>1</v>
      </c>
      <c r="L92" s="119">
        <f t="shared" ref="L92:L97" si="9">J92*K92</f>
        <v>63091.48264984227</v>
      </c>
      <c r="M92" s="64">
        <v>0</v>
      </c>
      <c r="N92" s="71" t="s">
        <v>136</v>
      </c>
      <c r="O92" s="62" t="s">
        <v>18</v>
      </c>
      <c r="P92" s="124">
        <v>43207</v>
      </c>
      <c r="Q92" s="124">
        <f t="shared" ref="Q92:Q97" si="10">P92+15</f>
        <v>43222</v>
      </c>
      <c r="R92" s="71"/>
      <c r="S92" s="71"/>
      <c r="T92" s="133" t="s">
        <v>21</v>
      </c>
      <c r="U92" s="125">
        <v>15</v>
      </c>
      <c r="V92" s="205">
        <f t="shared" ref="V92:V97" si="11">Q92</f>
        <v>43222</v>
      </c>
      <c r="W92" s="2"/>
      <c r="X92" s="2"/>
    </row>
    <row r="93" spans="1:24" s="34" customFormat="1" ht="63.75" outlineLevel="1" x14ac:dyDescent="0.25">
      <c r="A93" s="122" t="s">
        <v>350</v>
      </c>
      <c r="B93" s="102" t="s">
        <v>137</v>
      </c>
      <c r="C93" s="191" t="s">
        <v>351</v>
      </c>
      <c r="D93" s="206" t="s">
        <v>352</v>
      </c>
      <c r="E93" s="104" t="s">
        <v>157</v>
      </c>
      <c r="F93" s="181"/>
      <c r="G93" s="61" t="s">
        <v>342</v>
      </c>
      <c r="H93" s="62"/>
      <c r="I93" s="62"/>
      <c r="J93" s="63">
        <v>678696.92429022084</v>
      </c>
      <c r="K93" s="64">
        <v>9.2054766759971124E-2</v>
      </c>
      <c r="L93" s="119">
        <f t="shared" si="9"/>
        <v>62477.287066246063</v>
      </c>
      <c r="M93" s="64">
        <v>0.90794523324002896</v>
      </c>
      <c r="N93" s="116" t="s">
        <v>201</v>
      </c>
      <c r="O93" s="62" t="s">
        <v>18</v>
      </c>
      <c r="P93" s="124">
        <v>43286</v>
      </c>
      <c r="Q93" s="124">
        <f t="shared" si="10"/>
        <v>43301</v>
      </c>
      <c r="R93" s="123"/>
      <c r="S93" s="62"/>
      <c r="T93" s="65" t="s">
        <v>21</v>
      </c>
      <c r="U93" s="125">
        <v>119</v>
      </c>
      <c r="V93" s="205">
        <f t="shared" si="11"/>
        <v>43301</v>
      </c>
      <c r="W93" s="2"/>
      <c r="X93" s="2"/>
    </row>
    <row r="94" spans="1:24" s="34" customFormat="1" ht="38.25" outlineLevel="1" x14ac:dyDescent="0.25">
      <c r="A94" s="122" t="s">
        <v>353</v>
      </c>
      <c r="B94" s="102" t="s">
        <v>137</v>
      </c>
      <c r="C94" s="103" t="s">
        <v>354</v>
      </c>
      <c r="D94" s="206" t="s">
        <v>355</v>
      </c>
      <c r="E94" s="104" t="s">
        <v>356</v>
      </c>
      <c r="F94" s="62" t="s">
        <v>357</v>
      </c>
      <c r="G94" s="62" t="s">
        <v>342</v>
      </c>
      <c r="H94" s="62"/>
      <c r="I94" s="62"/>
      <c r="J94" s="63">
        <v>11356.46687697161</v>
      </c>
      <c r="K94" s="64">
        <v>1</v>
      </c>
      <c r="L94" s="119">
        <f t="shared" si="9"/>
        <v>11356.46687697161</v>
      </c>
      <c r="M94" s="64">
        <v>0</v>
      </c>
      <c r="N94" s="116" t="s">
        <v>148</v>
      </c>
      <c r="O94" s="62" t="s">
        <v>18</v>
      </c>
      <c r="P94" s="124">
        <v>43146</v>
      </c>
      <c r="Q94" s="124">
        <f t="shared" si="10"/>
        <v>43161</v>
      </c>
      <c r="R94" s="62"/>
      <c r="S94" s="62"/>
      <c r="T94" s="132" t="s">
        <v>21</v>
      </c>
      <c r="U94" s="125">
        <v>15</v>
      </c>
      <c r="V94" s="205">
        <f t="shared" si="11"/>
        <v>43161</v>
      </c>
      <c r="W94" s="2"/>
      <c r="X94" s="2"/>
    </row>
    <row r="95" spans="1:24" s="34" customFormat="1" ht="51" outlineLevel="1" x14ac:dyDescent="0.25">
      <c r="A95" s="122" t="s">
        <v>358</v>
      </c>
      <c r="B95" s="102" t="s">
        <v>137</v>
      </c>
      <c r="C95" s="103" t="s">
        <v>359</v>
      </c>
      <c r="D95" s="206" t="s">
        <v>360</v>
      </c>
      <c r="E95" s="104" t="s">
        <v>361</v>
      </c>
      <c r="F95" s="62" t="s">
        <v>311</v>
      </c>
      <c r="G95" s="62" t="s">
        <v>342</v>
      </c>
      <c r="H95" s="62"/>
      <c r="I95" s="62"/>
      <c r="J95" s="63">
        <v>94637.223974763401</v>
      </c>
      <c r="K95" s="64">
        <v>1.0000000000000002</v>
      </c>
      <c r="L95" s="119">
        <f t="shared" si="9"/>
        <v>94637.223974763416</v>
      </c>
      <c r="M95" s="64">
        <v>0</v>
      </c>
      <c r="N95" s="116" t="s">
        <v>148</v>
      </c>
      <c r="O95" s="62" t="s">
        <v>18</v>
      </c>
      <c r="P95" s="124">
        <v>43237</v>
      </c>
      <c r="Q95" s="124">
        <f t="shared" si="10"/>
        <v>43252</v>
      </c>
      <c r="R95" s="62"/>
      <c r="S95" s="62"/>
      <c r="T95" s="132" t="s">
        <v>21</v>
      </c>
      <c r="U95" s="125">
        <v>15</v>
      </c>
      <c r="V95" s="205">
        <f t="shared" si="11"/>
        <v>43252</v>
      </c>
      <c r="W95" s="2"/>
      <c r="X95" s="2"/>
    </row>
    <row r="96" spans="1:24" s="34" customFormat="1" outlineLevel="1" x14ac:dyDescent="0.25">
      <c r="A96" s="122" t="s">
        <v>362</v>
      </c>
      <c r="B96" s="102" t="s">
        <v>137</v>
      </c>
      <c r="C96" s="103" t="s">
        <v>363</v>
      </c>
      <c r="D96" s="206" t="s">
        <v>364</v>
      </c>
      <c r="E96" s="104" t="s">
        <v>365</v>
      </c>
      <c r="F96" s="62"/>
      <c r="G96" s="62" t="s">
        <v>342</v>
      </c>
      <c r="H96" s="62"/>
      <c r="I96" s="62"/>
      <c r="J96" s="63">
        <v>115000.31545741326</v>
      </c>
      <c r="K96" s="64">
        <v>0.4300001920170291</v>
      </c>
      <c r="L96" s="119">
        <f t="shared" si="9"/>
        <v>49450.157728706625</v>
      </c>
      <c r="M96" s="64">
        <v>0.56999980798297079</v>
      </c>
      <c r="N96" s="116" t="s">
        <v>201</v>
      </c>
      <c r="O96" s="62" t="s">
        <v>18</v>
      </c>
      <c r="P96" s="124">
        <v>44517</v>
      </c>
      <c r="Q96" s="124">
        <f t="shared" si="10"/>
        <v>44532</v>
      </c>
      <c r="R96" s="62"/>
      <c r="S96" s="62"/>
      <c r="T96" s="132" t="s">
        <v>21</v>
      </c>
      <c r="U96" s="125">
        <v>15</v>
      </c>
      <c r="V96" s="127">
        <f t="shared" si="11"/>
        <v>44532</v>
      </c>
      <c r="W96" s="2"/>
      <c r="X96" s="2"/>
    </row>
    <row r="97" spans="1:24" s="34" customFormat="1" outlineLevel="1" x14ac:dyDescent="0.25">
      <c r="A97" s="122" t="s">
        <v>366</v>
      </c>
      <c r="B97" s="102" t="s">
        <v>137</v>
      </c>
      <c r="C97" s="103" t="s">
        <v>367</v>
      </c>
      <c r="D97" s="206" t="s">
        <v>368</v>
      </c>
      <c r="E97" s="103"/>
      <c r="F97" s="62"/>
      <c r="G97" s="62" t="s">
        <v>342</v>
      </c>
      <c r="H97" s="62"/>
      <c r="I97" s="62"/>
      <c r="J97" s="63">
        <v>200000</v>
      </c>
      <c r="K97" s="64">
        <v>0.2</v>
      </c>
      <c r="L97" s="119">
        <f t="shared" si="9"/>
        <v>40000</v>
      </c>
      <c r="M97" s="68">
        <v>0.8</v>
      </c>
      <c r="N97" s="116" t="s">
        <v>205</v>
      </c>
      <c r="O97" s="62" t="s">
        <v>18</v>
      </c>
      <c r="P97" s="124">
        <v>44517</v>
      </c>
      <c r="Q97" s="124">
        <f t="shared" si="10"/>
        <v>44532</v>
      </c>
      <c r="R97" s="62"/>
      <c r="S97" s="62"/>
      <c r="T97" s="132" t="s">
        <v>21</v>
      </c>
      <c r="U97" s="125">
        <v>15</v>
      </c>
      <c r="V97" s="127">
        <f t="shared" si="11"/>
        <v>44532</v>
      </c>
      <c r="W97" s="2"/>
      <c r="X97" s="2"/>
    </row>
    <row r="98" spans="1:24" s="72" customFormat="1" ht="20.25" customHeight="1" x14ac:dyDescent="0.25">
      <c r="A98" s="193"/>
      <c r="B98" s="73"/>
      <c r="C98" s="60"/>
      <c r="D98" s="60"/>
      <c r="E98" s="60"/>
      <c r="F98" s="60"/>
      <c r="G98" s="60"/>
      <c r="H98" s="77" t="s">
        <v>369</v>
      </c>
      <c r="I98" s="77"/>
      <c r="J98" s="137">
        <f>SUM(J92:J97)</f>
        <v>1162782.4132492114</v>
      </c>
      <c r="K98" s="59"/>
      <c r="L98" s="137">
        <f>SUM(L92:L97)</f>
        <v>321012.61829652998</v>
      </c>
      <c r="M98" s="74"/>
      <c r="N98" s="60"/>
      <c r="O98" s="60"/>
      <c r="P98" s="60"/>
      <c r="Q98" s="60"/>
      <c r="R98" s="60"/>
      <c r="S98" s="60"/>
      <c r="T98" s="76"/>
      <c r="U98" s="125"/>
      <c r="V98" s="2"/>
      <c r="W98" s="2"/>
      <c r="X98" s="2"/>
    </row>
    <row r="99" spans="1:24" x14ac:dyDescent="0.25">
      <c r="U99" s="125"/>
      <c r="V99" s="2"/>
      <c r="W99" s="2"/>
      <c r="X99" s="2"/>
    </row>
    <row r="100" spans="1:24" ht="15.75" customHeight="1" x14ac:dyDescent="0.25">
      <c r="A100" s="51"/>
      <c r="B100" s="56" t="s">
        <v>370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9"/>
      <c r="U100" s="125"/>
      <c r="V100" s="2"/>
      <c r="W100" s="2"/>
      <c r="X100" s="2"/>
    </row>
    <row r="101" spans="1:24" ht="15" customHeight="1" x14ac:dyDescent="0.25">
      <c r="A101" s="193">
        <v>6</v>
      </c>
      <c r="B101" s="628" t="s">
        <v>189</v>
      </c>
      <c r="C101" s="628" t="s">
        <v>10</v>
      </c>
      <c r="D101" s="628" t="s">
        <v>118</v>
      </c>
      <c r="E101" s="628" t="s">
        <v>119</v>
      </c>
      <c r="F101" s="628" t="s">
        <v>120</v>
      </c>
      <c r="G101" s="628" t="s">
        <v>121</v>
      </c>
      <c r="H101" s="638" t="s">
        <v>289</v>
      </c>
      <c r="I101" s="640"/>
      <c r="J101" s="636" t="s">
        <v>190</v>
      </c>
      <c r="K101" s="636"/>
      <c r="L101" s="636"/>
      <c r="M101" s="636"/>
      <c r="N101" s="628" t="s">
        <v>191</v>
      </c>
      <c r="O101" s="628" t="s">
        <v>192</v>
      </c>
      <c r="P101" s="628" t="s">
        <v>193</v>
      </c>
      <c r="Q101" s="628"/>
      <c r="R101" s="628" t="s">
        <v>128</v>
      </c>
      <c r="S101" s="628" t="s">
        <v>129</v>
      </c>
      <c r="T101" s="628" t="s">
        <v>20</v>
      </c>
      <c r="U101" s="125"/>
      <c r="V101" s="2"/>
      <c r="W101" s="2"/>
      <c r="X101" s="2"/>
    </row>
    <row r="102" spans="1:24" ht="36" customHeight="1" x14ac:dyDescent="0.25">
      <c r="B102" s="628"/>
      <c r="C102" s="628"/>
      <c r="D102" s="628"/>
      <c r="E102" s="628"/>
      <c r="F102" s="628"/>
      <c r="G102" s="628"/>
      <c r="H102" s="639"/>
      <c r="I102" s="641"/>
      <c r="J102" s="564" t="s">
        <v>130</v>
      </c>
      <c r="K102" s="52" t="s">
        <v>131</v>
      </c>
      <c r="L102" s="565" t="s">
        <v>132</v>
      </c>
      <c r="M102" s="565" t="s">
        <v>133</v>
      </c>
      <c r="N102" s="628"/>
      <c r="O102" s="628"/>
      <c r="P102" s="564" t="s">
        <v>371</v>
      </c>
      <c r="Q102" s="564" t="s">
        <v>135</v>
      </c>
      <c r="R102" s="628"/>
      <c r="S102" s="628"/>
      <c r="T102" s="628"/>
      <c r="U102" s="125"/>
      <c r="V102" s="2"/>
      <c r="W102" s="2"/>
      <c r="X102" s="2"/>
    </row>
    <row r="103" spans="1:24" s="34" customFormat="1" ht="69" customHeight="1" outlineLevel="1" x14ac:dyDescent="0.25">
      <c r="A103" s="122" t="s">
        <v>372</v>
      </c>
      <c r="B103" s="99" t="s">
        <v>137</v>
      </c>
      <c r="C103" s="178" t="s">
        <v>373</v>
      </c>
      <c r="D103" s="206" t="s">
        <v>374</v>
      </c>
      <c r="E103" s="71" t="s">
        <v>375</v>
      </c>
      <c r="F103" s="62" t="s">
        <v>376</v>
      </c>
      <c r="G103" s="61" t="s">
        <v>36</v>
      </c>
      <c r="H103" s="83"/>
      <c r="I103" s="84"/>
      <c r="J103" s="63">
        <v>141955.83596214512</v>
      </c>
      <c r="K103" s="64">
        <v>0</v>
      </c>
      <c r="L103" s="119">
        <f>J103*K103</f>
        <v>0</v>
      </c>
      <c r="M103" s="64">
        <v>1</v>
      </c>
      <c r="N103" s="116" t="s">
        <v>148</v>
      </c>
      <c r="O103" s="61" t="s">
        <v>18</v>
      </c>
      <c r="P103" s="124">
        <v>43348</v>
      </c>
      <c r="Q103" s="124">
        <f>P103+60</f>
        <v>43408</v>
      </c>
      <c r="R103" s="61" t="s">
        <v>377</v>
      </c>
      <c r="S103" s="61"/>
      <c r="T103" s="70" t="s">
        <v>21</v>
      </c>
      <c r="U103" s="125">
        <v>119</v>
      </c>
      <c r="V103" s="205">
        <f>Q103</f>
        <v>43408</v>
      </c>
      <c r="W103" s="2"/>
      <c r="X103" s="2"/>
    </row>
    <row r="104" spans="1:24" s="34" customFormat="1" ht="53.25" customHeight="1" outlineLevel="1" x14ac:dyDescent="0.25">
      <c r="A104" s="122" t="s">
        <v>378</v>
      </c>
      <c r="B104" s="99" t="s">
        <v>137</v>
      </c>
      <c r="C104" s="61" t="s">
        <v>379</v>
      </c>
      <c r="D104" s="206" t="s">
        <v>380</v>
      </c>
      <c r="E104" s="71"/>
      <c r="F104" s="62" t="s">
        <v>311</v>
      </c>
      <c r="G104" s="61" t="s">
        <v>36</v>
      </c>
      <c r="H104" s="83"/>
      <c r="I104" s="84"/>
      <c r="J104" s="63">
        <v>78864.353312302846</v>
      </c>
      <c r="K104" s="64">
        <v>0</v>
      </c>
      <c r="L104" s="119">
        <f>J104*K104</f>
        <v>0</v>
      </c>
      <c r="M104" s="64">
        <v>1</v>
      </c>
      <c r="N104" s="116" t="s">
        <v>148</v>
      </c>
      <c r="O104" s="61" t="s">
        <v>18</v>
      </c>
      <c r="P104" s="124">
        <v>43348</v>
      </c>
      <c r="Q104" s="124">
        <f>P104+60</f>
        <v>43408</v>
      </c>
      <c r="R104" s="61" t="s">
        <v>377</v>
      </c>
      <c r="S104" s="61"/>
      <c r="T104" s="70" t="s">
        <v>21</v>
      </c>
      <c r="U104" s="125">
        <v>119</v>
      </c>
      <c r="V104" s="205">
        <f>Q104</f>
        <v>43408</v>
      </c>
      <c r="W104" s="2"/>
      <c r="X104" s="2"/>
    </row>
    <row r="105" spans="1:24" s="34" customFormat="1" ht="53.25" customHeight="1" outlineLevel="1" x14ac:dyDescent="0.25">
      <c r="A105" s="122" t="s">
        <v>381</v>
      </c>
      <c r="B105" s="105" t="s">
        <v>137</v>
      </c>
      <c r="C105" s="66" t="s">
        <v>382</v>
      </c>
      <c r="D105" s="206" t="s">
        <v>109</v>
      </c>
      <c r="E105" s="66"/>
      <c r="F105" s="120" t="s">
        <v>169</v>
      </c>
      <c r="G105" s="80" t="s">
        <v>34</v>
      </c>
      <c r="H105" s="85"/>
      <c r="I105" s="86"/>
      <c r="J105" s="63">
        <v>100000</v>
      </c>
      <c r="K105" s="68">
        <v>0.2</v>
      </c>
      <c r="L105" s="119">
        <f>J105*K105</f>
        <v>20000</v>
      </c>
      <c r="M105" s="64">
        <v>0.8</v>
      </c>
      <c r="N105" s="116" t="s">
        <v>136</v>
      </c>
      <c r="O105" s="66" t="s">
        <v>19</v>
      </c>
      <c r="P105" s="124"/>
      <c r="Q105" s="124"/>
      <c r="R105" s="61"/>
      <c r="S105" s="66"/>
      <c r="T105" s="69" t="s">
        <v>21</v>
      </c>
      <c r="U105" s="125">
        <v>0</v>
      </c>
      <c r="V105" s="127">
        <f>Q105</f>
        <v>0</v>
      </c>
      <c r="W105" s="2"/>
      <c r="X105" s="2"/>
    </row>
    <row r="106" spans="1:24" s="34" customFormat="1" ht="53.25" customHeight="1" outlineLevel="1" x14ac:dyDescent="0.25">
      <c r="A106" s="122" t="s">
        <v>383</v>
      </c>
      <c r="B106" s="105" t="s">
        <v>137</v>
      </c>
      <c r="C106" s="66" t="s">
        <v>384</v>
      </c>
      <c r="D106" s="206" t="s">
        <v>385</v>
      </c>
      <c r="E106" s="66"/>
      <c r="F106" s="120" t="s">
        <v>169</v>
      </c>
      <c r="G106" s="80" t="s">
        <v>34</v>
      </c>
      <c r="H106" s="85"/>
      <c r="I106" s="86"/>
      <c r="J106" s="63">
        <v>126800</v>
      </c>
      <c r="K106" s="68">
        <v>0.57999999999999996</v>
      </c>
      <c r="L106" s="119">
        <f>J106*K106</f>
        <v>73544</v>
      </c>
      <c r="M106" s="64">
        <v>0.42</v>
      </c>
      <c r="N106" s="116" t="s">
        <v>136</v>
      </c>
      <c r="O106" s="66" t="s">
        <v>19</v>
      </c>
      <c r="P106" s="124">
        <v>43193</v>
      </c>
      <c r="Q106" s="124">
        <f>P106+60</f>
        <v>43253</v>
      </c>
      <c r="R106" s="61"/>
      <c r="S106" s="66"/>
      <c r="T106" s="65" t="s">
        <v>21</v>
      </c>
      <c r="U106" s="125">
        <v>0</v>
      </c>
      <c r="V106" s="205">
        <f>Q106</f>
        <v>43253</v>
      </c>
      <c r="W106" s="2"/>
      <c r="X106" s="2"/>
    </row>
    <row r="107" spans="1:24" s="72" customFormat="1" ht="20.25" customHeight="1" x14ac:dyDescent="0.25">
      <c r="A107" s="193"/>
      <c r="B107" s="73"/>
      <c r="C107" s="60"/>
      <c r="D107" s="60"/>
      <c r="E107" s="60"/>
      <c r="F107" s="60"/>
      <c r="G107" s="60"/>
      <c r="H107" s="77"/>
      <c r="I107" s="58" t="s">
        <v>386</v>
      </c>
      <c r="J107" s="136">
        <f>SUM(J103:J106)</f>
        <v>447620.18927444797</v>
      </c>
      <c r="K107" s="74"/>
      <c r="L107" s="136">
        <f>SUM(L103:L106)</f>
        <v>93544</v>
      </c>
      <c r="M107" s="75"/>
      <c r="N107" s="60"/>
      <c r="O107" s="60"/>
      <c r="P107" s="60"/>
      <c r="Q107" s="60"/>
      <c r="R107" s="60"/>
      <c r="S107" s="60"/>
      <c r="T107" s="76"/>
      <c r="U107" s="125"/>
      <c r="V107" s="2"/>
      <c r="W107" s="2"/>
      <c r="X107" s="2"/>
    </row>
    <row r="108" spans="1:24" x14ac:dyDescent="0.25">
      <c r="H108" s="15"/>
      <c r="I108" s="15"/>
      <c r="J108" s="15"/>
      <c r="K108" s="16"/>
      <c r="L108" s="16"/>
      <c r="M108" s="17"/>
      <c r="N108" s="17"/>
      <c r="O108" s="15"/>
      <c r="P108" s="15"/>
      <c r="Q108" s="15"/>
      <c r="R108" s="15"/>
      <c r="S108" s="15"/>
      <c r="T108" s="15"/>
      <c r="U108" s="125"/>
      <c r="V108" s="2"/>
      <c r="W108" s="2"/>
      <c r="X108" s="2"/>
    </row>
    <row r="109" spans="1:24" ht="15.75" customHeight="1" x14ac:dyDescent="0.25">
      <c r="A109" s="47">
        <v>7</v>
      </c>
      <c r="B109" s="56" t="s">
        <v>387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9"/>
      <c r="U109" s="125"/>
      <c r="V109" s="2"/>
      <c r="W109" s="2"/>
      <c r="X109" s="2"/>
    </row>
    <row r="110" spans="1:24" ht="15" customHeight="1" x14ac:dyDescent="0.25">
      <c r="B110" s="628" t="s">
        <v>189</v>
      </c>
      <c r="C110" s="628" t="s">
        <v>388</v>
      </c>
      <c r="D110" s="628" t="s">
        <v>118</v>
      </c>
      <c r="E110" s="628" t="s">
        <v>119</v>
      </c>
      <c r="F110" s="628" t="s">
        <v>120</v>
      </c>
      <c r="G110" s="628"/>
      <c r="H110" s="628" t="s">
        <v>123</v>
      </c>
      <c r="I110" s="628"/>
      <c r="J110" s="636" t="s">
        <v>190</v>
      </c>
      <c r="K110" s="636"/>
      <c r="L110" s="636"/>
      <c r="M110" s="636"/>
      <c r="N110" s="628" t="s">
        <v>191</v>
      </c>
      <c r="O110" s="637" t="s">
        <v>389</v>
      </c>
      <c r="P110" s="628" t="s">
        <v>193</v>
      </c>
      <c r="Q110" s="628"/>
      <c r="R110" s="638" t="s">
        <v>390</v>
      </c>
      <c r="S110" s="628" t="s">
        <v>129</v>
      </c>
      <c r="T110" s="628" t="s">
        <v>20</v>
      </c>
      <c r="U110" s="125"/>
      <c r="V110" s="2"/>
      <c r="W110" s="2"/>
      <c r="X110" s="2"/>
    </row>
    <row r="111" spans="1:24" ht="53.25" customHeight="1" x14ac:dyDescent="0.25">
      <c r="B111" s="628"/>
      <c r="C111" s="628"/>
      <c r="D111" s="628"/>
      <c r="E111" s="628"/>
      <c r="F111" s="628"/>
      <c r="G111" s="628"/>
      <c r="H111" s="628"/>
      <c r="I111" s="628"/>
      <c r="J111" s="564" t="s">
        <v>130</v>
      </c>
      <c r="K111" s="564" t="s">
        <v>131</v>
      </c>
      <c r="L111" s="565" t="s">
        <v>132</v>
      </c>
      <c r="M111" s="52" t="s">
        <v>133</v>
      </c>
      <c r="N111" s="628"/>
      <c r="O111" s="637"/>
      <c r="P111" s="564" t="s">
        <v>391</v>
      </c>
      <c r="Q111" s="564" t="s">
        <v>392</v>
      </c>
      <c r="R111" s="639"/>
      <c r="S111" s="628"/>
      <c r="T111" s="628"/>
      <c r="U111" s="125"/>
      <c r="V111" s="2"/>
      <c r="W111" s="2"/>
      <c r="X111" s="2"/>
    </row>
    <row r="112" spans="1:24" s="34" customFormat="1" ht="24.6" customHeight="1" outlineLevel="1" x14ac:dyDescent="0.25">
      <c r="A112" s="122" t="s">
        <v>393</v>
      </c>
      <c r="B112" s="102" t="s">
        <v>137</v>
      </c>
      <c r="C112" s="115" t="s">
        <v>394</v>
      </c>
      <c r="D112" s="206" t="s">
        <v>395</v>
      </c>
      <c r="E112" s="62"/>
      <c r="F112" s="629" t="s">
        <v>396</v>
      </c>
      <c r="G112" s="630"/>
      <c r="H112" s="87"/>
      <c r="I112" s="88"/>
      <c r="J112" s="63">
        <v>0</v>
      </c>
      <c r="K112" s="64">
        <v>0</v>
      </c>
      <c r="L112" s="119">
        <f>J112*K112</f>
        <v>0</v>
      </c>
      <c r="M112" s="64">
        <v>0</v>
      </c>
      <c r="N112" s="116" t="s">
        <v>148</v>
      </c>
      <c r="O112" s="66" t="s">
        <v>19</v>
      </c>
      <c r="P112" s="201">
        <v>43192</v>
      </c>
      <c r="Q112" s="202">
        <f>P112+45</f>
        <v>43237</v>
      </c>
      <c r="R112" s="62"/>
      <c r="S112" s="62"/>
      <c r="T112" s="65" t="s">
        <v>21</v>
      </c>
      <c r="U112" s="125">
        <v>0</v>
      </c>
      <c r="V112" s="205">
        <f>Q112</f>
        <v>43237</v>
      </c>
      <c r="W112" s="2"/>
      <c r="X112" s="2"/>
    </row>
    <row r="113" spans="1:24" s="34" customFormat="1" ht="25.15" customHeight="1" outlineLevel="1" x14ac:dyDescent="0.25">
      <c r="A113" s="122" t="s">
        <v>397</v>
      </c>
      <c r="B113" s="102" t="s">
        <v>137</v>
      </c>
      <c r="C113" s="103" t="s">
        <v>398</v>
      </c>
      <c r="D113" s="206" t="s">
        <v>195</v>
      </c>
      <c r="E113" s="167"/>
      <c r="F113" s="629" t="s">
        <v>399</v>
      </c>
      <c r="G113" s="630"/>
      <c r="H113" s="168"/>
      <c r="I113" s="169"/>
      <c r="J113" s="63">
        <v>0</v>
      </c>
      <c r="K113" s="144">
        <v>0</v>
      </c>
      <c r="L113" s="119">
        <f>J113*K113</f>
        <v>0</v>
      </c>
      <c r="M113" s="144">
        <v>0</v>
      </c>
      <c r="N113" s="116" t="s">
        <v>148</v>
      </c>
      <c r="O113" s="66" t="s">
        <v>19</v>
      </c>
      <c r="P113" s="201">
        <v>43377</v>
      </c>
      <c r="Q113" s="203">
        <f>P113+45</f>
        <v>43422</v>
      </c>
      <c r="R113" s="167"/>
      <c r="S113" s="167"/>
      <c r="T113" s="65" t="s">
        <v>21</v>
      </c>
      <c r="U113" s="125">
        <v>0</v>
      </c>
      <c r="V113" s="205">
        <f>Q113</f>
        <v>43422</v>
      </c>
      <c r="W113" s="2"/>
      <c r="X113" s="2"/>
    </row>
    <row r="114" spans="1:24" s="34" customFormat="1" ht="207" customHeight="1" outlineLevel="1" x14ac:dyDescent="0.25">
      <c r="A114" s="122" t="s">
        <v>400</v>
      </c>
      <c r="B114" s="105" t="s">
        <v>137</v>
      </c>
      <c r="C114" s="103" t="s">
        <v>401</v>
      </c>
      <c r="D114" s="206" t="s">
        <v>402</v>
      </c>
      <c r="E114" s="66"/>
      <c r="F114" s="629" t="s">
        <v>403</v>
      </c>
      <c r="G114" s="630"/>
      <c r="H114" s="85"/>
      <c r="I114" s="86"/>
      <c r="J114" s="67">
        <v>437406.94006309152</v>
      </c>
      <c r="K114" s="68">
        <v>0.71489845519191086</v>
      </c>
      <c r="L114" s="119">
        <f>J114*K114</f>
        <v>312701.5457413249</v>
      </c>
      <c r="M114" s="68">
        <v>0.28510154480808897</v>
      </c>
      <c r="N114" s="116" t="s">
        <v>145</v>
      </c>
      <c r="O114" s="66" t="s">
        <v>19</v>
      </c>
      <c r="P114" s="201">
        <v>43133</v>
      </c>
      <c r="Q114" s="204">
        <f>P114+45</f>
        <v>43178</v>
      </c>
      <c r="R114" s="66"/>
      <c r="S114" s="66"/>
      <c r="T114" s="65" t="s">
        <v>21</v>
      </c>
      <c r="U114" s="125">
        <v>0</v>
      </c>
      <c r="V114" s="205">
        <f>Q114</f>
        <v>43178</v>
      </c>
      <c r="W114" s="2"/>
      <c r="X114" s="2"/>
    </row>
    <row r="115" spans="1:24" s="34" customFormat="1" ht="25.5" outlineLevel="1" x14ac:dyDescent="0.25">
      <c r="A115" s="122" t="s">
        <v>404</v>
      </c>
      <c r="B115" s="102" t="s">
        <v>137</v>
      </c>
      <c r="C115" s="103" t="s">
        <v>405</v>
      </c>
      <c r="D115" s="206" t="s">
        <v>406</v>
      </c>
      <c r="E115" s="104" t="s">
        <v>293</v>
      </c>
      <c r="F115" s="631" t="s">
        <v>407</v>
      </c>
      <c r="G115" s="632"/>
      <c r="H115" s="62"/>
      <c r="I115" s="119"/>
      <c r="J115" s="63">
        <v>115302.83911671925</v>
      </c>
      <c r="K115" s="64">
        <v>0.41999945281934831</v>
      </c>
      <c r="L115" s="119">
        <f>J115*K115</f>
        <v>48427.129337539431</v>
      </c>
      <c r="M115" s="64">
        <v>0.58000054718065175</v>
      </c>
      <c r="N115" s="116" t="s">
        <v>201</v>
      </c>
      <c r="O115" s="66" t="s">
        <v>19</v>
      </c>
      <c r="P115" s="124">
        <v>43133</v>
      </c>
      <c r="Q115" s="124">
        <f>P115+45</f>
        <v>43178</v>
      </c>
      <c r="R115" s="62"/>
      <c r="S115" s="62"/>
      <c r="T115" s="65" t="s">
        <v>21</v>
      </c>
      <c r="U115" s="125">
        <v>119</v>
      </c>
      <c r="V115" s="205">
        <f>Q115</f>
        <v>43178</v>
      </c>
      <c r="W115" s="2"/>
      <c r="X115" s="2"/>
    </row>
    <row r="116" spans="1:24" s="72" customFormat="1" ht="20.25" customHeight="1" x14ac:dyDescent="0.25">
      <c r="A116" s="193"/>
      <c r="B116" s="73"/>
      <c r="C116" s="60"/>
      <c r="D116" s="60"/>
      <c r="E116" s="60"/>
      <c r="F116" s="60"/>
      <c r="G116" s="60"/>
      <c r="H116" s="77"/>
      <c r="I116" s="58" t="s">
        <v>408</v>
      </c>
      <c r="J116" s="135">
        <f>SUM(J112:J115)</f>
        <v>552709.77917981078</v>
      </c>
      <c r="K116" s="74"/>
      <c r="L116" s="135">
        <f>SUM(L112:L114)</f>
        <v>312701.5457413249</v>
      </c>
      <c r="M116" s="82"/>
      <c r="N116" s="89"/>
      <c r="O116" s="60"/>
      <c r="P116" s="60"/>
      <c r="Q116" s="60"/>
      <c r="R116" s="60"/>
      <c r="S116" s="60"/>
      <c r="T116" s="76"/>
      <c r="U116" s="125"/>
      <c r="V116" s="47"/>
      <c r="W116" s="2"/>
      <c r="X116" s="2"/>
    </row>
    <row r="117" spans="1:24" x14ac:dyDescent="0.25">
      <c r="U117" s="125"/>
      <c r="V117" s="220"/>
      <c r="W117" s="2"/>
      <c r="X117" s="2"/>
    </row>
    <row r="118" spans="1:24" s="72" customFormat="1" x14ac:dyDescent="0.25">
      <c r="A118" s="193"/>
      <c r="B118" s="91"/>
      <c r="C118" s="92"/>
      <c r="D118" s="92"/>
      <c r="E118" s="92"/>
      <c r="F118" s="92"/>
      <c r="G118" s="92"/>
      <c r="H118" s="92"/>
      <c r="I118" s="93" t="s">
        <v>409</v>
      </c>
      <c r="J118" s="134">
        <f>SUM(J116,J107,J98,J87,J67,J48,J27)</f>
        <v>202155983.59129336</v>
      </c>
      <c r="K118" s="94"/>
      <c r="L118" s="95"/>
      <c r="M118" s="95"/>
      <c r="N118" s="92"/>
      <c r="O118" s="92"/>
      <c r="P118" s="92"/>
      <c r="Q118" s="92"/>
      <c r="R118" s="92"/>
      <c r="S118" s="92"/>
      <c r="T118" s="96"/>
      <c r="U118" s="125"/>
      <c r="V118" s="47"/>
      <c r="W118" s="2"/>
      <c r="X118" s="2"/>
    </row>
    <row r="120" spans="1:24" x14ac:dyDescent="0.25">
      <c r="A120" s="90"/>
      <c r="B120" s="633" t="s">
        <v>16</v>
      </c>
      <c r="C120" s="557" t="s">
        <v>17</v>
      </c>
      <c r="D120" s="49"/>
      <c r="E120" s="49"/>
      <c r="F120" s="39"/>
      <c r="V120" s="220"/>
      <c r="W120" s="2"/>
      <c r="X120" s="2"/>
    </row>
    <row r="121" spans="1:24" x14ac:dyDescent="0.25">
      <c r="A121" s="90"/>
      <c r="B121" s="634"/>
      <c r="C121" s="557" t="s">
        <v>18</v>
      </c>
      <c r="D121" s="49"/>
      <c r="E121" s="49"/>
      <c r="F121" s="39"/>
      <c r="V121" s="220"/>
      <c r="W121" s="2"/>
      <c r="X121" s="2"/>
    </row>
    <row r="122" spans="1:24" x14ac:dyDescent="0.25">
      <c r="A122" s="90"/>
      <c r="B122" s="635"/>
      <c r="C122" s="558" t="s">
        <v>19</v>
      </c>
      <c r="D122" s="50"/>
      <c r="E122" s="50"/>
      <c r="F122" s="39"/>
      <c r="V122" s="220"/>
      <c r="W122" s="2"/>
      <c r="X122" s="2"/>
    </row>
    <row r="123" spans="1:24" x14ac:dyDescent="0.25">
      <c r="A123" s="90"/>
      <c r="B123" s="39"/>
      <c r="C123" s="39"/>
      <c r="D123" s="39"/>
      <c r="E123" s="39"/>
      <c r="F123" s="39"/>
      <c r="V123" s="220"/>
      <c r="W123" s="2"/>
      <c r="X123" s="2"/>
    </row>
    <row r="124" spans="1:24" x14ac:dyDescent="0.25">
      <c r="A124" s="90"/>
      <c r="B124" s="619" t="s">
        <v>20</v>
      </c>
      <c r="C124" s="557" t="s">
        <v>21</v>
      </c>
      <c r="D124" s="49"/>
      <c r="E124" s="49"/>
      <c r="F124" s="39"/>
      <c r="V124" s="220"/>
      <c r="W124" s="2"/>
      <c r="X124" s="2"/>
    </row>
    <row r="125" spans="1:24" x14ac:dyDescent="0.25">
      <c r="A125" s="90"/>
      <c r="B125" s="620"/>
      <c r="C125" s="557" t="s">
        <v>22</v>
      </c>
      <c r="D125" s="49"/>
      <c r="E125" s="49"/>
      <c r="F125" s="39"/>
      <c r="V125" s="220"/>
      <c r="W125" s="2"/>
      <c r="X125" s="2"/>
    </row>
    <row r="126" spans="1:24" x14ac:dyDescent="0.25">
      <c r="A126" s="90"/>
      <c r="B126" s="620"/>
      <c r="C126" s="557" t="s">
        <v>23</v>
      </c>
      <c r="D126" s="49"/>
      <c r="E126" s="49"/>
      <c r="F126" s="39"/>
      <c r="V126" s="220"/>
      <c r="W126" s="2"/>
      <c r="X126" s="2"/>
    </row>
    <row r="127" spans="1:24" x14ac:dyDescent="0.25">
      <c r="A127" s="90"/>
      <c r="B127" s="620"/>
      <c r="C127" s="557" t="s">
        <v>24</v>
      </c>
      <c r="D127" s="49"/>
      <c r="E127" s="49"/>
      <c r="F127" s="39"/>
      <c r="V127" s="220"/>
      <c r="W127" s="2"/>
      <c r="X127" s="2"/>
    </row>
    <row r="128" spans="1:24" x14ac:dyDescent="0.25">
      <c r="A128" s="90"/>
      <c r="B128" s="620"/>
      <c r="C128" s="557" t="s">
        <v>25</v>
      </c>
      <c r="D128" s="49"/>
      <c r="E128" s="49"/>
      <c r="F128" s="39"/>
      <c r="V128" s="220"/>
      <c r="W128" s="2"/>
      <c r="X128" s="2"/>
    </row>
    <row r="129" spans="1:6" x14ac:dyDescent="0.25">
      <c r="A129" s="90"/>
      <c r="B129" s="620"/>
      <c r="C129" s="557" t="s">
        <v>410</v>
      </c>
      <c r="D129" s="49"/>
      <c r="E129" s="49"/>
      <c r="F129" s="39"/>
    </row>
    <row r="130" spans="1:6" x14ac:dyDescent="0.25">
      <c r="A130" s="90"/>
      <c r="B130" s="620"/>
      <c r="C130" s="557" t="s">
        <v>27</v>
      </c>
      <c r="D130" s="49"/>
      <c r="E130" s="49"/>
      <c r="F130" s="39"/>
    </row>
    <row r="131" spans="1:6" x14ac:dyDescent="0.25">
      <c r="A131" s="90"/>
      <c r="B131" s="621"/>
      <c r="C131" s="557" t="s">
        <v>411</v>
      </c>
      <c r="D131" s="49"/>
      <c r="E131" s="49"/>
      <c r="F131" s="39"/>
    </row>
    <row r="132" spans="1:6" x14ac:dyDescent="0.25">
      <c r="A132" s="90"/>
      <c r="B132" s="39"/>
      <c r="C132" s="39"/>
      <c r="D132" s="39"/>
      <c r="E132" s="39"/>
      <c r="F132" s="39"/>
    </row>
    <row r="133" spans="1:6" ht="22.5" x14ac:dyDescent="0.25">
      <c r="A133" s="90"/>
      <c r="B133" s="622" t="s">
        <v>30</v>
      </c>
      <c r="C133" s="623" t="s">
        <v>412</v>
      </c>
      <c r="D133" s="559"/>
      <c r="E133" s="559"/>
      <c r="F133" s="557" t="s">
        <v>297</v>
      </c>
    </row>
    <row r="134" spans="1:6" x14ac:dyDescent="0.25">
      <c r="A134" s="90"/>
      <c r="B134" s="622"/>
      <c r="C134" s="623"/>
      <c r="D134" s="559"/>
      <c r="E134" s="559"/>
      <c r="F134" s="557" t="s">
        <v>413</v>
      </c>
    </row>
    <row r="135" spans="1:6" ht="22.5" x14ac:dyDescent="0.25">
      <c r="A135" s="90"/>
      <c r="B135" s="622"/>
      <c r="C135" s="623"/>
      <c r="D135" s="559"/>
      <c r="E135" s="559"/>
      <c r="F135" s="557" t="s">
        <v>34</v>
      </c>
    </row>
    <row r="136" spans="1:6" x14ac:dyDescent="0.25">
      <c r="A136" s="90"/>
      <c r="B136" s="622"/>
      <c r="C136" s="623"/>
      <c r="D136" s="559"/>
      <c r="E136" s="559"/>
      <c r="F136" s="557" t="s">
        <v>35</v>
      </c>
    </row>
    <row r="137" spans="1:6" x14ac:dyDescent="0.25">
      <c r="A137" s="90"/>
      <c r="B137" s="622"/>
      <c r="C137" s="623"/>
      <c r="D137" s="559"/>
      <c r="E137" s="559"/>
      <c r="F137" s="557" t="s">
        <v>36</v>
      </c>
    </row>
    <row r="138" spans="1:6" x14ac:dyDescent="0.25">
      <c r="A138" s="90"/>
      <c r="B138" s="622"/>
      <c r="C138" s="623"/>
      <c r="D138" s="559"/>
      <c r="E138" s="559"/>
      <c r="F138" s="557" t="s">
        <v>414</v>
      </c>
    </row>
    <row r="139" spans="1:6" x14ac:dyDescent="0.25">
      <c r="A139" s="90"/>
      <c r="B139" s="622"/>
      <c r="C139" s="623"/>
      <c r="D139" s="559"/>
      <c r="E139" s="559"/>
      <c r="F139" s="557" t="s">
        <v>38</v>
      </c>
    </row>
    <row r="140" spans="1:6" x14ac:dyDescent="0.25">
      <c r="A140" s="90"/>
      <c r="B140" s="622"/>
      <c r="C140" s="624" t="s">
        <v>39</v>
      </c>
      <c r="D140" s="560"/>
      <c r="E140" s="560"/>
      <c r="F140" s="557" t="s">
        <v>40</v>
      </c>
    </row>
    <row r="141" spans="1:6" x14ac:dyDescent="0.25">
      <c r="A141" s="90"/>
      <c r="B141" s="622"/>
      <c r="C141" s="624"/>
      <c r="D141" s="560"/>
      <c r="E141" s="560"/>
      <c r="F141" s="557" t="s">
        <v>41</v>
      </c>
    </row>
    <row r="142" spans="1:6" x14ac:dyDescent="0.25">
      <c r="A142" s="90"/>
      <c r="B142" s="622"/>
      <c r="C142" s="624"/>
      <c r="D142" s="560"/>
      <c r="E142" s="560"/>
      <c r="F142" s="557" t="s">
        <v>42</v>
      </c>
    </row>
    <row r="143" spans="1:6" x14ac:dyDescent="0.25">
      <c r="A143" s="90"/>
      <c r="B143" s="622"/>
      <c r="C143" s="624"/>
      <c r="D143" s="560"/>
      <c r="E143" s="560"/>
      <c r="F143" s="557" t="s">
        <v>35</v>
      </c>
    </row>
    <row r="144" spans="1:6" x14ac:dyDescent="0.25">
      <c r="A144" s="90"/>
      <c r="B144" s="622"/>
      <c r="C144" s="624"/>
      <c r="D144" s="560"/>
      <c r="E144" s="560"/>
      <c r="F144" s="557" t="s">
        <v>36</v>
      </c>
    </row>
    <row r="145" spans="1:6" x14ac:dyDescent="0.25">
      <c r="A145" s="90"/>
      <c r="B145" s="622"/>
      <c r="C145" s="624"/>
      <c r="D145" s="560"/>
      <c r="E145" s="560"/>
      <c r="F145" s="557" t="s">
        <v>415</v>
      </c>
    </row>
    <row r="146" spans="1:6" ht="22.5" x14ac:dyDescent="0.25">
      <c r="A146" s="90"/>
      <c r="B146" s="622"/>
      <c r="C146" s="624"/>
      <c r="D146" s="560"/>
      <c r="E146" s="560"/>
      <c r="F146" s="557" t="s">
        <v>416</v>
      </c>
    </row>
    <row r="147" spans="1:6" x14ac:dyDescent="0.25">
      <c r="A147" s="90"/>
      <c r="B147" s="622"/>
      <c r="C147" s="624"/>
      <c r="D147" s="560"/>
      <c r="E147" s="560"/>
      <c r="F147" s="557" t="s">
        <v>45</v>
      </c>
    </row>
    <row r="148" spans="1:6" x14ac:dyDescent="0.25">
      <c r="A148" s="90"/>
      <c r="B148" s="622"/>
      <c r="C148" s="625" t="s">
        <v>46</v>
      </c>
      <c r="D148" s="561"/>
      <c r="E148" s="561"/>
      <c r="F148" s="557" t="s">
        <v>342</v>
      </c>
    </row>
    <row r="149" spans="1:6" x14ac:dyDescent="0.25">
      <c r="A149" s="90"/>
      <c r="B149" s="622"/>
      <c r="C149" s="626"/>
      <c r="D149" s="562"/>
      <c r="E149" s="562"/>
      <c r="F149" s="557" t="s">
        <v>35</v>
      </c>
    </row>
    <row r="150" spans="1:6" x14ac:dyDescent="0.25">
      <c r="A150" s="90"/>
      <c r="B150" s="622"/>
      <c r="C150" s="627"/>
      <c r="D150" s="563"/>
      <c r="E150" s="563"/>
      <c r="F150" s="557" t="s">
        <v>36</v>
      </c>
    </row>
    <row r="153" spans="1:6" x14ac:dyDescent="0.25">
      <c r="C153" s="2" t="s">
        <v>417</v>
      </c>
    </row>
  </sheetData>
  <mergeCells count="111">
    <mergeCell ref="A12:A13"/>
    <mergeCell ref="B13:B14"/>
    <mergeCell ref="C13:C14"/>
    <mergeCell ref="D13:D14"/>
    <mergeCell ref="E13:E14"/>
    <mergeCell ref="F13:F14"/>
    <mergeCell ref="P13:Q13"/>
    <mergeCell ref="R13:R14"/>
    <mergeCell ref="S13:S14"/>
    <mergeCell ref="H30:H31"/>
    <mergeCell ref="I30:I31"/>
    <mergeCell ref="T13:T14"/>
    <mergeCell ref="B30:B31"/>
    <mergeCell ref="C30:C31"/>
    <mergeCell ref="D30:D31"/>
    <mergeCell ref="E30:E31"/>
    <mergeCell ref="F30:F31"/>
    <mergeCell ref="G30:G31"/>
    <mergeCell ref="G13:G14"/>
    <mergeCell ref="H13:H14"/>
    <mergeCell ref="I13:I14"/>
    <mergeCell ref="J13:M13"/>
    <mergeCell ref="N13:N14"/>
    <mergeCell ref="O13:O14"/>
    <mergeCell ref="R30:R31"/>
    <mergeCell ref="S30:S31"/>
    <mergeCell ref="T30:T31"/>
    <mergeCell ref="J30:M30"/>
    <mergeCell ref="N30:N31"/>
    <mergeCell ref="O30:O31"/>
    <mergeCell ref="P30:Q30"/>
    <mergeCell ref="T70:T71"/>
    <mergeCell ref="S51:S52"/>
    <mergeCell ref="T51:T52"/>
    <mergeCell ref="B70:B71"/>
    <mergeCell ref="C70:C71"/>
    <mergeCell ref="D70:D71"/>
    <mergeCell ref="E70:E71"/>
    <mergeCell ref="F70:F71"/>
    <mergeCell ref="G70:G71"/>
    <mergeCell ref="H70:I71"/>
    <mergeCell ref="J70:M70"/>
    <mergeCell ref="I51:I52"/>
    <mergeCell ref="J51:M51"/>
    <mergeCell ref="N51:N52"/>
    <mergeCell ref="O51:O52"/>
    <mergeCell ref="P51:Q51"/>
    <mergeCell ref="R51:R52"/>
    <mergeCell ref="B51:B52"/>
    <mergeCell ref="C51:C52"/>
    <mergeCell ref="D51:D52"/>
    <mergeCell ref="E51:E52"/>
    <mergeCell ref="F51:F52"/>
    <mergeCell ref="G51:G52"/>
    <mergeCell ref="H51:H52"/>
    <mergeCell ref="D90:D91"/>
    <mergeCell ref="E90:E91"/>
    <mergeCell ref="F90:F91"/>
    <mergeCell ref="G90:G91"/>
    <mergeCell ref="N70:N71"/>
    <mergeCell ref="O70:O71"/>
    <mergeCell ref="P70:Q70"/>
    <mergeCell ref="R70:R71"/>
    <mergeCell ref="S70:S71"/>
    <mergeCell ref="N101:N102"/>
    <mergeCell ref="O101:O102"/>
    <mergeCell ref="P101:Q101"/>
    <mergeCell ref="R101:R102"/>
    <mergeCell ref="S101:S102"/>
    <mergeCell ref="T101:T102"/>
    <mergeCell ref="S90:S91"/>
    <mergeCell ref="T90:T91"/>
    <mergeCell ref="B101:B102"/>
    <mergeCell ref="C101:C102"/>
    <mergeCell ref="D101:D102"/>
    <mergeCell ref="E101:E102"/>
    <mergeCell ref="F101:F102"/>
    <mergeCell ref="G101:G102"/>
    <mergeCell ref="H101:I102"/>
    <mergeCell ref="J101:M101"/>
    <mergeCell ref="H90:I91"/>
    <mergeCell ref="J90:M90"/>
    <mergeCell ref="N90:N91"/>
    <mergeCell ref="O90:O91"/>
    <mergeCell ref="P90:Q90"/>
    <mergeCell ref="R90:R91"/>
    <mergeCell ref="B90:B91"/>
    <mergeCell ref="C90:C91"/>
    <mergeCell ref="B124:B131"/>
    <mergeCell ref="B133:B150"/>
    <mergeCell ref="C133:C139"/>
    <mergeCell ref="C140:C147"/>
    <mergeCell ref="C148:C150"/>
    <mergeCell ref="T110:T111"/>
    <mergeCell ref="F112:G112"/>
    <mergeCell ref="F113:G113"/>
    <mergeCell ref="F114:G114"/>
    <mergeCell ref="F115:G115"/>
    <mergeCell ref="B120:B122"/>
    <mergeCell ref="J110:M110"/>
    <mergeCell ref="N110:N111"/>
    <mergeCell ref="O110:O111"/>
    <mergeCell ref="P110:Q110"/>
    <mergeCell ref="R110:R111"/>
    <mergeCell ref="S110:S111"/>
    <mergeCell ref="B110:B111"/>
    <mergeCell ref="C110:C111"/>
    <mergeCell ref="D110:D111"/>
    <mergeCell ref="E110:E111"/>
    <mergeCell ref="F110:G111"/>
    <mergeCell ref="H110:I111"/>
  </mergeCells>
  <dataValidations count="7">
    <dataValidation type="list" allowBlank="1" showInputMessage="1" showErrorMessage="1" sqref="G87 G72:G85">
      <formula1>$F$133:$F$139</formula1>
    </dataValidation>
    <dataValidation type="list" allowBlank="1" showInputMessage="1" showErrorMessage="1" sqref="O107:O108 G107">
      <formula1>#REF!</formula1>
    </dataValidation>
    <dataValidation type="list" allowBlank="1" showInputMessage="1" showErrorMessage="1" sqref="O15:O27 O92:O98 O112:O115 O53:O67 O32:O48 O103:O106 O72:O87">
      <formula1>$C$120:$C$122</formula1>
    </dataValidation>
    <dataValidation type="list" allowBlank="1" showInputMessage="1" showErrorMessage="1" sqref="T32:T48 T103:T106 T93:T98 T53:T67 T112:T115 T15:T27 T72:T87 S78:S79">
      <formula1>$C$124:$C$131</formula1>
    </dataValidation>
    <dataValidation type="list" allowBlank="1" showInputMessage="1" showErrorMessage="1" sqref="G103:G106">
      <formula1>$F$133:$F$142</formula1>
    </dataValidation>
    <dataValidation type="list" allowBlank="1" showInputMessage="1" showErrorMessage="1" sqref="G32:G48 G15:G27 G53:G67">
      <formula1>$F$140:$F$147</formula1>
    </dataValidation>
    <dataValidation type="list" allowBlank="1" showInputMessage="1" showErrorMessage="1" sqref="G86 G92:G98">
      <formula1>$F$148:$F$150</formula1>
    </dataValidation>
  </dataValidations>
  <printOptions horizontalCentered="1"/>
  <pageMargins left="0" right="0" top="0.15748031496062992" bottom="0.15748031496062992" header="0.31496062992125984" footer="0.31496062992125984"/>
  <pageSetup paperSize="9" scale="46" fitToHeight="0" orientation="landscape" verticalDpi="9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0000"/>
    <pageSetUpPr fitToPage="1"/>
  </sheetPr>
  <dimension ref="A1:S99"/>
  <sheetViews>
    <sheetView showGridLines="0" topLeftCell="A13" zoomScale="80" zoomScaleNormal="80" workbookViewId="0">
      <selection activeCell="A17" sqref="A17:XFD17"/>
    </sheetView>
  </sheetViews>
  <sheetFormatPr defaultColWidth="8.7109375" defaultRowHeight="15.75" x14ac:dyDescent="0.25"/>
  <cols>
    <col min="1" max="1" width="56.85546875" style="149" customWidth="1"/>
    <col min="2" max="2" width="90.140625" style="149" customWidth="1"/>
    <col min="3" max="3" width="62.28515625" style="149" customWidth="1"/>
    <col min="4" max="4" width="41.42578125" style="149" customWidth="1"/>
    <col min="5" max="5" width="36.7109375" style="149" customWidth="1"/>
    <col min="6" max="7" width="12.85546875" style="149" customWidth="1"/>
    <col min="8" max="8" width="15.7109375" style="150" customWidth="1"/>
    <col min="9" max="9" width="15.7109375" style="151" customWidth="1"/>
    <col min="10" max="10" width="18" style="151" customWidth="1"/>
    <col min="11" max="11" width="12.7109375" style="149" customWidth="1"/>
    <col min="12" max="12" width="19.5703125" style="149" customWidth="1"/>
    <col min="13" max="13" width="15.5703125" style="149" customWidth="1"/>
    <col min="14" max="14" width="15" style="149" customWidth="1"/>
    <col min="15" max="17" width="18.85546875" style="149" customWidth="1"/>
    <col min="18" max="16384" width="8.7109375" style="149"/>
  </cols>
  <sheetData>
    <row r="1" spans="1:19" x14ac:dyDescent="0.25">
      <c r="A1" s="160" t="s">
        <v>418</v>
      </c>
      <c r="B1" s="153" t="s">
        <v>105</v>
      </c>
      <c r="C1" s="152"/>
      <c r="D1" s="152"/>
      <c r="E1" s="152"/>
      <c r="F1" s="152"/>
      <c r="G1" s="152"/>
      <c r="H1" s="154"/>
      <c r="I1" s="155"/>
      <c r="J1" s="155"/>
      <c r="K1" s="152"/>
      <c r="L1" s="152"/>
      <c r="M1" s="152"/>
    </row>
    <row r="2" spans="1:19" x14ac:dyDescent="0.25">
      <c r="A2" s="160" t="s">
        <v>106</v>
      </c>
      <c r="B2" s="15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9" x14ac:dyDescent="0.25">
      <c r="A3" s="158" t="s">
        <v>419</v>
      </c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9" x14ac:dyDescent="0.25">
      <c r="A4" s="160" t="s">
        <v>420</v>
      </c>
      <c r="B4" s="160"/>
      <c r="C4" s="152"/>
      <c r="D4" s="152"/>
      <c r="E4" s="152"/>
      <c r="F4" s="152"/>
      <c r="G4" s="152"/>
      <c r="H4" s="154"/>
      <c r="I4" s="155"/>
      <c r="J4" s="155"/>
      <c r="K4" s="152"/>
      <c r="L4" s="152"/>
      <c r="M4" s="152"/>
    </row>
    <row r="5" spans="1:19" x14ac:dyDescent="0.25">
      <c r="A5" s="152"/>
      <c r="B5" s="161"/>
      <c r="C5" s="152"/>
      <c r="D5" s="152"/>
      <c r="E5" s="152"/>
      <c r="F5" s="152"/>
      <c r="G5" s="152"/>
      <c r="H5" s="154"/>
      <c r="I5" s="155"/>
      <c r="J5" s="155"/>
      <c r="K5" s="152"/>
      <c r="L5" s="152"/>
      <c r="M5" s="152"/>
    </row>
    <row r="6" spans="1:19" x14ac:dyDescent="0.25">
      <c r="A6" s="162" t="s">
        <v>421</v>
      </c>
      <c r="B6" s="162"/>
      <c r="C6" s="159"/>
      <c r="D6" s="152"/>
      <c r="E6" s="152"/>
      <c r="F6" s="152"/>
      <c r="G6" s="152"/>
      <c r="H6" s="154"/>
      <c r="I6" s="155"/>
      <c r="J6" s="155"/>
      <c r="K6" s="152"/>
      <c r="L6" s="152"/>
      <c r="M6" s="152"/>
    </row>
    <row r="7" spans="1:19" x14ac:dyDescent="0.25">
      <c r="A7" s="158" t="s">
        <v>422</v>
      </c>
      <c r="B7" s="158"/>
      <c r="C7" s="159"/>
      <c r="D7" s="152"/>
      <c r="E7" s="152"/>
      <c r="F7" s="152"/>
      <c r="G7" s="152"/>
      <c r="H7" s="154"/>
      <c r="I7" s="155"/>
      <c r="J7" s="155"/>
      <c r="K7" s="152"/>
      <c r="L7" s="152"/>
      <c r="M7" s="152"/>
    </row>
    <row r="8" spans="1:19" x14ac:dyDescent="0.25">
      <c r="A8" s="158" t="s">
        <v>112</v>
      </c>
      <c r="B8" s="158"/>
      <c r="C8" s="159"/>
      <c r="D8" s="152"/>
      <c r="E8" s="152"/>
      <c r="F8" s="152"/>
      <c r="G8" s="152"/>
      <c r="H8" s="154"/>
      <c r="I8" s="155"/>
      <c r="J8" s="155"/>
      <c r="K8" s="152"/>
      <c r="L8" s="152"/>
      <c r="M8" s="152"/>
    </row>
    <row r="9" spans="1:19" customFormat="1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 customHeight="1" x14ac:dyDescent="0.25">
      <c r="A10" s="645" t="s">
        <v>423</v>
      </c>
      <c r="B10" s="645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64"/>
    </row>
    <row r="11" spans="1:19" customFormat="1" ht="5.099999999999999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646" t="s">
        <v>424</v>
      </c>
      <c r="B12" s="646" t="s">
        <v>425</v>
      </c>
      <c r="H12" s="149"/>
      <c r="I12" s="149"/>
      <c r="J12" s="149"/>
    </row>
    <row r="13" spans="1:19" ht="15.6" customHeight="1" x14ac:dyDescent="0.25">
      <c r="A13" s="646"/>
      <c r="B13" s="646"/>
      <c r="H13" s="149"/>
      <c r="I13" s="149"/>
      <c r="J13" s="149"/>
    </row>
    <row r="14" spans="1:19" x14ac:dyDescent="0.25">
      <c r="A14" s="647" t="s">
        <v>426</v>
      </c>
      <c r="B14" s="648"/>
      <c r="H14" s="149"/>
      <c r="I14" s="149"/>
      <c r="J14" s="149"/>
    </row>
    <row r="15" spans="1:19" ht="30" customHeight="1" x14ac:dyDescent="0.25">
      <c r="A15" s="174" t="s">
        <v>427</v>
      </c>
      <c r="B15" s="174" t="s">
        <v>428</v>
      </c>
      <c r="H15" s="149"/>
      <c r="I15" s="149"/>
      <c r="J15" s="149"/>
    </row>
    <row r="16" spans="1:19" ht="30" customHeight="1" x14ac:dyDescent="0.25">
      <c r="A16" s="174" t="s">
        <v>429</v>
      </c>
      <c r="B16" s="174" t="s">
        <v>430</v>
      </c>
      <c r="H16" s="149"/>
      <c r="I16" s="149"/>
      <c r="J16" s="149"/>
    </row>
    <row r="17" spans="1:10" ht="30" customHeight="1" x14ac:dyDescent="0.25">
      <c r="A17" s="173" t="s">
        <v>431</v>
      </c>
      <c r="B17" s="174" t="s">
        <v>432</v>
      </c>
      <c r="H17" s="149"/>
      <c r="I17" s="149"/>
      <c r="J17" s="149"/>
    </row>
    <row r="18" spans="1:10" ht="30" customHeight="1" x14ac:dyDescent="0.25">
      <c r="A18" s="173" t="s">
        <v>433</v>
      </c>
      <c r="B18" s="174" t="s">
        <v>434</v>
      </c>
      <c r="H18" s="149"/>
      <c r="I18" s="149"/>
      <c r="J18" s="149"/>
    </row>
    <row r="19" spans="1:10" ht="30" customHeight="1" x14ac:dyDescent="0.25">
      <c r="A19" s="173" t="s">
        <v>435</v>
      </c>
      <c r="B19" s="173" t="s">
        <v>436</v>
      </c>
      <c r="H19" s="149"/>
      <c r="I19" s="149"/>
      <c r="J19" s="149"/>
    </row>
    <row r="20" spans="1:10" x14ac:dyDescent="0.25">
      <c r="A20" s="647" t="s">
        <v>437</v>
      </c>
      <c r="B20" s="648"/>
      <c r="H20" s="149"/>
      <c r="I20" s="149"/>
      <c r="J20" s="149"/>
    </row>
    <row r="21" spans="1:10" s="180" customFormat="1" x14ac:dyDescent="0.25">
      <c r="A21" s="173" t="s">
        <v>438</v>
      </c>
      <c r="B21" s="173" t="s">
        <v>439</v>
      </c>
    </row>
    <row r="22" spans="1:10" s="180" customFormat="1" ht="35.450000000000003" customHeight="1" x14ac:dyDescent="0.25">
      <c r="A22" s="173" t="s">
        <v>440</v>
      </c>
      <c r="B22" s="173" t="s">
        <v>441</v>
      </c>
    </row>
    <row r="23" spans="1:10" ht="30" customHeight="1" x14ac:dyDescent="0.25">
      <c r="A23" s="173" t="s">
        <v>442</v>
      </c>
      <c r="B23" s="173" t="s">
        <v>443</v>
      </c>
      <c r="H23" s="149"/>
      <c r="I23" s="149"/>
      <c r="J23" s="149"/>
    </row>
    <row r="24" spans="1:10" ht="30" customHeight="1" x14ac:dyDescent="0.25">
      <c r="A24" s="173" t="s">
        <v>444</v>
      </c>
      <c r="B24" s="173" t="s">
        <v>445</v>
      </c>
      <c r="H24" s="149"/>
      <c r="I24" s="149"/>
      <c r="J24" s="149"/>
    </row>
    <row r="25" spans="1:10" ht="31.5" x14ac:dyDescent="0.25">
      <c r="A25" s="190" t="s">
        <v>446</v>
      </c>
      <c r="B25" s="189" t="s">
        <v>447</v>
      </c>
    </row>
    <row r="26" spans="1:10" ht="30" customHeight="1" x14ac:dyDescent="0.25">
      <c r="A26" s="173" t="s">
        <v>448</v>
      </c>
      <c r="B26" s="173" t="s">
        <v>449</v>
      </c>
      <c r="H26" s="149"/>
      <c r="I26" s="149"/>
      <c r="J26" s="149"/>
    </row>
    <row r="27" spans="1:10" ht="30" customHeight="1" x14ac:dyDescent="0.25">
      <c r="A27" s="173" t="s">
        <v>450</v>
      </c>
      <c r="B27" s="173" t="s">
        <v>451</v>
      </c>
      <c r="H27" s="149"/>
      <c r="I27" s="149"/>
      <c r="J27" s="149"/>
    </row>
    <row r="28" spans="1:10" x14ac:dyDescent="0.25">
      <c r="A28" s="647" t="s">
        <v>452</v>
      </c>
      <c r="B28" s="648"/>
      <c r="H28" s="149"/>
      <c r="I28" s="149"/>
      <c r="J28" s="149"/>
    </row>
    <row r="29" spans="1:10" s="180" customFormat="1" ht="31.5" x14ac:dyDescent="0.25">
      <c r="A29" s="173" t="s">
        <v>453</v>
      </c>
      <c r="B29" s="173" t="s">
        <v>454</v>
      </c>
    </row>
    <row r="30" spans="1:10" s="180" customFormat="1" x14ac:dyDescent="0.25">
      <c r="A30" s="173" t="s">
        <v>455</v>
      </c>
      <c r="B30" s="173" t="s">
        <v>109</v>
      </c>
    </row>
    <row r="31" spans="1:10" ht="30" customHeight="1" x14ac:dyDescent="0.25">
      <c r="A31" s="173" t="s">
        <v>456</v>
      </c>
      <c r="B31" s="173" t="s">
        <v>457</v>
      </c>
      <c r="H31" s="149"/>
      <c r="I31" s="149"/>
      <c r="J31" s="149"/>
    </row>
    <row r="32" spans="1:10" ht="30" customHeight="1" x14ac:dyDescent="0.25">
      <c r="A32" s="174" t="s">
        <v>458</v>
      </c>
      <c r="B32" s="173" t="s">
        <v>457</v>
      </c>
      <c r="H32" s="149"/>
      <c r="I32" s="149"/>
      <c r="J32" s="149"/>
    </row>
    <row r="33" spans="1:10" x14ac:dyDescent="0.25">
      <c r="A33" s="647" t="s">
        <v>459</v>
      </c>
      <c r="B33" s="648"/>
      <c r="H33" s="149"/>
      <c r="I33" s="149"/>
      <c r="J33" s="149"/>
    </row>
    <row r="34" spans="1:10" ht="101.45" customHeight="1" x14ac:dyDescent="0.25">
      <c r="A34" s="173" t="s">
        <v>460</v>
      </c>
      <c r="B34" s="173" t="s">
        <v>461</v>
      </c>
      <c r="H34" s="149"/>
      <c r="I34" s="149"/>
      <c r="J34" s="149"/>
    </row>
    <row r="35" spans="1:10" ht="30" customHeight="1" x14ac:dyDescent="0.25">
      <c r="A35" s="173" t="s">
        <v>462</v>
      </c>
      <c r="B35" s="173" t="s">
        <v>463</v>
      </c>
      <c r="H35" s="149"/>
      <c r="I35" s="149"/>
      <c r="J35" s="149"/>
    </row>
    <row r="36" spans="1:10" ht="30" customHeight="1" x14ac:dyDescent="0.25">
      <c r="A36" s="173" t="s">
        <v>464</v>
      </c>
      <c r="B36" s="173" t="s">
        <v>465</v>
      </c>
      <c r="H36" s="149"/>
      <c r="I36" s="149"/>
      <c r="J36" s="149"/>
    </row>
    <row r="37" spans="1:10" ht="30" customHeight="1" x14ac:dyDescent="0.25">
      <c r="A37" s="173" t="s">
        <v>466</v>
      </c>
      <c r="B37" s="173" t="s">
        <v>467</v>
      </c>
      <c r="H37" s="149"/>
      <c r="I37" s="149"/>
      <c r="J37" s="149"/>
    </row>
    <row r="38" spans="1:10" ht="30" customHeight="1" x14ac:dyDescent="0.25">
      <c r="A38" s="173" t="s">
        <v>468</v>
      </c>
      <c r="B38" s="179" t="s">
        <v>469</v>
      </c>
      <c r="H38" s="149"/>
      <c r="I38" s="149"/>
      <c r="J38" s="149"/>
    </row>
    <row r="39" spans="1:10" ht="51" customHeight="1" x14ac:dyDescent="0.25">
      <c r="A39" s="173" t="s">
        <v>470</v>
      </c>
      <c r="B39" s="179" t="s">
        <v>471</v>
      </c>
      <c r="H39" s="149"/>
      <c r="I39" s="149"/>
      <c r="J39" s="149"/>
    </row>
    <row r="40" spans="1:10" x14ac:dyDescent="0.25">
      <c r="A40" s="647" t="s">
        <v>472</v>
      </c>
      <c r="B40" s="648"/>
      <c r="H40" s="149"/>
      <c r="I40" s="149"/>
      <c r="J40" s="149"/>
    </row>
    <row r="41" spans="1:10" ht="30" customHeight="1" x14ac:dyDescent="0.25">
      <c r="A41" s="173" t="s">
        <v>473</v>
      </c>
      <c r="B41" s="175" t="s">
        <v>474</v>
      </c>
      <c r="H41" s="149"/>
      <c r="I41" s="149"/>
      <c r="J41" s="149"/>
    </row>
    <row r="42" spans="1:10" x14ac:dyDescent="0.25">
      <c r="A42" s="647" t="s">
        <v>475</v>
      </c>
      <c r="B42" s="648"/>
      <c r="H42" s="149"/>
      <c r="I42" s="149"/>
      <c r="J42" s="149"/>
    </row>
    <row r="43" spans="1:10" ht="48.6" customHeight="1" x14ac:dyDescent="0.25">
      <c r="A43" s="176" t="s">
        <v>476</v>
      </c>
      <c r="B43" s="177" t="s">
        <v>477</v>
      </c>
      <c r="H43" s="149"/>
      <c r="I43" s="149"/>
      <c r="J43" s="149"/>
    </row>
    <row r="44" spans="1:10" ht="48.6" customHeight="1" x14ac:dyDescent="0.25">
      <c r="A44" s="173" t="s">
        <v>478</v>
      </c>
      <c r="B44" s="173" t="s">
        <v>479</v>
      </c>
      <c r="H44" s="149"/>
      <c r="I44" s="149"/>
      <c r="J44" s="149"/>
    </row>
    <row r="45" spans="1:10" ht="63" customHeight="1" x14ac:dyDescent="0.25">
      <c r="A45" s="173" t="s">
        <v>480</v>
      </c>
      <c r="B45" s="179" t="s">
        <v>481</v>
      </c>
      <c r="H45" s="149"/>
      <c r="I45" s="149"/>
      <c r="J45" s="149"/>
    </row>
    <row r="46" spans="1:10" x14ac:dyDescent="0.25">
      <c r="A46" s="647" t="s">
        <v>482</v>
      </c>
      <c r="B46" s="648"/>
      <c r="H46" s="149"/>
      <c r="I46" s="149"/>
      <c r="J46" s="149"/>
    </row>
    <row r="47" spans="1:10" s="180" customFormat="1" ht="31.5" x14ac:dyDescent="0.25">
      <c r="A47" s="173" t="s">
        <v>483</v>
      </c>
      <c r="B47" s="173" t="s">
        <v>484</v>
      </c>
    </row>
    <row r="48" spans="1:10" s="180" customFormat="1" ht="31.5" x14ac:dyDescent="0.25">
      <c r="A48" s="173" t="s">
        <v>485</v>
      </c>
      <c r="B48" s="173" t="s">
        <v>486</v>
      </c>
    </row>
    <row r="50" spans="1:10" ht="30" customHeight="1" x14ac:dyDescent="0.25">
      <c r="A50" s="172"/>
      <c r="B50" s="172"/>
      <c r="H50" s="149"/>
      <c r="I50" s="149"/>
      <c r="J50" s="149"/>
    </row>
    <row r="51" spans="1:10" ht="30" customHeight="1" x14ac:dyDescent="0.25">
      <c r="A51" s="172"/>
      <c r="B51" s="172"/>
      <c r="H51" s="149"/>
      <c r="I51" s="149"/>
      <c r="J51" s="149"/>
    </row>
    <row r="52" spans="1:10" ht="30" customHeight="1" x14ac:dyDescent="0.25">
      <c r="A52" s="171"/>
      <c r="B52" s="172"/>
      <c r="H52" s="149"/>
      <c r="I52" s="149"/>
      <c r="J52" s="149"/>
    </row>
    <row r="53" spans="1:10" ht="30" customHeight="1" x14ac:dyDescent="0.25">
      <c r="A53" s="171"/>
      <c r="B53" s="171"/>
      <c r="H53" s="149"/>
      <c r="I53" s="149"/>
      <c r="J53" s="149"/>
    </row>
    <row r="54" spans="1:10" ht="30" customHeight="1" x14ac:dyDescent="0.25">
      <c r="A54" s="171"/>
      <c r="B54" s="171"/>
      <c r="H54" s="149"/>
      <c r="I54" s="149"/>
      <c r="J54" s="149"/>
    </row>
    <row r="55" spans="1:10" ht="30" customHeight="1" x14ac:dyDescent="0.25">
      <c r="A55" s="171"/>
      <c r="B55" s="171"/>
      <c r="H55" s="149"/>
      <c r="I55" s="149"/>
      <c r="J55" s="149"/>
    </row>
    <row r="56" spans="1:10" x14ac:dyDescent="0.25">
      <c r="A56" s="171"/>
      <c r="B56" s="171"/>
      <c r="H56" s="149"/>
      <c r="I56" s="149"/>
      <c r="J56" s="149"/>
    </row>
    <row r="57" spans="1:10" x14ac:dyDescent="0.25">
      <c r="A57" s="171"/>
      <c r="B57" s="171"/>
      <c r="H57" s="149"/>
      <c r="I57" s="149"/>
      <c r="J57" s="149"/>
    </row>
    <row r="58" spans="1:10" x14ac:dyDescent="0.25">
      <c r="A58" s="171"/>
      <c r="B58" s="171"/>
      <c r="H58" s="149"/>
      <c r="I58" s="149"/>
      <c r="J58" s="149"/>
    </row>
    <row r="59" spans="1:10" x14ac:dyDescent="0.25">
      <c r="A59" s="171"/>
      <c r="B59" s="171"/>
      <c r="H59" s="149"/>
      <c r="I59" s="149"/>
      <c r="J59" s="149"/>
    </row>
    <row r="60" spans="1:10" x14ac:dyDescent="0.25">
      <c r="A60" s="171"/>
      <c r="B60" s="171"/>
      <c r="H60" s="149"/>
      <c r="I60" s="149"/>
      <c r="J60" s="149"/>
    </row>
    <row r="61" spans="1:10" x14ac:dyDescent="0.25">
      <c r="A61" s="171"/>
      <c r="B61" s="171"/>
      <c r="H61" s="149"/>
      <c r="I61" s="149"/>
      <c r="J61" s="149"/>
    </row>
    <row r="62" spans="1:10" x14ac:dyDescent="0.25">
      <c r="A62" s="171"/>
      <c r="B62" s="171"/>
      <c r="H62" s="149"/>
      <c r="I62" s="149"/>
      <c r="J62" s="149"/>
    </row>
    <row r="63" spans="1:10" x14ac:dyDescent="0.25">
      <c r="A63" s="171"/>
      <c r="B63" s="171"/>
      <c r="H63" s="149"/>
      <c r="I63" s="149"/>
      <c r="J63" s="149"/>
    </row>
    <row r="64" spans="1:10" x14ac:dyDescent="0.25">
      <c r="A64" s="171"/>
      <c r="B64" s="171"/>
      <c r="H64" s="149"/>
      <c r="I64" s="149"/>
      <c r="J64" s="149"/>
    </row>
    <row r="65" spans="1:10" x14ac:dyDescent="0.25">
      <c r="A65" s="171"/>
      <c r="B65" s="171"/>
      <c r="H65" s="149"/>
      <c r="I65" s="149"/>
      <c r="J65" s="149"/>
    </row>
    <row r="66" spans="1:10" x14ac:dyDescent="0.25">
      <c r="A66" s="171"/>
      <c r="B66" s="171"/>
      <c r="H66" s="149"/>
      <c r="I66" s="149"/>
      <c r="J66" s="149"/>
    </row>
    <row r="67" spans="1:10" x14ac:dyDescent="0.25">
      <c r="A67" s="171"/>
      <c r="B67" s="171"/>
      <c r="H67" s="149"/>
      <c r="I67" s="149"/>
      <c r="J67" s="149"/>
    </row>
    <row r="68" spans="1:10" x14ac:dyDescent="0.25">
      <c r="A68" s="171"/>
      <c r="B68" s="171"/>
      <c r="H68" s="149"/>
      <c r="I68" s="149"/>
      <c r="J68" s="149"/>
    </row>
    <row r="69" spans="1:10" x14ac:dyDescent="0.25">
      <c r="A69" s="171"/>
      <c r="B69" s="171"/>
      <c r="H69" s="149"/>
      <c r="I69" s="149"/>
      <c r="J69" s="149"/>
    </row>
    <row r="70" spans="1:10" x14ac:dyDescent="0.25">
      <c r="A70" s="171"/>
      <c r="B70" s="171"/>
      <c r="H70" s="149"/>
      <c r="I70" s="149"/>
      <c r="J70" s="149"/>
    </row>
    <row r="71" spans="1:10" ht="15.75" customHeight="1" x14ac:dyDescent="0.25">
      <c r="A71" s="171"/>
      <c r="B71" s="171"/>
      <c r="H71" s="149"/>
      <c r="I71" s="149"/>
      <c r="J71" s="149"/>
    </row>
    <row r="72" spans="1:10" ht="15" customHeight="1" x14ac:dyDescent="0.25">
      <c r="A72" s="171"/>
      <c r="B72" s="171"/>
      <c r="H72" s="149"/>
      <c r="I72" s="149"/>
      <c r="J72" s="149"/>
    </row>
    <row r="73" spans="1:10" x14ac:dyDescent="0.25">
      <c r="A73" s="171"/>
      <c r="B73" s="171"/>
      <c r="H73" s="149"/>
      <c r="I73" s="149"/>
      <c r="J73" s="149"/>
    </row>
    <row r="74" spans="1:10" x14ac:dyDescent="0.25">
      <c r="A74" s="171"/>
      <c r="B74" s="171"/>
      <c r="H74" s="149"/>
      <c r="I74" s="149"/>
      <c r="J74" s="149"/>
    </row>
    <row r="75" spans="1:10" x14ac:dyDescent="0.25">
      <c r="A75" s="171"/>
      <c r="B75" s="171"/>
      <c r="H75" s="149"/>
      <c r="I75" s="149"/>
      <c r="J75" s="149"/>
    </row>
    <row r="76" spans="1:10" x14ac:dyDescent="0.25">
      <c r="A76" s="171"/>
      <c r="B76" s="171"/>
      <c r="H76" s="149"/>
      <c r="I76" s="149"/>
      <c r="J76" s="149"/>
    </row>
    <row r="77" spans="1:10" x14ac:dyDescent="0.25">
      <c r="A77" s="171"/>
      <c r="B77" s="171"/>
      <c r="H77" s="149"/>
      <c r="I77" s="149"/>
      <c r="J77" s="149"/>
    </row>
    <row r="78" spans="1:10" x14ac:dyDescent="0.25">
      <c r="A78" s="171"/>
      <c r="B78" s="171"/>
      <c r="H78" s="149"/>
      <c r="I78" s="149"/>
      <c r="J78" s="149"/>
    </row>
    <row r="79" spans="1:10" x14ac:dyDescent="0.25">
      <c r="A79" s="171"/>
      <c r="B79" s="171"/>
      <c r="H79" s="149"/>
      <c r="I79" s="149"/>
      <c r="J79" s="149"/>
    </row>
    <row r="80" spans="1:10" x14ac:dyDescent="0.25">
      <c r="A80" s="171"/>
      <c r="B80" s="171"/>
      <c r="H80" s="149"/>
      <c r="I80" s="149"/>
      <c r="J80" s="149"/>
    </row>
    <row r="81" spans="1:10" ht="15.75" customHeight="1" x14ac:dyDescent="0.25">
      <c r="A81" s="171"/>
      <c r="B81" s="171"/>
      <c r="H81" s="149"/>
      <c r="I81" s="149"/>
      <c r="J81" s="149"/>
    </row>
    <row r="82" spans="1:10" ht="15" customHeight="1" x14ac:dyDescent="0.25">
      <c r="B82" s="171"/>
      <c r="H82" s="149"/>
      <c r="I82" s="149"/>
      <c r="J82" s="149"/>
    </row>
    <row r="83" spans="1:10" ht="65.099999999999994" customHeight="1" x14ac:dyDescent="0.25">
      <c r="H83" s="149"/>
      <c r="I83" s="149"/>
      <c r="J83" s="149"/>
    </row>
    <row r="84" spans="1:10" x14ac:dyDescent="0.25">
      <c r="H84" s="149"/>
      <c r="I84" s="149"/>
      <c r="J84" s="149"/>
    </row>
    <row r="85" spans="1:10" x14ac:dyDescent="0.25">
      <c r="H85" s="149"/>
      <c r="I85" s="149"/>
      <c r="J85" s="149"/>
    </row>
    <row r="86" spans="1:10" x14ac:dyDescent="0.25">
      <c r="H86" s="149"/>
      <c r="I86" s="149"/>
      <c r="J86" s="149"/>
    </row>
    <row r="87" spans="1:10" x14ac:dyDescent="0.25">
      <c r="H87" s="149"/>
      <c r="I87" s="149"/>
      <c r="J87" s="149"/>
    </row>
    <row r="88" spans="1:10" x14ac:dyDescent="0.25">
      <c r="H88" s="149"/>
      <c r="I88" s="149"/>
      <c r="J88" s="149"/>
    </row>
    <row r="89" spans="1:10" x14ac:dyDescent="0.25">
      <c r="H89" s="149"/>
      <c r="I89" s="149"/>
      <c r="J89" s="149"/>
    </row>
    <row r="90" spans="1:10" x14ac:dyDescent="0.25">
      <c r="H90" s="149"/>
      <c r="I90" s="149"/>
      <c r="J90" s="149"/>
    </row>
    <row r="91" spans="1:10" ht="15.75" customHeight="1" x14ac:dyDescent="0.25">
      <c r="H91" s="149"/>
      <c r="I91" s="149"/>
      <c r="J91" s="149"/>
    </row>
    <row r="92" spans="1:10" ht="15" customHeight="1" x14ac:dyDescent="0.25">
      <c r="H92" s="149"/>
      <c r="I92" s="149"/>
      <c r="J92" s="149"/>
    </row>
    <row r="93" spans="1:10" x14ac:dyDescent="0.25">
      <c r="H93" s="149"/>
      <c r="I93" s="149"/>
      <c r="J93" s="149"/>
    </row>
    <row r="94" spans="1:10" x14ac:dyDescent="0.25">
      <c r="H94" s="149"/>
      <c r="I94" s="149"/>
      <c r="J94" s="149"/>
    </row>
    <row r="95" spans="1:10" x14ac:dyDescent="0.25">
      <c r="H95" s="149"/>
      <c r="I95" s="149"/>
      <c r="J95" s="149"/>
    </row>
    <row r="96" spans="1:10" x14ac:dyDescent="0.25">
      <c r="H96" s="149"/>
      <c r="I96" s="149"/>
      <c r="J96" s="149"/>
    </row>
    <row r="97" spans="8:10" x14ac:dyDescent="0.25">
      <c r="H97" s="149"/>
      <c r="I97" s="149"/>
      <c r="J97" s="149"/>
    </row>
    <row r="98" spans="8:10" x14ac:dyDescent="0.25">
      <c r="H98" s="149"/>
      <c r="I98" s="149"/>
      <c r="J98" s="149"/>
    </row>
    <row r="99" spans="8:10" ht="15.75" customHeight="1" x14ac:dyDescent="0.25"/>
  </sheetData>
  <mergeCells count="10">
    <mergeCell ref="A28:B28"/>
    <mergeCell ref="A33:B33"/>
    <mergeCell ref="A40:B40"/>
    <mergeCell ref="A42:B42"/>
    <mergeCell ref="A46:B46"/>
    <mergeCell ref="A10:B10"/>
    <mergeCell ref="A12:A13"/>
    <mergeCell ref="B12:B13"/>
    <mergeCell ref="A14:B14"/>
    <mergeCell ref="A20:B20"/>
  </mergeCells>
  <pageMargins left="0.7" right="0.7" top="0.75" bottom="0.75" header="0.3" footer="0.3"/>
  <pageSetup paperSize="9" scale="5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3" tint="0.39997558519241921"/>
  </sheetPr>
  <dimension ref="A1:E31"/>
  <sheetViews>
    <sheetView topLeftCell="A4" workbookViewId="0">
      <selection activeCell="C15" sqref="C15"/>
    </sheetView>
  </sheetViews>
  <sheetFormatPr defaultColWidth="8.85546875" defaultRowHeight="15" x14ac:dyDescent="0.25"/>
  <cols>
    <col min="1" max="1" width="42.28515625" style="2" customWidth="1"/>
    <col min="2" max="2" width="35.140625" style="2" customWidth="1"/>
    <col min="3" max="3" width="33.42578125" style="2" customWidth="1"/>
    <col min="4" max="4" width="8.85546875" style="2"/>
    <col min="5" max="5" width="16.85546875" style="2" bestFit="1" customWidth="1"/>
    <col min="6" max="16384" width="8.85546875" style="2"/>
  </cols>
  <sheetData>
    <row r="1" spans="1:3" ht="33" customHeight="1" thickBot="1" x14ac:dyDescent="0.3">
      <c r="A1" s="616" t="s">
        <v>487</v>
      </c>
      <c r="B1" s="616"/>
      <c r="C1" s="616"/>
    </row>
    <row r="2" spans="1:3" ht="15.75" x14ac:dyDescent="0.25">
      <c r="A2" s="613" t="s">
        <v>73</v>
      </c>
      <c r="B2" s="614"/>
      <c r="C2" s="615"/>
    </row>
    <row r="3" spans="1:3" ht="15.75" x14ac:dyDescent="0.25">
      <c r="A3" s="11" t="s">
        <v>74</v>
      </c>
      <c r="B3" s="477" t="s">
        <v>75</v>
      </c>
      <c r="C3" s="478" t="s">
        <v>76</v>
      </c>
    </row>
    <row r="4" spans="1:3" ht="15.75" thickBot="1" x14ac:dyDescent="0.3">
      <c r="A4" s="484" t="s">
        <v>77</v>
      </c>
      <c r="B4" s="485" t="s">
        <v>488</v>
      </c>
      <c r="C4" s="486" t="s">
        <v>489</v>
      </c>
    </row>
    <row r="5" spans="1:3" ht="15.75" thickBot="1" x14ac:dyDescent="0.3">
      <c r="A5" s="649"/>
      <c r="B5" s="601"/>
      <c r="C5" s="650"/>
    </row>
    <row r="6" spans="1:3" ht="15.75" x14ac:dyDescent="0.25">
      <c r="A6" s="613" t="s">
        <v>80</v>
      </c>
      <c r="B6" s="614"/>
      <c r="C6" s="615"/>
    </row>
    <row r="7" spans="1:3" ht="15.75" thickBot="1" x14ac:dyDescent="0.3">
      <c r="A7" s="484" t="s">
        <v>490</v>
      </c>
      <c r="B7" s="617" t="s">
        <v>82</v>
      </c>
      <c r="C7" s="618"/>
    </row>
    <row r="8" spans="1:3" ht="15.75" thickBot="1" x14ac:dyDescent="0.3">
      <c r="A8" s="601"/>
      <c r="B8" s="601"/>
      <c r="C8" s="601"/>
    </row>
    <row r="9" spans="1:3" ht="15.75" x14ac:dyDescent="0.25">
      <c r="A9" s="613" t="s">
        <v>83</v>
      </c>
      <c r="B9" s="614"/>
      <c r="C9" s="615"/>
    </row>
    <row r="10" spans="1:3" ht="31.5" x14ac:dyDescent="0.25">
      <c r="A10" s="11" t="s">
        <v>84</v>
      </c>
      <c r="B10" s="477" t="s">
        <v>85</v>
      </c>
      <c r="C10" s="478" t="s">
        <v>86</v>
      </c>
    </row>
    <row r="11" spans="1:3" x14ac:dyDescent="0.25">
      <c r="A11" s="3" t="s">
        <v>87</v>
      </c>
      <c r="B11" s="479">
        <f>'Detalhe PA  US$ - 18 meses'!L28</f>
        <v>43511461.630000003</v>
      </c>
      <c r="C11" s="480">
        <f>'Detalhe PA  US$ - 18 meses'!J28</f>
        <v>77541236.450000003</v>
      </c>
    </row>
    <row r="12" spans="1:3" x14ac:dyDescent="0.25">
      <c r="A12" s="3" t="s">
        <v>88</v>
      </c>
      <c r="B12" s="479">
        <f>'Detalhe PA  US$ - 18 meses'!L53</f>
        <v>479392.66359756445</v>
      </c>
      <c r="C12" s="480">
        <f>'Detalhe PA  US$ - 18 meses'!J53</f>
        <v>1107965.7835975643</v>
      </c>
    </row>
    <row r="13" spans="1:3" x14ac:dyDescent="0.25">
      <c r="A13" s="3" t="s">
        <v>89</v>
      </c>
      <c r="B13" s="479">
        <f>'Detalhe PA  US$ - 18 meses'!L86</f>
        <v>2565366.8799477285</v>
      </c>
      <c r="C13" s="480">
        <f>'Detalhe PA  US$ - 18 meses'!J86</f>
        <v>2261269.9731012695</v>
      </c>
    </row>
    <row r="14" spans="1:3" x14ac:dyDescent="0.25">
      <c r="A14" s="3" t="s">
        <v>90</v>
      </c>
      <c r="B14" s="479">
        <f>'Detalhe PA  US$ - 18 meses'!L167</f>
        <v>83313.19</v>
      </c>
      <c r="C14" s="480">
        <f>'Detalhe PA  US$ - 18 meses'!J167</f>
        <v>509314.39</v>
      </c>
    </row>
    <row r="15" spans="1:3" x14ac:dyDescent="0.25">
      <c r="A15" s="3" t="s">
        <v>91</v>
      </c>
      <c r="B15" s="479">
        <v>0</v>
      </c>
      <c r="C15" s="480">
        <v>0</v>
      </c>
    </row>
    <row r="16" spans="1:3" x14ac:dyDescent="0.25">
      <c r="A16" s="3" t="s">
        <v>92</v>
      </c>
      <c r="B16" s="479">
        <f>'Detalhe PA  US$ - 18 meses'!L138+'Detalhe PA  US$ - 18 meses'!L155</f>
        <v>12554056.154970961</v>
      </c>
      <c r="C16" s="480">
        <f>('Detalhe PA  US$ - 18 meses'!J138+'Detalhe PA  US$ - 18 meses'!J155)-('Detalhe PA  US$ - 18 meses'!L138+'Detalhe PA  US$ - 18 meses'!L155)</f>
        <v>11904083.29940494</v>
      </c>
    </row>
    <row r="17" spans="1:5" x14ac:dyDescent="0.25">
      <c r="A17" s="12" t="s">
        <v>93</v>
      </c>
      <c r="B17" s="479">
        <v>0</v>
      </c>
      <c r="C17" s="480">
        <v>0</v>
      </c>
    </row>
    <row r="18" spans="1:5" x14ac:dyDescent="0.25">
      <c r="A18" s="3" t="s">
        <v>94</v>
      </c>
      <c r="B18" s="479">
        <f>'Detalhe PA  US$ - 18 meses'!L186</f>
        <v>2939584.08</v>
      </c>
      <c r="C18" s="480">
        <f>'Detalhe PA  US$ - 18 meses'!J186-'Detalhe PA  US$ - 18 meses'!L186</f>
        <v>25112451.910000004</v>
      </c>
    </row>
    <row r="19" spans="1:5" x14ac:dyDescent="0.25">
      <c r="A19" s="12" t="s">
        <v>95</v>
      </c>
      <c r="B19" s="479">
        <v>0</v>
      </c>
      <c r="C19" s="480">
        <v>0</v>
      </c>
    </row>
    <row r="20" spans="1:5" ht="16.5" thickBot="1" x14ac:dyDescent="0.3">
      <c r="A20" s="481" t="s">
        <v>96</v>
      </c>
      <c r="B20" s="482">
        <f>SUM(B11:B19)</f>
        <v>62133174.598516248</v>
      </c>
      <c r="C20" s="483">
        <f>SUM(C11:C19)</f>
        <v>118436321.80610377</v>
      </c>
      <c r="E20" s="476"/>
    </row>
    <row r="21" spans="1:5" ht="15.75" thickBot="1" x14ac:dyDescent="0.3"/>
    <row r="22" spans="1:5" ht="15.75" x14ac:dyDescent="0.25">
      <c r="A22" s="613" t="s">
        <v>97</v>
      </c>
      <c r="B22" s="614"/>
      <c r="C22" s="615"/>
    </row>
    <row r="23" spans="1:5" ht="31.5" x14ac:dyDescent="0.25">
      <c r="A23" s="11" t="s">
        <v>98</v>
      </c>
      <c r="B23" s="477" t="s">
        <v>85</v>
      </c>
      <c r="C23" s="478" t="s">
        <v>86</v>
      </c>
    </row>
    <row r="24" spans="1:5" x14ac:dyDescent="0.25">
      <c r="A24" s="12" t="s">
        <v>99</v>
      </c>
      <c r="B24" s="487">
        <f>B11</f>
        <v>43511461.630000003</v>
      </c>
      <c r="C24" s="488">
        <f>C11</f>
        <v>77541236.450000003</v>
      </c>
      <c r="E24" s="476"/>
    </row>
    <row r="25" spans="1:5" ht="26.25" x14ac:dyDescent="0.25">
      <c r="A25" s="45" t="s">
        <v>100</v>
      </c>
      <c r="B25" s="487">
        <f>B18</f>
        <v>2939584.08</v>
      </c>
      <c r="C25" s="488">
        <f>C18</f>
        <v>25112451.910000004</v>
      </c>
    </row>
    <row r="26" spans="1:5" x14ac:dyDescent="0.25">
      <c r="A26" s="12" t="s">
        <v>101</v>
      </c>
      <c r="B26" s="487">
        <v>0</v>
      </c>
      <c r="C26" s="488">
        <v>0</v>
      </c>
    </row>
    <row r="27" spans="1:5" x14ac:dyDescent="0.25">
      <c r="A27" s="12" t="s">
        <v>102</v>
      </c>
      <c r="B27" s="487">
        <v>0</v>
      </c>
      <c r="C27" s="488">
        <v>0</v>
      </c>
    </row>
    <row r="28" spans="1:5" x14ac:dyDescent="0.25">
      <c r="A28" s="12" t="s">
        <v>103</v>
      </c>
      <c r="B28" s="487">
        <v>0</v>
      </c>
      <c r="C28" s="488">
        <v>0</v>
      </c>
    </row>
    <row r="29" spans="1:5" x14ac:dyDescent="0.25">
      <c r="A29" s="12" t="s">
        <v>104</v>
      </c>
      <c r="B29" s="487">
        <v>0</v>
      </c>
      <c r="C29" s="488">
        <v>0</v>
      </c>
    </row>
    <row r="30" spans="1:5" ht="16.5" thickBot="1" x14ac:dyDescent="0.3">
      <c r="A30" s="481" t="s">
        <v>96</v>
      </c>
      <c r="B30" s="489">
        <f>SUM(B24:B29)</f>
        <v>46451045.710000001</v>
      </c>
      <c r="C30" s="490">
        <f>SUM(C24:C29)</f>
        <v>102653688.36000001</v>
      </c>
    </row>
    <row r="31" spans="1:5" x14ac:dyDescent="0.25">
      <c r="B31" s="2" t="s">
        <v>109</v>
      </c>
    </row>
  </sheetData>
  <mergeCells count="8">
    <mergeCell ref="A9:C9"/>
    <mergeCell ref="A22:C22"/>
    <mergeCell ref="A1:C1"/>
    <mergeCell ref="A2:C2"/>
    <mergeCell ref="A5:C5"/>
    <mergeCell ref="A6:C6"/>
    <mergeCell ref="B7:C7"/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 filterMode="1">
    <tabColor theme="3" tint="0.39997558519241921"/>
  </sheetPr>
  <dimension ref="A1:V197"/>
  <sheetViews>
    <sheetView tabSelected="1" view="pageBreakPreview" zoomScaleNormal="70" zoomScaleSheetLayoutView="100" workbookViewId="0">
      <selection activeCell="C14" sqref="C14"/>
    </sheetView>
  </sheetViews>
  <sheetFormatPr defaultColWidth="8.85546875" defaultRowHeight="15.75" outlineLevelRow="1" x14ac:dyDescent="0.25"/>
  <cols>
    <col min="1" max="1" width="7.140625" style="424" customWidth="1"/>
    <col min="2" max="2" width="10.85546875" style="237" customWidth="1"/>
    <col min="3" max="3" width="69" style="237" customWidth="1"/>
    <col min="4" max="4" width="22.140625" style="237" customWidth="1"/>
    <col min="5" max="5" width="11.85546875" style="237" customWidth="1"/>
    <col min="6" max="6" width="31.7109375" style="237" customWidth="1"/>
    <col min="7" max="7" width="29.7109375" style="237" customWidth="1"/>
    <col min="8" max="8" width="12.7109375" style="237" customWidth="1"/>
    <col min="9" max="9" width="15" style="237" customWidth="1"/>
    <col min="10" max="10" width="28.140625" style="238" bestFit="1" customWidth="1"/>
    <col min="11" max="11" width="14.140625" style="239" customWidth="1"/>
    <col min="12" max="12" width="17.85546875" style="239" customWidth="1"/>
    <col min="13" max="13" width="14.140625" style="239" customWidth="1"/>
    <col min="14" max="14" width="12.42578125" style="237" customWidth="1"/>
    <col min="15" max="15" width="15.28515625" style="237" customWidth="1"/>
    <col min="16" max="17" width="14" style="237" customWidth="1"/>
    <col min="18" max="18" width="25.140625" style="237" customWidth="1"/>
    <col min="19" max="19" width="13.5703125" style="237" customWidth="1"/>
    <col min="20" max="20" width="15.85546875" style="237" customWidth="1"/>
    <col min="21" max="21" width="34" style="237" customWidth="1"/>
    <col min="22" max="16384" width="8.85546875" style="237"/>
  </cols>
  <sheetData>
    <row r="1" spans="1:22" x14ac:dyDescent="0.25">
      <c r="B1" s="18"/>
    </row>
    <row r="2" spans="1:22" ht="18" customHeight="1" x14ac:dyDescent="0.25">
      <c r="B2" s="332" t="s">
        <v>105</v>
      </c>
      <c r="C2" s="240"/>
      <c r="D2" s="240"/>
      <c r="E2" s="240"/>
    </row>
    <row r="3" spans="1:22" ht="18" customHeight="1" x14ac:dyDescent="0.25">
      <c r="B3" s="325" t="s">
        <v>106</v>
      </c>
      <c r="C3" s="240"/>
      <c r="D3" s="240"/>
      <c r="E3" s="240"/>
    </row>
    <row r="4" spans="1:22" ht="18" customHeight="1" x14ac:dyDescent="0.25">
      <c r="B4" s="325" t="s">
        <v>491</v>
      </c>
      <c r="C4" s="240"/>
      <c r="D4" s="240"/>
      <c r="E4" s="240"/>
    </row>
    <row r="5" spans="1:22" ht="18" customHeight="1" x14ac:dyDescent="0.25">
      <c r="B5" s="325" t="s">
        <v>492</v>
      </c>
      <c r="C5" s="240"/>
      <c r="D5" s="240"/>
      <c r="E5" s="240"/>
      <c r="F5" s="241"/>
      <c r="G5" s="237" t="s">
        <v>109</v>
      </c>
    </row>
    <row r="6" spans="1:22" ht="18" customHeight="1" x14ac:dyDescent="0.25">
      <c r="B6" s="326"/>
    </row>
    <row r="7" spans="1:22" ht="18" customHeight="1" x14ac:dyDescent="0.25">
      <c r="B7" s="325" t="s">
        <v>1005</v>
      </c>
      <c r="C7" s="240"/>
      <c r="D7" s="240"/>
      <c r="E7" s="240"/>
    </row>
    <row r="8" spans="1:22" ht="18" customHeight="1" x14ac:dyDescent="0.25">
      <c r="B8" s="325" t="s">
        <v>493</v>
      </c>
      <c r="C8" s="240"/>
      <c r="D8" s="240"/>
      <c r="E8" s="240"/>
    </row>
    <row r="9" spans="1:22" ht="18" customHeight="1" x14ac:dyDescent="0.25">
      <c r="B9" s="325" t="s">
        <v>112</v>
      </c>
      <c r="C9" s="240"/>
      <c r="D9" s="240"/>
      <c r="E9" s="240"/>
    </row>
    <row r="10" spans="1:22" s="386" customFormat="1" ht="19.5" customHeight="1" x14ac:dyDescent="0.25">
      <c r="C10" s="425"/>
      <c r="D10" s="385"/>
      <c r="F10" s="385"/>
      <c r="H10" s="385"/>
      <c r="J10" s="385"/>
      <c r="L10" s="385"/>
      <c r="N10" s="385"/>
      <c r="P10" s="385"/>
      <c r="R10" s="385"/>
      <c r="T10" s="385"/>
      <c r="U10"/>
      <c r="V10"/>
    </row>
    <row r="11" spans="1:22" s="320" customFormat="1" ht="24.95" customHeight="1" x14ac:dyDescent="0.25">
      <c r="A11" s="672">
        <v>1</v>
      </c>
      <c r="B11" s="324" t="s">
        <v>115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322"/>
      <c r="S11" s="322"/>
      <c r="T11" s="323"/>
      <c r="U11"/>
      <c r="V11"/>
    </row>
    <row r="12" spans="1:22" ht="20.100000000000001" customHeight="1" x14ac:dyDescent="0.25">
      <c r="A12" s="672"/>
      <c r="B12" s="654" t="s">
        <v>116</v>
      </c>
      <c r="C12" s="654" t="s">
        <v>117</v>
      </c>
      <c r="D12" s="654" t="s">
        <v>494</v>
      </c>
      <c r="E12" s="654" t="s">
        <v>119</v>
      </c>
      <c r="F12" s="654" t="s">
        <v>120</v>
      </c>
      <c r="G12" s="654" t="s">
        <v>495</v>
      </c>
      <c r="H12" s="654" t="s">
        <v>122</v>
      </c>
      <c r="I12" s="654" t="s">
        <v>123</v>
      </c>
      <c r="J12" s="655" t="s">
        <v>124</v>
      </c>
      <c r="K12" s="655"/>
      <c r="L12" s="655"/>
      <c r="M12" s="655"/>
      <c r="N12" s="664" t="s">
        <v>125</v>
      </c>
      <c r="O12" s="664" t="s">
        <v>126</v>
      </c>
      <c r="P12" s="651" t="s">
        <v>127</v>
      </c>
      <c r="Q12" s="651"/>
      <c r="R12" s="662" t="s">
        <v>128</v>
      </c>
      <c r="S12" s="664" t="s">
        <v>129</v>
      </c>
      <c r="T12" s="664" t="s">
        <v>20</v>
      </c>
      <c r="U12"/>
      <c r="V12"/>
    </row>
    <row r="13" spans="1:22" ht="42" customHeight="1" x14ac:dyDescent="0.25">
      <c r="A13" s="672"/>
      <c r="B13" s="654"/>
      <c r="C13" s="654"/>
      <c r="D13" s="654"/>
      <c r="E13" s="654"/>
      <c r="F13" s="654"/>
      <c r="G13" s="654"/>
      <c r="H13" s="654"/>
      <c r="I13" s="654"/>
      <c r="J13" s="242" t="s">
        <v>130</v>
      </c>
      <c r="K13" s="567" t="s">
        <v>131</v>
      </c>
      <c r="L13" s="567" t="s">
        <v>132</v>
      </c>
      <c r="M13" s="567" t="s">
        <v>133</v>
      </c>
      <c r="N13" s="665"/>
      <c r="O13" s="665"/>
      <c r="P13" s="566" t="s">
        <v>134</v>
      </c>
      <c r="Q13" s="566" t="s">
        <v>135</v>
      </c>
      <c r="R13" s="663"/>
      <c r="S13" s="665"/>
      <c r="T13" s="665"/>
      <c r="U13"/>
      <c r="V13"/>
    </row>
    <row r="14" spans="1:22" s="236" customFormat="1" ht="33.75" customHeight="1" outlineLevel="1" x14ac:dyDescent="0.25">
      <c r="A14" s="243" t="s">
        <v>136</v>
      </c>
      <c r="B14" s="444" t="s">
        <v>137</v>
      </c>
      <c r="C14" s="447" t="s">
        <v>496</v>
      </c>
      <c r="D14" s="293" t="s">
        <v>497</v>
      </c>
      <c r="E14" s="448" t="s">
        <v>136</v>
      </c>
      <c r="F14" s="294" t="s">
        <v>169</v>
      </c>
      <c r="G14" s="295" t="s">
        <v>42</v>
      </c>
      <c r="H14" s="295" t="s">
        <v>109</v>
      </c>
      <c r="I14" s="295" t="s">
        <v>109</v>
      </c>
      <c r="J14" s="449">
        <v>58965.18</v>
      </c>
      <c r="K14" s="495">
        <v>1</v>
      </c>
      <c r="L14" s="449">
        <v>58965.18</v>
      </c>
      <c r="M14" s="495">
        <v>0</v>
      </c>
      <c r="N14" s="294" t="s">
        <v>140</v>
      </c>
      <c r="O14" s="288" t="s">
        <v>18</v>
      </c>
      <c r="P14" s="450">
        <v>43497</v>
      </c>
      <c r="Q14" s="364">
        <v>43526</v>
      </c>
      <c r="R14" s="373"/>
      <c r="S14" s="295"/>
      <c r="T14" s="255" t="s">
        <v>21</v>
      </c>
      <c r="U14" s="529"/>
      <c r="V14" s="529"/>
    </row>
    <row r="15" spans="1:22" s="410" customFormat="1" ht="44.25" hidden="1" customHeight="1" outlineLevel="1" x14ac:dyDescent="0.25">
      <c r="A15" s="409" t="s">
        <v>141</v>
      </c>
      <c r="B15" s="445" t="s">
        <v>137</v>
      </c>
      <c r="C15" s="451" t="s">
        <v>498</v>
      </c>
      <c r="D15" s="398" t="s">
        <v>499</v>
      </c>
      <c r="E15" s="399" t="s">
        <v>141</v>
      </c>
      <c r="F15" s="400" t="s">
        <v>500</v>
      </c>
      <c r="G15" s="401" t="s">
        <v>41</v>
      </c>
      <c r="H15" s="401"/>
      <c r="I15" s="401"/>
      <c r="J15" s="402">
        <v>13840732.960000001</v>
      </c>
      <c r="K15" s="403">
        <v>0.89999999971099787</v>
      </c>
      <c r="L15" s="402">
        <v>12456659.66</v>
      </c>
      <c r="M15" s="403">
        <v>9.9999998121486758E-2</v>
      </c>
      <c r="N15" s="400" t="s">
        <v>140</v>
      </c>
      <c r="O15" s="405" t="s">
        <v>19</v>
      </c>
      <c r="P15" s="411">
        <v>43946</v>
      </c>
      <c r="Q15" s="412">
        <v>44014</v>
      </c>
      <c r="R15" s="407"/>
      <c r="S15" s="401"/>
      <c r="T15" s="408" t="s">
        <v>24</v>
      </c>
    </row>
    <row r="16" spans="1:22" s="236" customFormat="1" ht="31.5" outlineLevel="1" x14ac:dyDescent="0.25">
      <c r="A16" s="243" t="s">
        <v>145</v>
      </c>
      <c r="B16" s="444" t="s">
        <v>137</v>
      </c>
      <c r="C16" s="452" t="s">
        <v>501</v>
      </c>
      <c r="D16" s="287" t="s">
        <v>502</v>
      </c>
      <c r="E16" s="277" t="s">
        <v>145</v>
      </c>
      <c r="F16" s="251"/>
      <c r="G16" s="249" t="s">
        <v>41</v>
      </c>
      <c r="H16" s="278"/>
      <c r="I16" s="431"/>
      <c r="J16" s="383">
        <v>18571088.32</v>
      </c>
      <c r="K16" s="389">
        <v>0.5913663367898947</v>
      </c>
      <c r="L16" s="383">
        <v>10982316.470000001</v>
      </c>
      <c r="M16" s="389">
        <v>0.4086336632101053</v>
      </c>
      <c r="N16" s="279" t="s">
        <v>140</v>
      </c>
      <c r="O16" s="288" t="s">
        <v>18</v>
      </c>
      <c r="P16" s="288">
        <v>43702</v>
      </c>
      <c r="Q16" s="289">
        <v>43770</v>
      </c>
      <c r="R16" s="362"/>
      <c r="S16" s="278"/>
      <c r="T16" s="306" t="s">
        <v>21</v>
      </c>
      <c r="U16" s="529"/>
      <c r="V16" s="529"/>
    </row>
    <row r="17" spans="1:22" s="236" customFormat="1" ht="34.5" customHeight="1" outlineLevel="1" x14ac:dyDescent="0.25">
      <c r="A17" s="243" t="s">
        <v>149</v>
      </c>
      <c r="B17" s="446" t="s">
        <v>137</v>
      </c>
      <c r="C17" s="452" t="s">
        <v>503</v>
      </c>
      <c r="D17" s="246" t="s">
        <v>504</v>
      </c>
      <c r="E17" s="247" t="s">
        <v>149</v>
      </c>
      <c r="F17" s="248"/>
      <c r="G17" s="249" t="s">
        <v>41</v>
      </c>
      <c r="H17" s="249"/>
      <c r="I17" s="249"/>
      <c r="J17" s="250">
        <v>5543397.0899999999</v>
      </c>
      <c r="K17" s="496">
        <v>0.89999999981960521</v>
      </c>
      <c r="L17" s="250">
        <v>4989057.38</v>
      </c>
      <c r="M17" s="496">
        <v>9.9999998376446811E-2</v>
      </c>
      <c r="N17" s="251" t="s">
        <v>140</v>
      </c>
      <c r="O17" s="288" t="s">
        <v>18</v>
      </c>
      <c r="P17" s="252">
        <v>43702</v>
      </c>
      <c r="Q17" s="253">
        <v>43770</v>
      </c>
      <c r="R17" s="254"/>
      <c r="S17" s="249"/>
      <c r="T17" s="255" t="s">
        <v>21</v>
      </c>
      <c r="U17" s="529"/>
      <c r="V17" s="529"/>
    </row>
    <row r="18" spans="1:22" s="410" customFormat="1" ht="34.5" hidden="1" customHeight="1" outlineLevel="1" x14ac:dyDescent="0.25">
      <c r="A18" s="409" t="s">
        <v>153</v>
      </c>
      <c r="B18" s="445" t="s">
        <v>137</v>
      </c>
      <c r="C18" s="451" t="s">
        <v>505</v>
      </c>
      <c r="D18" s="398" t="s">
        <v>506</v>
      </c>
      <c r="E18" s="399" t="s">
        <v>153</v>
      </c>
      <c r="F18" s="400" t="s">
        <v>169</v>
      </c>
      <c r="G18" s="401" t="s">
        <v>36</v>
      </c>
      <c r="H18" s="401"/>
      <c r="I18" s="401"/>
      <c r="J18" s="402">
        <v>11987381.709999999</v>
      </c>
      <c r="K18" s="403">
        <v>0</v>
      </c>
      <c r="L18" s="402">
        <v>0</v>
      </c>
      <c r="M18" s="403">
        <v>0.9999999994552633</v>
      </c>
      <c r="N18" s="400" t="s">
        <v>507</v>
      </c>
      <c r="O18" s="405" t="s">
        <v>18</v>
      </c>
      <c r="P18" s="405">
        <v>43381</v>
      </c>
      <c r="Q18" s="406">
        <v>43436</v>
      </c>
      <c r="R18" s="407" t="s">
        <v>170</v>
      </c>
      <c r="S18" s="401"/>
      <c r="T18" s="408" t="s">
        <v>24</v>
      </c>
    </row>
    <row r="19" spans="1:22" s="236" customFormat="1" ht="34.5" customHeight="1" outlineLevel="1" x14ac:dyDescent="0.25">
      <c r="A19" s="243" t="s">
        <v>157</v>
      </c>
      <c r="B19" s="446" t="s">
        <v>137</v>
      </c>
      <c r="C19" s="452" t="s">
        <v>508</v>
      </c>
      <c r="D19" s="246" t="s">
        <v>509</v>
      </c>
      <c r="E19" s="247" t="s">
        <v>157</v>
      </c>
      <c r="F19" s="248"/>
      <c r="G19" s="249" t="s">
        <v>41</v>
      </c>
      <c r="H19" s="249"/>
      <c r="I19" s="249"/>
      <c r="J19" s="250">
        <v>3625041.64</v>
      </c>
      <c r="K19" s="496">
        <v>0.89999999834484667</v>
      </c>
      <c r="L19" s="250">
        <v>3262537.47</v>
      </c>
      <c r="M19" s="496">
        <v>9.9999998896564385E-2</v>
      </c>
      <c r="N19" s="251" t="s">
        <v>140</v>
      </c>
      <c r="O19" s="288" t="s">
        <v>18</v>
      </c>
      <c r="P19" s="252">
        <v>43641</v>
      </c>
      <c r="Q19" s="253">
        <v>43709</v>
      </c>
      <c r="R19" s="254"/>
      <c r="S19" s="249"/>
      <c r="T19" s="255" t="s">
        <v>21</v>
      </c>
      <c r="U19" s="529"/>
      <c r="V19" s="529"/>
    </row>
    <row r="20" spans="1:22" s="236" customFormat="1" ht="31.5" outlineLevel="1" x14ac:dyDescent="0.25">
      <c r="A20" s="243" t="s">
        <v>162</v>
      </c>
      <c r="B20" s="444" t="s">
        <v>137</v>
      </c>
      <c r="C20" s="452" t="s">
        <v>510</v>
      </c>
      <c r="D20" s="287" t="s">
        <v>511</v>
      </c>
      <c r="E20" s="277" t="s">
        <v>162</v>
      </c>
      <c r="F20" s="251" t="s">
        <v>169</v>
      </c>
      <c r="G20" s="249" t="s">
        <v>41</v>
      </c>
      <c r="H20" s="278"/>
      <c r="I20" s="278"/>
      <c r="J20" s="250">
        <v>3409420.89</v>
      </c>
      <c r="K20" s="496">
        <v>0.89999999970669498</v>
      </c>
      <c r="L20" s="250">
        <v>3068478.8</v>
      </c>
      <c r="M20" s="496">
        <v>9.9999997360255513E-2</v>
      </c>
      <c r="N20" s="279" t="s">
        <v>140</v>
      </c>
      <c r="O20" s="288" t="s">
        <v>18</v>
      </c>
      <c r="P20" s="288">
        <v>43854</v>
      </c>
      <c r="Q20" s="289">
        <v>43922</v>
      </c>
      <c r="R20" s="362"/>
      <c r="S20" s="278"/>
      <c r="T20" s="306" t="s">
        <v>21</v>
      </c>
      <c r="U20" s="529"/>
      <c r="V20" s="529"/>
    </row>
    <row r="21" spans="1:22" s="236" customFormat="1" ht="37.5" customHeight="1" outlineLevel="1" x14ac:dyDescent="0.25">
      <c r="A21" s="243" t="s">
        <v>166</v>
      </c>
      <c r="B21" s="446" t="s">
        <v>137</v>
      </c>
      <c r="C21" s="453" t="s">
        <v>512</v>
      </c>
      <c r="D21" s="246" t="s">
        <v>513</v>
      </c>
      <c r="E21" s="247" t="s">
        <v>166</v>
      </c>
      <c r="F21" s="251" t="s">
        <v>169</v>
      </c>
      <c r="G21" s="249" t="s">
        <v>36</v>
      </c>
      <c r="H21" s="249"/>
      <c r="I21" s="365"/>
      <c r="J21" s="250">
        <v>16915544.450000003</v>
      </c>
      <c r="K21" s="390">
        <v>0</v>
      </c>
      <c r="L21" s="250">
        <v>0</v>
      </c>
      <c r="M21" s="390">
        <v>1</v>
      </c>
      <c r="N21" s="251" t="s">
        <v>140</v>
      </c>
      <c r="O21" s="288" t="s">
        <v>18</v>
      </c>
      <c r="P21" s="252">
        <v>43649</v>
      </c>
      <c r="Q21" s="253">
        <v>43709</v>
      </c>
      <c r="R21" s="254" t="s">
        <v>174</v>
      </c>
      <c r="S21" s="249"/>
      <c r="T21" s="255" t="s">
        <v>21</v>
      </c>
      <c r="U21" s="529"/>
      <c r="V21" s="529"/>
    </row>
    <row r="22" spans="1:22" s="236" customFormat="1" ht="31.5" outlineLevel="1" x14ac:dyDescent="0.25">
      <c r="A22" s="243" t="s">
        <v>171</v>
      </c>
      <c r="B22" s="446" t="s">
        <v>137</v>
      </c>
      <c r="C22" s="453" t="s">
        <v>514</v>
      </c>
      <c r="D22" s="246" t="s">
        <v>515</v>
      </c>
      <c r="E22" s="247" t="s">
        <v>171</v>
      </c>
      <c r="F22" s="251" t="s">
        <v>169</v>
      </c>
      <c r="G22" s="249" t="s">
        <v>36</v>
      </c>
      <c r="H22" s="249"/>
      <c r="I22" s="249"/>
      <c r="J22" s="250">
        <v>5139656.4400000004</v>
      </c>
      <c r="K22" s="390">
        <v>0</v>
      </c>
      <c r="L22" s="250">
        <v>0</v>
      </c>
      <c r="M22" s="390">
        <v>1</v>
      </c>
      <c r="N22" s="251" t="s">
        <v>140</v>
      </c>
      <c r="O22" s="288" t="s">
        <v>18</v>
      </c>
      <c r="P22" s="252">
        <v>43101</v>
      </c>
      <c r="Q22" s="253">
        <v>43304</v>
      </c>
      <c r="R22" s="254" t="s">
        <v>174</v>
      </c>
      <c r="S22" s="249"/>
      <c r="T22" s="255" t="s">
        <v>27</v>
      </c>
      <c r="U22" s="529"/>
      <c r="V22" s="529"/>
    </row>
    <row r="23" spans="1:22" s="410" customFormat="1" ht="34.5" hidden="1" customHeight="1" outlineLevel="1" x14ac:dyDescent="0.25">
      <c r="A23" s="409" t="s">
        <v>175</v>
      </c>
      <c r="B23" s="445" t="s">
        <v>137</v>
      </c>
      <c r="C23" s="451" t="s">
        <v>516</v>
      </c>
      <c r="D23" s="398" t="s">
        <v>517</v>
      </c>
      <c r="E23" s="399" t="s">
        <v>175</v>
      </c>
      <c r="F23" s="400"/>
      <c r="G23" s="401" t="s">
        <v>41</v>
      </c>
      <c r="H23" s="401"/>
      <c r="I23" s="401"/>
      <c r="J23" s="402">
        <v>1188381.69</v>
      </c>
      <c r="K23" s="403">
        <v>0.59999999883732369</v>
      </c>
      <c r="L23" s="402">
        <v>713029.01261829666</v>
      </c>
      <c r="M23" s="403">
        <v>0.39999999922488239</v>
      </c>
      <c r="N23" s="400" t="s">
        <v>148</v>
      </c>
      <c r="O23" s="405" t="s">
        <v>18</v>
      </c>
      <c r="P23" s="405">
        <v>43373</v>
      </c>
      <c r="Q23" s="406">
        <v>43436</v>
      </c>
      <c r="R23" s="407"/>
      <c r="S23" s="401"/>
      <c r="T23" s="408" t="s">
        <v>24</v>
      </c>
    </row>
    <row r="24" spans="1:22" s="236" customFormat="1" ht="48.75" customHeight="1" outlineLevel="1" x14ac:dyDescent="0.25">
      <c r="A24" s="243" t="s">
        <v>178</v>
      </c>
      <c r="B24" s="446" t="s">
        <v>137</v>
      </c>
      <c r="C24" s="452" t="s">
        <v>518</v>
      </c>
      <c r="D24" s="246" t="s">
        <v>519</v>
      </c>
      <c r="E24" s="247"/>
      <c r="F24" s="251"/>
      <c r="G24" s="249" t="s">
        <v>41</v>
      </c>
      <c r="H24" s="249"/>
      <c r="I24" s="249"/>
      <c r="J24" s="250">
        <v>649176.28</v>
      </c>
      <c r="K24" s="285">
        <v>1</v>
      </c>
      <c r="L24" s="250">
        <v>649176.28</v>
      </c>
      <c r="M24" s="285">
        <v>0</v>
      </c>
      <c r="N24" s="251" t="s">
        <v>148</v>
      </c>
      <c r="O24" s="288" t="s">
        <v>18</v>
      </c>
      <c r="P24" s="252">
        <v>43764</v>
      </c>
      <c r="Q24" s="253">
        <v>43832</v>
      </c>
      <c r="R24" s="254"/>
      <c r="S24" s="249"/>
      <c r="T24" s="255" t="s">
        <v>21</v>
      </c>
      <c r="U24" s="529"/>
      <c r="V24" s="529"/>
    </row>
    <row r="25" spans="1:22" s="236" customFormat="1" ht="38.25" customHeight="1" outlineLevel="1" x14ac:dyDescent="0.25">
      <c r="A25" s="243" t="s">
        <v>182</v>
      </c>
      <c r="B25" s="446" t="s">
        <v>137</v>
      </c>
      <c r="C25" s="452" t="s">
        <v>520</v>
      </c>
      <c r="D25" s="246" t="s">
        <v>521</v>
      </c>
      <c r="E25" s="247"/>
      <c r="F25" s="251"/>
      <c r="G25" s="249" t="s">
        <v>41</v>
      </c>
      <c r="H25" s="249"/>
      <c r="I25" s="249"/>
      <c r="J25" s="250">
        <v>13588162.68</v>
      </c>
      <c r="K25" s="285">
        <v>0.89999999911687845</v>
      </c>
      <c r="L25" s="250">
        <v>12229346.4</v>
      </c>
      <c r="M25" s="285">
        <v>9.9999999411252274E-2</v>
      </c>
      <c r="N25" s="251" t="s">
        <v>140</v>
      </c>
      <c r="O25" s="288" t="s">
        <v>18</v>
      </c>
      <c r="P25" s="252">
        <v>43885</v>
      </c>
      <c r="Q25" s="253">
        <v>43953</v>
      </c>
      <c r="R25" s="254"/>
      <c r="S25" s="249"/>
      <c r="T25" s="255" t="s">
        <v>21</v>
      </c>
      <c r="U25" s="529"/>
      <c r="V25" s="529"/>
    </row>
    <row r="26" spans="1:22" s="236" customFormat="1" ht="53.25" customHeight="1" outlineLevel="1" x14ac:dyDescent="0.25">
      <c r="A26" s="243" t="s">
        <v>522</v>
      </c>
      <c r="B26" s="446" t="s">
        <v>137</v>
      </c>
      <c r="C26" s="452" t="s">
        <v>523</v>
      </c>
      <c r="D26" s="246" t="s">
        <v>524</v>
      </c>
      <c r="E26" s="247"/>
      <c r="F26" s="251"/>
      <c r="G26" s="249" t="s">
        <v>41</v>
      </c>
      <c r="H26" s="249"/>
      <c r="I26" s="249"/>
      <c r="J26" s="250">
        <v>9190648.5</v>
      </c>
      <c r="K26" s="285">
        <v>0.9</v>
      </c>
      <c r="L26" s="250">
        <v>8271583.6500000004</v>
      </c>
      <c r="M26" s="285">
        <v>0.1</v>
      </c>
      <c r="N26" s="251" t="s">
        <v>140</v>
      </c>
      <c r="O26" s="288" t="s">
        <v>18</v>
      </c>
      <c r="P26" s="252">
        <v>43793</v>
      </c>
      <c r="Q26" s="253">
        <v>43861</v>
      </c>
      <c r="R26" s="254"/>
      <c r="S26" s="249"/>
      <c r="T26" s="255" t="s">
        <v>21</v>
      </c>
      <c r="U26" s="529"/>
      <c r="V26" s="529"/>
    </row>
    <row r="27" spans="1:22" s="236" customFormat="1" ht="53.25" customHeight="1" outlineLevel="1" x14ac:dyDescent="0.25">
      <c r="A27" s="243" t="s">
        <v>356</v>
      </c>
      <c r="B27" s="446" t="s">
        <v>137</v>
      </c>
      <c r="C27" s="452" t="s">
        <v>525</v>
      </c>
      <c r="D27" s="246" t="s">
        <v>526</v>
      </c>
      <c r="E27" s="247" t="s">
        <v>527</v>
      </c>
      <c r="F27" s="251" t="s">
        <v>169</v>
      </c>
      <c r="G27" s="249" t="s">
        <v>41</v>
      </c>
      <c r="H27" s="249"/>
      <c r="I27" s="249"/>
      <c r="J27" s="250">
        <v>850134.98</v>
      </c>
      <c r="K27" s="285">
        <v>1</v>
      </c>
      <c r="L27" s="250">
        <v>850134.98</v>
      </c>
      <c r="M27" s="285">
        <v>0</v>
      </c>
      <c r="N27" s="251" t="s">
        <v>140</v>
      </c>
      <c r="O27" s="288" t="s">
        <v>18</v>
      </c>
      <c r="P27" s="252">
        <v>43472</v>
      </c>
      <c r="Q27" s="253">
        <v>43535</v>
      </c>
      <c r="R27" s="254"/>
      <c r="S27" s="249"/>
      <c r="T27" s="255" t="s">
        <v>21</v>
      </c>
      <c r="U27" s="529"/>
      <c r="V27" s="529"/>
    </row>
    <row r="28" spans="1:22" s="321" customFormat="1" ht="30" customHeight="1" x14ac:dyDescent="0.25">
      <c r="A28" s="424"/>
      <c r="B28" s="311"/>
      <c r="C28" s="311"/>
      <c r="D28" s="312"/>
      <c r="E28" s="312"/>
      <c r="F28" s="312"/>
      <c r="G28" s="313"/>
      <c r="H28" s="314"/>
      <c r="I28" s="315" t="s">
        <v>528</v>
      </c>
      <c r="J28" s="316">
        <f>SUBTOTAL(9,J14:J27)</f>
        <v>77541236.450000003</v>
      </c>
      <c r="K28" s="316"/>
      <c r="L28" s="316">
        <v>43511461.630000003</v>
      </c>
      <c r="M28" s="318"/>
      <c r="N28" s="312"/>
      <c r="O28" s="312"/>
      <c r="P28" s="312"/>
      <c r="Q28" s="312"/>
      <c r="R28" s="312"/>
      <c r="S28" s="312"/>
      <c r="T28" s="319"/>
      <c r="U28" s="529"/>
      <c r="V28" s="529"/>
    </row>
    <row r="29" spans="1:22" ht="11.1" customHeight="1" x14ac:dyDescent="0.25">
      <c r="J29" s="393"/>
      <c r="K29" s="393"/>
      <c r="L29" s="256"/>
      <c r="R29" s="300"/>
      <c r="U29" s="529"/>
      <c r="V29" s="529"/>
    </row>
    <row r="30" spans="1:22" s="320" customFormat="1" ht="24.95" customHeight="1" x14ac:dyDescent="0.25">
      <c r="A30" s="672">
        <v>2</v>
      </c>
      <c r="B30" s="324" t="s">
        <v>188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322"/>
      <c r="S30" s="322"/>
      <c r="T30" s="323"/>
      <c r="U30" s="529"/>
      <c r="V30" s="529"/>
    </row>
    <row r="31" spans="1:22" ht="20.100000000000001" customHeight="1" x14ac:dyDescent="0.25">
      <c r="A31" s="672"/>
      <c r="B31" s="654" t="s">
        <v>189</v>
      </c>
      <c r="C31" s="654" t="s">
        <v>10</v>
      </c>
      <c r="D31" s="654" t="s">
        <v>494</v>
      </c>
      <c r="E31" s="654" t="s">
        <v>119</v>
      </c>
      <c r="F31" s="654" t="s">
        <v>120</v>
      </c>
      <c r="G31" s="654" t="s">
        <v>495</v>
      </c>
      <c r="H31" s="654" t="s">
        <v>122</v>
      </c>
      <c r="I31" s="654" t="s">
        <v>123</v>
      </c>
      <c r="J31" s="655" t="s">
        <v>190</v>
      </c>
      <c r="K31" s="655"/>
      <c r="L31" s="655"/>
      <c r="M31" s="655"/>
      <c r="N31" s="651" t="s">
        <v>191</v>
      </c>
      <c r="O31" s="651" t="s">
        <v>192</v>
      </c>
      <c r="P31" s="651" t="s">
        <v>193</v>
      </c>
      <c r="Q31" s="651"/>
      <c r="R31" s="657" t="s">
        <v>128</v>
      </c>
      <c r="S31" s="651" t="s">
        <v>129</v>
      </c>
      <c r="T31" s="651" t="s">
        <v>20</v>
      </c>
      <c r="U31" s="529"/>
      <c r="V31" s="529"/>
    </row>
    <row r="32" spans="1:22" ht="42" customHeight="1" x14ac:dyDescent="0.25">
      <c r="A32" s="672"/>
      <c r="B32" s="654"/>
      <c r="C32" s="654"/>
      <c r="D32" s="654"/>
      <c r="E32" s="654"/>
      <c r="F32" s="654"/>
      <c r="G32" s="654"/>
      <c r="H32" s="654"/>
      <c r="I32" s="654"/>
      <c r="J32" s="242" t="s">
        <v>130</v>
      </c>
      <c r="K32" s="567" t="s">
        <v>131</v>
      </c>
      <c r="L32" s="567" t="s">
        <v>132</v>
      </c>
      <c r="M32" s="567" t="s">
        <v>133</v>
      </c>
      <c r="N32" s="651"/>
      <c r="O32" s="651"/>
      <c r="P32" s="566" t="s">
        <v>134</v>
      </c>
      <c r="Q32" s="566" t="s">
        <v>135</v>
      </c>
      <c r="R32" s="657"/>
      <c r="S32" s="651"/>
      <c r="T32" s="651"/>
      <c r="U32" s="529"/>
      <c r="V32" s="529"/>
    </row>
    <row r="33" spans="1:22" s="410" customFormat="1" ht="30" hidden="1" customHeight="1" outlineLevel="1" x14ac:dyDescent="0.25">
      <c r="A33" s="409" t="s">
        <v>140</v>
      </c>
      <c r="B33" s="396" t="s">
        <v>137</v>
      </c>
      <c r="C33" s="397" t="s">
        <v>529</v>
      </c>
      <c r="D33" s="398" t="s">
        <v>530</v>
      </c>
      <c r="E33" s="399" t="s">
        <v>140</v>
      </c>
      <c r="F33" s="400" t="s">
        <v>169</v>
      </c>
      <c r="G33" s="401" t="s">
        <v>36</v>
      </c>
      <c r="H33" s="401"/>
      <c r="I33" s="401"/>
      <c r="J33" s="402">
        <v>105364.42271293375</v>
      </c>
      <c r="K33" s="403">
        <v>0.99999999713402177</v>
      </c>
      <c r="L33" s="402">
        <v>105364.4224109616</v>
      </c>
      <c r="M33" s="403">
        <v>0</v>
      </c>
      <c r="N33" s="404" t="s">
        <v>148</v>
      </c>
      <c r="O33" s="400" t="s">
        <v>18</v>
      </c>
      <c r="P33" s="405">
        <v>43259</v>
      </c>
      <c r="Q33" s="406">
        <v>43314</v>
      </c>
      <c r="R33" s="407" t="s">
        <v>51</v>
      </c>
      <c r="S33" s="401"/>
      <c r="T33" s="408" t="s">
        <v>24</v>
      </c>
    </row>
    <row r="34" spans="1:22" s="236" customFormat="1" ht="31.5" outlineLevel="1" x14ac:dyDescent="0.25">
      <c r="A34" s="243" t="s">
        <v>148</v>
      </c>
      <c r="B34" s="275" t="s">
        <v>137</v>
      </c>
      <c r="C34" s="276" t="s">
        <v>531</v>
      </c>
      <c r="D34" s="246" t="s">
        <v>532</v>
      </c>
      <c r="E34" s="277" t="s">
        <v>148</v>
      </c>
      <c r="F34" s="251" t="s">
        <v>533</v>
      </c>
      <c r="G34" s="249" t="s">
        <v>36</v>
      </c>
      <c r="H34" s="278"/>
      <c r="I34" s="278"/>
      <c r="J34" s="250">
        <v>4283.9335975644781</v>
      </c>
      <c r="K34" s="390">
        <v>1</v>
      </c>
      <c r="L34" s="250">
        <v>4283.9335975644781</v>
      </c>
      <c r="M34" s="390">
        <v>0</v>
      </c>
      <c r="N34" s="279" t="s">
        <v>148</v>
      </c>
      <c r="O34" s="288" t="s">
        <v>999</v>
      </c>
      <c r="P34" s="252">
        <v>43497</v>
      </c>
      <c r="Q34" s="253">
        <v>43587</v>
      </c>
      <c r="R34" s="254" t="s">
        <v>254</v>
      </c>
      <c r="S34" s="278"/>
      <c r="T34" s="255" t="s">
        <v>21</v>
      </c>
      <c r="U34" s="529"/>
      <c r="V34" s="529"/>
    </row>
    <row r="35" spans="1:22" s="410" customFormat="1" ht="31.5" hidden="1" outlineLevel="1" x14ac:dyDescent="0.25">
      <c r="A35" s="409" t="s">
        <v>152</v>
      </c>
      <c r="B35" s="396" t="s">
        <v>137</v>
      </c>
      <c r="C35" s="397" t="s">
        <v>534</v>
      </c>
      <c r="D35" s="398" t="s">
        <v>535</v>
      </c>
      <c r="E35" s="399"/>
      <c r="F35" s="400" t="s">
        <v>169</v>
      </c>
      <c r="G35" s="401" t="s">
        <v>36</v>
      </c>
      <c r="H35" s="401"/>
      <c r="I35" s="401"/>
      <c r="J35" s="402">
        <v>400465.07</v>
      </c>
      <c r="K35" s="403">
        <v>0.29999999876326761</v>
      </c>
      <c r="L35" s="402">
        <v>120139.52050473187</v>
      </c>
      <c r="M35" s="403">
        <v>0.69999999974004978</v>
      </c>
      <c r="N35" s="404"/>
      <c r="O35" s="400" t="s">
        <v>18</v>
      </c>
      <c r="P35" s="405">
        <v>43381</v>
      </c>
      <c r="Q35" s="406">
        <v>43436</v>
      </c>
      <c r="R35" s="407" t="s">
        <v>51</v>
      </c>
      <c r="S35" s="401"/>
      <c r="T35" s="408" t="s">
        <v>24</v>
      </c>
    </row>
    <row r="36" spans="1:22" s="236" customFormat="1" ht="31.5" outlineLevel="1" x14ac:dyDescent="0.25">
      <c r="A36" s="243" t="s">
        <v>156</v>
      </c>
      <c r="B36" s="244" t="s">
        <v>137</v>
      </c>
      <c r="C36" s="245" t="s">
        <v>536</v>
      </c>
      <c r="D36" s="246" t="s">
        <v>200</v>
      </c>
      <c r="E36" s="247" t="s">
        <v>156</v>
      </c>
      <c r="F36" s="251" t="s">
        <v>169</v>
      </c>
      <c r="G36" s="249" t="s">
        <v>35</v>
      </c>
      <c r="H36" s="249"/>
      <c r="I36" s="249"/>
      <c r="J36" s="250">
        <v>32023.66</v>
      </c>
      <c r="K36" s="285">
        <v>0.5</v>
      </c>
      <c r="L36" s="250">
        <v>16011.83</v>
      </c>
      <c r="M36" s="285">
        <v>0.5</v>
      </c>
      <c r="N36" s="251" t="s">
        <v>136</v>
      </c>
      <c r="O36" s="251" t="s">
        <v>19</v>
      </c>
      <c r="P36" s="252">
        <v>43176</v>
      </c>
      <c r="Q36" s="253">
        <v>43217</v>
      </c>
      <c r="R36" s="280"/>
      <c r="S36" s="264" t="s">
        <v>537</v>
      </c>
      <c r="T36" s="255" t="s">
        <v>27</v>
      </c>
      <c r="U36" s="529"/>
      <c r="V36" s="529"/>
    </row>
    <row r="37" spans="1:22" s="410" customFormat="1" ht="31.5" hidden="1" outlineLevel="1" x14ac:dyDescent="0.25">
      <c r="A37" s="409" t="s">
        <v>185</v>
      </c>
      <c r="B37" s="396" t="s">
        <v>137</v>
      </c>
      <c r="C37" s="397" t="s">
        <v>538</v>
      </c>
      <c r="D37" s="398" t="s">
        <v>539</v>
      </c>
      <c r="E37" s="399" t="s">
        <v>144</v>
      </c>
      <c r="F37" s="400" t="s">
        <v>169</v>
      </c>
      <c r="G37" s="401" t="s">
        <v>36</v>
      </c>
      <c r="H37" s="401"/>
      <c r="I37" s="491"/>
      <c r="J37" s="402">
        <v>268138.8</v>
      </c>
      <c r="K37" s="403">
        <v>0.50000000235294129</v>
      </c>
      <c r="L37" s="402">
        <v>134069.40063091484</v>
      </c>
      <c r="M37" s="403">
        <v>0.50000000235294129</v>
      </c>
      <c r="N37" s="404"/>
      <c r="O37" s="400" t="s">
        <v>18</v>
      </c>
      <c r="P37" s="405">
        <v>43381</v>
      </c>
      <c r="Q37" s="406">
        <v>43436</v>
      </c>
      <c r="R37" s="407" t="s">
        <v>51</v>
      </c>
      <c r="S37" s="401"/>
      <c r="T37" s="408" t="s">
        <v>24</v>
      </c>
    </row>
    <row r="38" spans="1:22" s="410" customFormat="1" ht="30" hidden="1" customHeight="1" outlineLevel="1" x14ac:dyDescent="0.25">
      <c r="A38" s="409" t="s">
        <v>160</v>
      </c>
      <c r="B38" s="396" t="s">
        <v>137</v>
      </c>
      <c r="C38" s="422" t="s">
        <v>540</v>
      </c>
      <c r="D38" s="398" t="s">
        <v>151</v>
      </c>
      <c r="E38" s="399" t="s">
        <v>212</v>
      </c>
      <c r="F38" s="400" t="s">
        <v>169</v>
      </c>
      <c r="G38" s="401" t="s">
        <v>36</v>
      </c>
      <c r="H38" s="454"/>
      <c r="I38" s="454"/>
      <c r="J38" s="402">
        <v>917000</v>
      </c>
      <c r="K38" s="403">
        <v>1</v>
      </c>
      <c r="L38" s="402">
        <v>917000</v>
      </c>
      <c r="M38" s="403">
        <v>0</v>
      </c>
      <c r="N38" s="400"/>
      <c r="O38" s="400" t="s">
        <v>18</v>
      </c>
      <c r="P38" s="405">
        <v>43471</v>
      </c>
      <c r="Q38" s="406">
        <v>43526</v>
      </c>
      <c r="R38" s="407" t="s">
        <v>51</v>
      </c>
      <c r="S38" s="401"/>
      <c r="T38" s="408" t="s">
        <v>24</v>
      </c>
    </row>
    <row r="39" spans="1:22" s="236" customFormat="1" ht="31.5" outlineLevel="1" x14ac:dyDescent="0.25">
      <c r="A39" s="243" t="s">
        <v>144</v>
      </c>
      <c r="B39" s="244" t="s">
        <v>137</v>
      </c>
      <c r="C39" s="245" t="s">
        <v>541</v>
      </c>
      <c r="D39" s="246" t="s">
        <v>231</v>
      </c>
      <c r="E39" s="247" t="s">
        <v>144</v>
      </c>
      <c r="F39" s="251"/>
      <c r="G39" s="249" t="s">
        <v>36</v>
      </c>
      <c r="H39" s="249"/>
      <c r="I39" s="249"/>
      <c r="J39" s="250">
        <v>2872.07</v>
      </c>
      <c r="K39" s="285">
        <v>1</v>
      </c>
      <c r="L39" s="250">
        <v>2872.07</v>
      </c>
      <c r="M39" s="285">
        <v>0</v>
      </c>
      <c r="N39" s="251" t="s">
        <v>136</v>
      </c>
      <c r="O39" s="288" t="s">
        <v>999</v>
      </c>
      <c r="P39" s="252">
        <v>43510</v>
      </c>
      <c r="Q39" s="253">
        <v>43570</v>
      </c>
      <c r="R39" s="254" t="s">
        <v>254</v>
      </c>
      <c r="S39" s="249"/>
      <c r="T39" s="255" t="s">
        <v>21</v>
      </c>
      <c r="U39" s="529"/>
      <c r="V39" s="529"/>
    </row>
    <row r="40" spans="1:22" s="236" customFormat="1" ht="31.5" outlineLevel="1" x14ac:dyDescent="0.25">
      <c r="A40" s="243" t="s">
        <v>212</v>
      </c>
      <c r="B40" s="244" t="s">
        <v>137</v>
      </c>
      <c r="C40" s="282" t="s">
        <v>542</v>
      </c>
      <c r="D40" s="246" t="s">
        <v>543</v>
      </c>
      <c r="E40" s="247" t="s">
        <v>212</v>
      </c>
      <c r="F40" s="251"/>
      <c r="G40" s="249" t="s">
        <v>36</v>
      </c>
      <c r="H40" s="249"/>
      <c r="I40" s="249"/>
      <c r="J40" s="250">
        <v>149797.51</v>
      </c>
      <c r="K40" s="285">
        <v>1</v>
      </c>
      <c r="L40" s="250">
        <v>149797.51</v>
      </c>
      <c r="M40" s="285">
        <v>0</v>
      </c>
      <c r="N40" s="251" t="s">
        <v>136</v>
      </c>
      <c r="O40" s="288" t="s">
        <v>999</v>
      </c>
      <c r="P40" s="252">
        <v>43374</v>
      </c>
      <c r="Q40" s="253">
        <v>43404</v>
      </c>
      <c r="R40" s="254" t="s">
        <v>254</v>
      </c>
      <c r="S40" s="249"/>
      <c r="T40" s="255" t="s">
        <v>22</v>
      </c>
      <c r="U40" s="529"/>
      <c r="V40" s="529"/>
    </row>
    <row r="41" spans="1:22" s="236" customFormat="1" ht="31.5" outlineLevel="1" x14ac:dyDescent="0.25">
      <c r="A41" s="243" t="s">
        <v>217</v>
      </c>
      <c r="B41" s="244" t="s">
        <v>137</v>
      </c>
      <c r="C41" s="282" t="s">
        <v>544</v>
      </c>
      <c r="D41" s="246" t="s">
        <v>143</v>
      </c>
      <c r="E41" s="247" t="s">
        <v>217</v>
      </c>
      <c r="F41" s="251"/>
      <c r="G41" s="249" t="s">
        <v>36</v>
      </c>
      <c r="H41" s="249"/>
      <c r="I41" s="249"/>
      <c r="J41" s="250">
        <v>141726.97</v>
      </c>
      <c r="K41" s="285">
        <v>1</v>
      </c>
      <c r="L41" s="250">
        <v>141726.97</v>
      </c>
      <c r="M41" s="285">
        <v>0</v>
      </c>
      <c r="N41" s="251" t="s">
        <v>136</v>
      </c>
      <c r="O41" s="288" t="s">
        <v>999</v>
      </c>
      <c r="P41" s="252">
        <v>43345</v>
      </c>
      <c r="Q41" s="253">
        <v>43375</v>
      </c>
      <c r="R41" s="254" t="s">
        <v>254</v>
      </c>
      <c r="S41" s="249"/>
      <c r="T41" s="255" t="s">
        <v>22</v>
      </c>
      <c r="U41" s="529"/>
      <c r="V41" s="529"/>
    </row>
    <row r="42" spans="1:22" s="236" customFormat="1" outlineLevel="1" x14ac:dyDescent="0.25">
      <c r="A42" s="243" t="s">
        <v>220</v>
      </c>
      <c r="B42" s="244" t="s">
        <v>137</v>
      </c>
      <c r="C42" s="245" t="s">
        <v>545</v>
      </c>
      <c r="D42" s="246" t="s">
        <v>546</v>
      </c>
      <c r="E42" s="247" t="s">
        <v>220</v>
      </c>
      <c r="F42" s="251"/>
      <c r="G42" s="249" t="s">
        <v>36</v>
      </c>
      <c r="H42" s="249"/>
      <c r="I42" s="249"/>
      <c r="J42" s="250">
        <v>4308.1099999999997</v>
      </c>
      <c r="K42" s="285">
        <v>0</v>
      </c>
      <c r="L42" s="250">
        <v>0</v>
      </c>
      <c r="M42" s="285">
        <v>1</v>
      </c>
      <c r="N42" s="251" t="s">
        <v>136</v>
      </c>
      <c r="O42" s="288" t="s">
        <v>999</v>
      </c>
      <c r="P42" s="252">
        <v>43498</v>
      </c>
      <c r="Q42" s="253">
        <v>43558</v>
      </c>
      <c r="R42" s="254" t="s">
        <v>547</v>
      </c>
      <c r="S42" s="249"/>
      <c r="T42" s="255" t="s">
        <v>21</v>
      </c>
      <c r="U42" s="529"/>
      <c r="V42" s="529"/>
    </row>
    <row r="43" spans="1:22" s="410" customFormat="1" ht="31.5" hidden="1" outlineLevel="1" x14ac:dyDescent="0.25">
      <c r="A43" s="409" t="s">
        <v>225</v>
      </c>
      <c r="B43" s="396" t="s">
        <v>137</v>
      </c>
      <c r="C43" s="397" t="s">
        <v>548</v>
      </c>
      <c r="D43" s="398" t="s">
        <v>549</v>
      </c>
      <c r="E43" s="399"/>
      <c r="F43" s="400" t="s">
        <v>169</v>
      </c>
      <c r="G43" s="401" t="s">
        <v>36</v>
      </c>
      <c r="H43" s="401"/>
      <c r="I43" s="401"/>
      <c r="J43" s="402">
        <v>570000</v>
      </c>
      <c r="K43" s="403">
        <v>0.36842105263157893</v>
      </c>
      <c r="L43" s="402">
        <v>210000</v>
      </c>
      <c r="M43" s="403">
        <v>0.63157894736842102</v>
      </c>
      <c r="N43" s="404"/>
      <c r="O43" s="400" t="s">
        <v>18</v>
      </c>
      <c r="P43" s="405">
        <v>43191</v>
      </c>
      <c r="Q43" s="406">
        <v>43252</v>
      </c>
      <c r="R43" s="407" t="s">
        <v>51</v>
      </c>
      <c r="S43" s="401"/>
      <c r="T43" s="408" t="s">
        <v>24</v>
      </c>
    </row>
    <row r="44" spans="1:22" s="236" customFormat="1" ht="31.5" outlineLevel="1" x14ac:dyDescent="0.25">
      <c r="A44" s="243" t="s">
        <v>227</v>
      </c>
      <c r="B44" s="244" t="s">
        <v>137</v>
      </c>
      <c r="C44" s="245" t="s">
        <v>550</v>
      </c>
      <c r="D44" s="246" t="s">
        <v>551</v>
      </c>
      <c r="E44" s="247" t="s">
        <v>227</v>
      </c>
      <c r="F44" s="251" t="s">
        <v>552</v>
      </c>
      <c r="G44" s="249" t="s">
        <v>36</v>
      </c>
      <c r="H44" s="249"/>
      <c r="I44" s="249"/>
      <c r="J44" s="250">
        <v>57441.55</v>
      </c>
      <c r="K44" s="285">
        <v>0</v>
      </c>
      <c r="L44" s="250">
        <v>0</v>
      </c>
      <c r="M44" s="285">
        <v>1</v>
      </c>
      <c r="N44" s="251" t="s">
        <v>148</v>
      </c>
      <c r="O44" s="288" t="s">
        <v>999</v>
      </c>
      <c r="P44" s="252">
        <v>43862</v>
      </c>
      <c r="Q44" s="253">
        <v>43922</v>
      </c>
      <c r="R44" s="254" t="s">
        <v>254</v>
      </c>
      <c r="S44" s="249"/>
      <c r="T44" s="255" t="s">
        <v>21</v>
      </c>
      <c r="U44" s="529"/>
      <c r="V44" s="529"/>
    </row>
    <row r="45" spans="1:22" s="236" customFormat="1" ht="31.5" outlineLevel="1" x14ac:dyDescent="0.25">
      <c r="A45" s="243" t="s">
        <v>229</v>
      </c>
      <c r="B45" s="244" t="s">
        <v>137</v>
      </c>
      <c r="C45" s="282" t="s">
        <v>553</v>
      </c>
      <c r="D45" s="246" t="s">
        <v>554</v>
      </c>
      <c r="E45" s="247" t="s">
        <v>229</v>
      </c>
      <c r="F45" s="251" t="s">
        <v>555</v>
      </c>
      <c r="G45" s="249" t="s">
        <v>36</v>
      </c>
      <c r="H45" s="249"/>
      <c r="I45" s="249"/>
      <c r="J45" s="250">
        <v>735.67000000000007</v>
      </c>
      <c r="K45" s="285">
        <v>0</v>
      </c>
      <c r="L45" s="250">
        <v>0</v>
      </c>
      <c r="M45" s="285">
        <v>1</v>
      </c>
      <c r="N45" s="251" t="s">
        <v>148</v>
      </c>
      <c r="O45" s="288" t="s">
        <v>999</v>
      </c>
      <c r="P45" s="252">
        <v>43523</v>
      </c>
      <c r="Q45" s="253">
        <v>43583</v>
      </c>
      <c r="R45" s="254" t="s">
        <v>547</v>
      </c>
      <c r="S45" s="249"/>
      <c r="T45" s="255" t="s">
        <v>21</v>
      </c>
      <c r="U45" s="529"/>
      <c r="V45" s="529"/>
    </row>
    <row r="46" spans="1:22" s="236" customFormat="1" ht="31.5" outlineLevel="1" x14ac:dyDescent="0.25">
      <c r="A46" s="243" t="s">
        <v>233</v>
      </c>
      <c r="B46" s="244" t="s">
        <v>137</v>
      </c>
      <c r="C46" s="282" t="s">
        <v>556</v>
      </c>
      <c r="D46" s="246" t="s">
        <v>557</v>
      </c>
      <c r="E46" s="247"/>
      <c r="F46" s="251" t="s">
        <v>533</v>
      </c>
      <c r="G46" s="249" t="s">
        <v>36</v>
      </c>
      <c r="H46" s="249"/>
      <c r="I46" s="249"/>
      <c r="J46" s="250">
        <v>159751.93</v>
      </c>
      <c r="K46" s="285">
        <v>0.29999994366265248</v>
      </c>
      <c r="L46" s="250">
        <f>K46*J46</f>
        <v>47925.57</v>
      </c>
      <c r="M46" s="285">
        <v>0.69999999374029476</v>
      </c>
      <c r="N46" s="251" t="s">
        <v>148</v>
      </c>
      <c r="O46" s="288" t="s">
        <v>999</v>
      </c>
      <c r="P46" s="252">
        <v>43510</v>
      </c>
      <c r="Q46" s="253">
        <v>43570</v>
      </c>
      <c r="R46" s="254" t="s">
        <v>254</v>
      </c>
      <c r="S46" s="249"/>
      <c r="T46" s="255" t="s">
        <v>21</v>
      </c>
      <c r="U46" s="529"/>
      <c r="V46" s="529"/>
    </row>
    <row r="47" spans="1:22" s="236" customFormat="1" ht="31.5" outlineLevel="1" x14ac:dyDescent="0.25">
      <c r="A47" s="243" t="s">
        <v>237</v>
      </c>
      <c r="B47" s="244" t="s">
        <v>137</v>
      </c>
      <c r="C47" s="286" t="s">
        <v>558</v>
      </c>
      <c r="D47" s="246" t="s">
        <v>559</v>
      </c>
      <c r="E47" s="247"/>
      <c r="F47" s="251" t="s">
        <v>552</v>
      </c>
      <c r="G47" s="249" t="s">
        <v>36</v>
      </c>
      <c r="H47" s="249"/>
      <c r="I47" s="249"/>
      <c r="J47" s="250">
        <v>22976.62</v>
      </c>
      <c r="K47" s="285">
        <v>0.5</v>
      </c>
      <c r="L47" s="250">
        <f t="shared" ref="L47:L52" si="0">K47*J47</f>
        <v>11488.31</v>
      </c>
      <c r="M47" s="285">
        <v>0.5</v>
      </c>
      <c r="N47" s="279" t="s">
        <v>148</v>
      </c>
      <c r="O47" s="288" t="s">
        <v>999</v>
      </c>
      <c r="P47" s="252">
        <v>43680</v>
      </c>
      <c r="Q47" s="253">
        <v>43740</v>
      </c>
      <c r="R47" s="254" t="s">
        <v>254</v>
      </c>
      <c r="S47" s="249"/>
      <c r="T47" s="255" t="s">
        <v>21</v>
      </c>
      <c r="U47" s="529"/>
      <c r="V47" s="529"/>
    </row>
    <row r="48" spans="1:22" s="236" customFormat="1" ht="31.5" outlineLevel="1" x14ac:dyDescent="0.25">
      <c r="A48" s="243" t="s">
        <v>239</v>
      </c>
      <c r="B48" s="244" t="s">
        <v>137</v>
      </c>
      <c r="C48" s="286" t="s">
        <v>560</v>
      </c>
      <c r="D48" s="246" t="s">
        <v>561</v>
      </c>
      <c r="E48" s="247"/>
      <c r="F48" s="251" t="s">
        <v>555</v>
      </c>
      <c r="G48" s="249" t="s">
        <v>36</v>
      </c>
      <c r="H48" s="249"/>
      <c r="I48" s="249"/>
      <c r="J48" s="250">
        <v>84065.71</v>
      </c>
      <c r="K48" s="285">
        <v>1</v>
      </c>
      <c r="L48" s="250">
        <f t="shared" si="0"/>
        <v>84065.71</v>
      </c>
      <c r="M48" s="285">
        <v>0</v>
      </c>
      <c r="N48" s="279" t="s">
        <v>148</v>
      </c>
      <c r="O48" s="288" t="s">
        <v>999</v>
      </c>
      <c r="P48" s="252">
        <v>43741</v>
      </c>
      <c r="Q48" s="253">
        <v>43801</v>
      </c>
      <c r="R48" s="254" t="s">
        <v>254</v>
      </c>
      <c r="S48" s="249"/>
      <c r="T48" s="255" t="s">
        <v>21</v>
      </c>
      <c r="U48" s="529"/>
      <c r="V48" s="529"/>
    </row>
    <row r="49" spans="1:22" s="236" customFormat="1" ht="31.5" customHeight="1" outlineLevel="1" x14ac:dyDescent="0.25">
      <c r="A49" s="243" t="s">
        <v>562</v>
      </c>
      <c r="B49" s="244" t="s">
        <v>137</v>
      </c>
      <c r="C49" s="245" t="s">
        <v>563</v>
      </c>
      <c r="D49" s="246" t="s">
        <v>564</v>
      </c>
      <c r="E49" s="247"/>
      <c r="F49" s="251" t="s">
        <v>357</v>
      </c>
      <c r="G49" s="249" t="s">
        <v>36</v>
      </c>
      <c r="H49" s="249"/>
      <c r="I49" s="249"/>
      <c r="J49" s="283">
        <v>68283.64</v>
      </c>
      <c r="K49" s="285">
        <v>0.29999997071040735</v>
      </c>
      <c r="L49" s="250">
        <f t="shared" si="0"/>
        <v>20485.09</v>
      </c>
      <c r="M49" s="285">
        <v>0.70000002928959271</v>
      </c>
      <c r="N49" s="259" t="s">
        <v>148</v>
      </c>
      <c r="O49" s="288" t="s">
        <v>999</v>
      </c>
      <c r="P49" s="252">
        <v>43680</v>
      </c>
      <c r="Q49" s="253">
        <v>43740</v>
      </c>
      <c r="R49" s="254" t="s">
        <v>254</v>
      </c>
      <c r="S49" s="249"/>
      <c r="T49" s="255" t="s">
        <v>21</v>
      </c>
      <c r="U49" s="529"/>
      <c r="V49" s="529"/>
    </row>
    <row r="50" spans="1:22" s="236" customFormat="1" ht="31.5" outlineLevel="1" x14ac:dyDescent="0.25">
      <c r="A50" s="243" t="s">
        <v>565</v>
      </c>
      <c r="B50" s="244" t="s">
        <v>137</v>
      </c>
      <c r="C50" s="282" t="s">
        <v>566</v>
      </c>
      <c r="D50" s="246" t="s">
        <v>567</v>
      </c>
      <c r="E50" s="247"/>
      <c r="F50" s="251" t="s">
        <v>568</v>
      </c>
      <c r="G50" s="249" t="s">
        <v>36</v>
      </c>
      <c r="H50" s="249"/>
      <c r="I50" s="249"/>
      <c r="J50" s="250">
        <v>234873.91</v>
      </c>
      <c r="K50" s="285">
        <v>0</v>
      </c>
      <c r="L50" s="250">
        <f t="shared" si="0"/>
        <v>0</v>
      </c>
      <c r="M50" s="285">
        <v>1</v>
      </c>
      <c r="N50" s="251" t="s">
        <v>148</v>
      </c>
      <c r="O50" s="288" t="s">
        <v>999</v>
      </c>
      <c r="P50" s="252">
        <v>43841</v>
      </c>
      <c r="Q50" s="253">
        <v>43901</v>
      </c>
      <c r="R50" s="254" t="s">
        <v>254</v>
      </c>
      <c r="S50" s="249"/>
      <c r="T50" s="255" t="s">
        <v>21</v>
      </c>
      <c r="U50" s="529"/>
      <c r="V50" s="529"/>
    </row>
    <row r="51" spans="1:22" s="236" customFormat="1" ht="31.5" outlineLevel="1" x14ac:dyDescent="0.25">
      <c r="A51" s="243" t="s">
        <v>569</v>
      </c>
      <c r="B51" s="244" t="s">
        <v>137</v>
      </c>
      <c r="C51" s="282" t="s">
        <v>570</v>
      </c>
      <c r="D51" s="246" t="s">
        <v>571</v>
      </c>
      <c r="E51" s="247"/>
      <c r="F51" s="251" t="s">
        <v>311</v>
      </c>
      <c r="G51" s="249" t="s">
        <v>36</v>
      </c>
      <c r="H51" s="249"/>
      <c r="I51" s="249"/>
      <c r="J51" s="250">
        <v>113806.07</v>
      </c>
      <c r="K51" s="285">
        <v>0.29999999121312243</v>
      </c>
      <c r="L51" s="250">
        <f t="shared" si="0"/>
        <v>34141.82</v>
      </c>
      <c r="M51" s="285">
        <v>0.70000000878687751</v>
      </c>
      <c r="N51" s="251" t="s">
        <v>148</v>
      </c>
      <c r="O51" s="288" t="s">
        <v>999</v>
      </c>
      <c r="P51" s="252">
        <v>43841</v>
      </c>
      <c r="Q51" s="253">
        <v>43901</v>
      </c>
      <c r="R51" s="254" t="s">
        <v>254</v>
      </c>
      <c r="S51" s="249"/>
      <c r="T51" s="255" t="s">
        <v>21</v>
      </c>
      <c r="U51" s="529"/>
      <c r="V51" s="529"/>
    </row>
    <row r="52" spans="1:22" s="236" customFormat="1" ht="31.5" outlineLevel="1" x14ac:dyDescent="0.25">
      <c r="A52" s="243" t="s">
        <v>572</v>
      </c>
      <c r="B52" s="244" t="s">
        <v>137</v>
      </c>
      <c r="C52" s="282" t="s">
        <v>573</v>
      </c>
      <c r="D52" s="246" t="s">
        <v>574</v>
      </c>
      <c r="E52" s="247" t="s">
        <v>212</v>
      </c>
      <c r="F52" s="251" t="s">
        <v>575</v>
      </c>
      <c r="G52" s="249" t="s">
        <v>36</v>
      </c>
      <c r="H52" s="249"/>
      <c r="I52" s="249"/>
      <c r="J52" s="250">
        <v>31018.43</v>
      </c>
      <c r="K52" s="285">
        <v>0.49999983880551013</v>
      </c>
      <c r="L52" s="250">
        <f t="shared" si="0"/>
        <v>15509.21</v>
      </c>
      <c r="M52" s="285">
        <v>0.49999983880551013</v>
      </c>
      <c r="N52" s="251" t="s">
        <v>148</v>
      </c>
      <c r="O52" s="288" t="s">
        <v>999</v>
      </c>
      <c r="P52" s="252">
        <v>43374</v>
      </c>
      <c r="Q52" s="253">
        <v>43404</v>
      </c>
      <c r="R52" s="254" t="s">
        <v>254</v>
      </c>
      <c r="S52" s="249"/>
      <c r="T52" s="255" t="s">
        <v>22</v>
      </c>
      <c r="U52" s="529"/>
      <c r="V52" s="529"/>
    </row>
    <row r="53" spans="1:22" s="321" customFormat="1" ht="30" customHeight="1" x14ac:dyDescent="0.25">
      <c r="A53" s="424"/>
      <c r="B53" s="311"/>
      <c r="C53" s="312"/>
      <c r="D53" s="312"/>
      <c r="E53" s="312"/>
      <c r="F53" s="312"/>
      <c r="G53" s="313"/>
      <c r="H53" s="314"/>
      <c r="I53" s="315" t="s">
        <v>576</v>
      </c>
      <c r="J53" s="316">
        <f>SUBTOTAL(9,J33:J52)</f>
        <v>1107965.7835975643</v>
      </c>
      <c r="K53" s="317"/>
      <c r="L53" s="316">
        <v>479392.66359756445</v>
      </c>
      <c r="M53" s="318"/>
      <c r="N53" s="312"/>
      <c r="O53" s="312"/>
      <c r="P53" s="312"/>
      <c r="Q53" s="312"/>
      <c r="R53" s="312"/>
      <c r="S53" s="312"/>
      <c r="T53" s="319"/>
      <c r="U53" s="529"/>
      <c r="V53" s="529"/>
    </row>
    <row r="54" spans="1:22" ht="11.1" customHeight="1" x14ac:dyDescent="0.25">
      <c r="K54" s="256"/>
      <c r="L54" s="256"/>
      <c r="M54" s="370"/>
      <c r="U54" s="529"/>
      <c r="V54" s="529"/>
    </row>
    <row r="55" spans="1:22" s="320" customFormat="1" ht="24.95" customHeight="1" x14ac:dyDescent="0.25">
      <c r="A55" s="672">
        <v>3</v>
      </c>
      <c r="B55" s="324" t="s">
        <v>242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3"/>
      <c r="R55" s="322"/>
      <c r="S55" s="322"/>
      <c r="T55" s="323"/>
      <c r="U55" s="529"/>
      <c r="V55" s="529"/>
    </row>
    <row r="56" spans="1:22" ht="20.25" customHeight="1" x14ac:dyDescent="0.25">
      <c r="A56" s="672"/>
      <c r="B56" s="654" t="s">
        <v>189</v>
      </c>
      <c r="C56" s="654" t="s">
        <v>10</v>
      </c>
      <c r="D56" s="654" t="s">
        <v>494</v>
      </c>
      <c r="E56" s="654" t="s">
        <v>119</v>
      </c>
      <c r="F56" s="654" t="s">
        <v>120</v>
      </c>
      <c r="G56" s="654" t="s">
        <v>495</v>
      </c>
      <c r="H56" s="654" t="s">
        <v>122</v>
      </c>
      <c r="I56" s="654" t="s">
        <v>123</v>
      </c>
      <c r="J56" s="655" t="s">
        <v>190</v>
      </c>
      <c r="K56" s="655"/>
      <c r="L56" s="655"/>
      <c r="M56" s="655"/>
      <c r="N56" s="651" t="s">
        <v>191</v>
      </c>
      <c r="O56" s="651" t="s">
        <v>192</v>
      </c>
      <c r="P56" s="651" t="s">
        <v>193</v>
      </c>
      <c r="Q56" s="651"/>
      <c r="R56" s="657" t="s">
        <v>128</v>
      </c>
      <c r="S56" s="651" t="s">
        <v>129</v>
      </c>
      <c r="T56" s="651" t="s">
        <v>20</v>
      </c>
      <c r="U56" s="529"/>
      <c r="V56" s="529"/>
    </row>
    <row r="57" spans="1:22" ht="42" customHeight="1" x14ac:dyDescent="0.25">
      <c r="A57" s="672"/>
      <c r="B57" s="654"/>
      <c r="C57" s="654"/>
      <c r="D57" s="654"/>
      <c r="E57" s="654"/>
      <c r="F57" s="654"/>
      <c r="G57" s="654"/>
      <c r="H57" s="654"/>
      <c r="I57" s="654"/>
      <c r="J57" s="242" t="s">
        <v>130</v>
      </c>
      <c r="K57" s="258" t="s">
        <v>131</v>
      </c>
      <c r="L57" s="567" t="s">
        <v>132</v>
      </c>
      <c r="M57" s="567" t="s">
        <v>133</v>
      </c>
      <c r="N57" s="651"/>
      <c r="O57" s="651"/>
      <c r="P57" s="566" t="s">
        <v>134</v>
      </c>
      <c r="Q57" s="566" t="s">
        <v>135</v>
      </c>
      <c r="R57" s="657"/>
      <c r="S57" s="651"/>
      <c r="T57" s="651"/>
      <c r="U57" s="529"/>
      <c r="V57" s="529"/>
    </row>
    <row r="58" spans="1:22" s="410" customFormat="1" ht="31.5" hidden="1" outlineLevel="1" x14ac:dyDescent="0.25">
      <c r="A58" s="409" t="s">
        <v>243</v>
      </c>
      <c r="B58" s="413" t="s">
        <v>137</v>
      </c>
      <c r="C58" s="397" t="s">
        <v>577</v>
      </c>
      <c r="D58" s="398" t="s">
        <v>578</v>
      </c>
      <c r="E58" s="415" t="s">
        <v>243</v>
      </c>
      <c r="F58" s="400" t="s">
        <v>169</v>
      </c>
      <c r="G58" s="401" t="s">
        <v>41</v>
      </c>
      <c r="H58" s="416"/>
      <c r="I58" s="416"/>
      <c r="J58" s="402">
        <v>642492</v>
      </c>
      <c r="K58" s="417">
        <v>0.2</v>
      </c>
      <c r="L58" s="402">
        <v>129338</v>
      </c>
      <c r="M58" s="417">
        <v>0.8</v>
      </c>
      <c r="N58" s="404" t="s">
        <v>148</v>
      </c>
      <c r="O58" s="404" t="s">
        <v>18</v>
      </c>
      <c r="P58" s="411">
        <v>43251</v>
      </c>
      <c r="Q58" s="412">
        <v>43314</v>
      </c>
      <c r="R58" s="418"/>
      <c r="S58" s="416"/>
      <c r="T58" s="408" t="s">
        <v>24</v>
      </c>
    </row>
    <row r="59" spans="1:22" s="236" customFormat="1" ht="31.5" outlineLevel="1" x14ac:dyDescent="0.25">
      <c r="A59" s="243" t="s">
        <v>201</v>
      </c>
      <c r="B59" s="444" t="s">
        <v>137</v>
      </c>
      <c r="C59" s="453" t="s">
        <v>579</v>
      </c>
      <c r="D59" s="287" t="s">
        <v>580</v>
      </c>
      <c r="E59" s="277" t="s">
        <v>201</v>
      </c>
      <c r="F59" s="251" t="s">
        <v>169</v>
      </c>
      <c r="G59" s="245" t="s">
        <v>36</v>
      </c>
      <c r="H59" s="278"/>
      <c r="I59" s="278"/>
      <c r="J59" s="250">
        <v>674938.23</v>
      </c>
      <c r="K59" s="390">
        <v>0</v>
      </c>
      <c r="L59" s="250">
        <f t="shared" ref="L59:L82" si="1">K59*J59</f>
        <v>0</v>
      </c>
      <c r="M59" s="390">
        <v>1</v>
      </c>
      <c r="N59" s="279" t="s">
        <v>148</v>
      </c>
      <c r="O59" s="288" t="s">
        <v>999</v>
      </c>
      <c r="P59" s="288">
        <v>43427</v>
      </c>
      <c r="Q59" s="289">
        <v>43556</v>
      </c>
      <c r="R59" s="362" t="s">
        <v>170</v>
      </c>
      <c r="S59" s="431"/>
      <c r="T59" s="267" t="s">
        <v>21</v>
      </c>
      <c r="U59" s="529"/>
      <c r="V59" s="529"/>
    </row>
    <row r="60" spans="1:22" s="236" customFormat="1" ht="31.5" outlineLevel="1" x14ac:dyDescent="0.25">
      <c r="A60" s="243" t="s">
        <v>205</v>
      </c>
      <c r="B60" s="444" t="s">
        <v>137</v>
      </c>
      <c r="C60" s="453" t="s">
        <v>581</v>
      </c>
      <c r="D60" s="287" t="s">
        <v>582</v>
      </c>
      <c r="E60" s="277" t="s">
        <v>205</v>
      </c>
      <c r="F60" s="251" t="s">
        <v>169</v>
      </c>
      <c r="G60" s="245" t="s">
        <v>36</v>
      </c>
      <c r="H60" s="278"/>
      <c r="I60" s="278"/>
      <c r="J60" s="250">
        <v>171893.83000000002</v>
      </c>
      <c r="K60" s="390">
        <v>0</v>
      </c>
      <c r="L60" s="250">
        <f t="shared" si="1"/>
        <v>0</v>
      </c>
      <c r="M60" s="390">
        <v>1</v>
      </c>
      <c r="N60" s="279" t="s">
        <v>148</v>
      </c>
      <c r="O60" s="288" t="s">
        <v>999</v>
      </c>
      <c r="P60" s="288">
        <v>43076</v>
      </c>
      <c r="Q60" s="289">
        <v>43117</v>
      </c>
      <c r="R60" s="264" t="s">
        <v>254</v>
      </c>
      <c r="S60" s="278"/>
      <c r="T60" s="267" t="s">
        <v>27</v>
      </c>
      <c r="U60" s="529"/>
      <c r="V60" s="529"/>
    </row>
    <row r="61" spans="1:22" s="410" customFormat="1" ht="32.1" hidden="1" customHeight="1" outlineLevel="1" x14ac:dyDescent="0.25">
      <c r="A61" s="409" t="s">
        <v>208</v>
      </c>
      <c r="B61" s="445" t="s">
        <v>137</v>
      </c>
      <c r="C61" s="459" t="s">
        <v>583</v>
      </c>
      <c r="D61" s="398" t="s">
        <v>578</v>
      </c>
      <c r="E61" s="399" t="s">
        <v>208</v>
      </c>
      <c r="F61" s="400" t="s">
        <v>169</v>
      </c>
      <c r="G61" s="401" t="s">
        <v>36</v>
      </c>
      <c r="H61" s="401"/>
      <c r="I61" s="401"/>
      <c r="J61" s="402">
        <v>1257413.6099999999</v>
      </c>
      <c r="K61" s="403">
        <v>0.61127564033719273</v>
      </c>
      <c r="L61" s="402">
        <f t="shared" si="1"/>
        <v>768626.30962145107</v>
      </c>
      <c r="M61" s="403">
        <v>0.38872435943701711</v>
      </c>
      <c r="N61" s="400" t="s">
        <v>148</v>
      </c>
      <c r="O61" s="400" t="s">
        <v>18</v>
      </c>
      <c r="P61" s="405">
        <v>43228</v>
      </c>
      <c r="Q61" s="406">
        <v>43283</v>
      </c>
      <c r="R61" s="400"/>
      <c r="S61" s="401"/>
      <c r="T61" s="392" t="s">
        <v>24</v>
      </c>
    </row>
    <row r="62" spans="1:22" s="410" customFormat="1" ht="32.1" hidden="1" customHeight="1" outlineLevel="1" x14ac:dyDescent="0.25">
      <c r="A62" s="409" t="s">
        <v>211</v>
      </c>
      <c r="B62" s="445" t="s">
        <v>137</v>
      </c>
      <c r="C62" s="459" t="s">
        <v>584</v>
      </c>
      <c r="D62" s="398" t="s">
        <v>256</v>
      </c>
      <c r="E62" s="399" t="s">
        <v>211</v>
      </c>
      <c r="F62" s="400" t="s">
        <v>169</v>
      </c>
      <c r="G62" s="401" t="s">
        <v>36</v>
      </c>
      <c r="H62" s="401"/>
      <c r="I62" s="401"/>
      <c r="J62" s="402">
        <v>66937.63</v>
      </c>
      <c r="K62" s="403">
        <v>0</v>
      </c>
      <c r="L62" s="402">
        <f t="shared" si="1"/>
        <v>0</v>
      </c>
      <c r="M62" s="403">
        <v>1</v>
      </c>
      <c r="N62" s="400" t="s">
        <v>136</v>
      </c>
      <c r="O62" s="400" t="s">
        <v>18</v>
      </c>
      <c r="P62" s="405">
        <v>42258</v>
      </c>
      <c r="Q62" s="406">
        <v>42881</v>
      </c>
      <c r="R62" s="400" t="s">
        <v>254</v>
      </c>
      <c r="S62" s="401"/>
      <c r="T62" s="392" t="s">
        <v>24</v>
      </c>
    </row>
    <row r="63" spans="1:22" s="410" customFormat="1" ht="32.1" hidden="1" customHeight="1" outlineLevel="1" x14ac:dyDescent="0.25">
      <c r="A63" s="409" t="s">
        <v>215</v>
      </c>
      <c r="B63" s="445" t="s">
        <v>137</v>
      </c>
      <c r="C63" s="459" t="s">
        <v>585</v>
      </c>
      <c r="D63" s="398" t="s">
        <v>259</v>
      </c>
      <c r="E63" s="399" t="s">
        <v>215</v>
      </c>
      <c r="F63" s="400" t="s">
        <v>169</v>
      </c>
      <c r="G63" s="401" t="s">
        <v>36</v>
      </c>
      <c r="H63" s="401"/>
      <c r="I63" s="401"/>
      <c r="J63" s="402">
        <v>171977.89</v>
      </c>
      <c r="K63" s="403">
        <v>0</v>
      </c>
      <c r="L63" s="402">
        <f t="shared" si="1"/>
        <v>0</v>
      </c>
      <c r="M63" s="403">
        <v>1</v>
      </c>
      <c r="N63" s="400" t="s">
        <v>136</v>
      </c>
      <c r="O63" s="400" t="s">
        <v>18</v>
      </c>
      <c r="P63" s="405">
        <v>42451</v>
      </c>
      <c r="Q63" s="406">
        <v>42493</v>
      </c>
      <c r="R63" s="400" t="s">
        <v>254</v>
      </c>
      <c r="S63" s="401"/>
      <c r="T63" s="392" t="s">
        <v>24</v>
      </c>
    </row>
    <row r="64" spans="1:22" s="410" customFormat="1" ht="32.1" hidden="1" customHeight="1" outlineLevel="1" x14ac:dyDescent="0.25">
      <c r="A64" s="409" t="s">
        <v>223</v>
      </c>
      <c r="B64" s="445" t="s">
        <v>137</v>
      </c>
      <c r="C64" s="459" t="s">
        <v>586</v>
      </c>
      <c r="D64" s="398" t="s">
        <v>262</v>
      </c>
      <c r="E64" s="399" t="s">
        <v>223</v>
      </c>
      <c r="F64" s="400" t="s">
        <v>169</v>
      </c>
      <c r="G64" s="401" t="s">
        <v>36</v>
      </c>
      <c r="H64" s="401"/>
      <c r="I64" s="401"/>
      <c r="J64" s="402">
        <v>139365.6</v>
      </c>
      <c r="K64" s="403">
        <v>0</v>
      </c>
      <c r="L64" s="402">
        <f t="shared" si="1"/>
        <v>0</v>
      </c>
      <c r="M64" s="403">
        <v>1</v>
      </c>
      <c r="N64" s="400" t="s">
        <v>136</v>
      </c>
      <c r="O64" s="400" t="s">
        <v>18</v>
      </c>
      <c r="P64" s="405">
        <v>41534</v>
      </c>
      <c r="Q64" s="406">
        <v>41654</v>
      </c>
      <c r="R64" s="400" t="s">
        <v>254</v>
      </c>
      <c r="S64" s="401"/>
      <c r="T64" s="392" t="s">
        <v>24</v>
      </c>
    </row>
    <row r="65" spans="1:22" s="410" customFormat="1" ht="32.1" hidden="1" customHeight="1" outlineLevel="1" x14ac:dyDescent="0.25">
      <c r="A65" s="409" t="s">
        <v>238</v>
      </c>
      <c r="B65" s="445" t="s">
        <v>137</v>
      </c>
      <c r="C65" s="459" t="s">
        <v>587</v>
      </c>
      <c r="D65" s="398" t="s">
        <v>266</v>
      </c>
      <c r="E65" s="399" t="s">
        <v>238</v>
      </c>
      <c r="F65" s="400" t="s">
        <v>169</v>
      </c>
      <c r="G65" s="401" t="s">
        <v>36</v>
      </c>
      <c r="H65" s="401" t="s">
        <v>109</v>
      </c>
      <c r="I65" s="401" t="s">
        <v>109</v>
      </c>
      <c r="J65" s="402">
        <v>4738.92</v>
      </c>
      <c r="K65" s="403">
        <v>0</v>
      </c>
      <c r="L65" s="402">
        <f t="shared" si="1"/>
        <v>0</v>
      </c>
      <c r="M65" s="403">
        <v>1</v>
      </c>
      <c r="N65" s="400" t="s">
        <v>136</v>
      </c>
      <c r="O65" s="400" t="s">
        <v>18</v>
      </c>
      <c r="P65" s="405">
        <v>41689</v>
      </c>
      <c r="Q65" s="406">
        <v>42003</v>
      </c>
      <c r="R65" s="400" t="s">
        <v>254</v>
      </c>
      <c r="S65" s="401"/>
      <c r="T65" s="392" t="s">
        <v>24</v>
      </c>
    </row>
    <row r="66" spans="1:22" s="236" customFormat="1" ht="34.5" customHeight="1" outlineLevel="1" x14ac:dyDescent="0.25">
      <c r="A66" s="423" t="s">
        <v>264</v>
      </c>
      <c r="B66" s="446" t="s">
        <v>137</v>
      </c>
      <c r="C66" s="453" t="s">
        <v>588</v>
      </c>
      <c r="D66" s="246" t="s">
        <v>270</v>
      </c>
      <c r="E66" s="247" t="s">
        <v>264</v>
      </c>
      <c r="F66" s="251" t="s">
        <v>169</v>
      </c>
      <c r="G66" s="249" t="s">
        <v>36</v>
      </c>
      <c r="H66" s="249"/>
      <c r="I66" s="249"/>
      <c r="J66" s="250">
        <v>40717.129999999997</v>
      </c>
      <c r="K66" s="285">
        <v>0</v>
      </c>
      <c r="L66" s="250">
        <f t="shared" si="1"/>
        <v>0</v>
      </c>
      <c r="M66" s="285">
        <v>1</v>
      </c>
      <c r="N66" s="251" t="s">
        <v>136</v>
      </c>
      <c r="O66" s="288" t="s">
        <v>999</v>
      </c>
      <c r="P66" s="252">
        <v>43412</v>
      </c>
      <c r="Q66" s="253">
        <v>43467</v>
      </c>
      <c r="R66" s="290" t="s">
        <v>254</v>
      </c>
      <c r="S66" s="265"/>
      <c r="T66" s="255" t="s">
        <v>22</v>
      </c>
      <c r="U66" s="529"/>
      <c r="V66" s="529"/>
    </row>
    <row r="67" spans="1:22" s="410" customFormat="1" ht="32.1" hidden="1" customHeight="1" outlineLevel="1" x14ac:dyDescent="0.25">
      <c r="A67" s="409" t="s">
        <v>268</v>
      </c>
      <c r="B67" s="445" t="s">
        <v>137</v>
      </c>
      <c r="C67" s="459" t="s">
        <v>589</v>
      </c>
      <c r="D67" s="398" t="s">
        <v>274</v>
      </c>
      <c r="E67" s="399" t="s">
        <v>268</v>
      </c>
      <c r="F67" s="400" t="s">
        <v>169</v>
      </c>
      <c r="G67" s="401" t="s">
        <v>36</v>
      </c>
      <c r="H67" s="401"/>
      <c r="I67" s="401"/>
      <c r="J67" s="402">
        <v>9140.1</v>
      </c>
      <c r="K67" s="403">
        <v>0</v>
      </c>
      <c r="L67" s="402">
        <f t="shared" si="1"/>
        <v>0</v>
      </c>
      <c r="M67" s="403">
        <v>1</v>
      </c>
      <c r="N67" s="400" t="s">
        <v>136</v>
      </c>
      <c r="O67" s="400" t="s">
        <v>18</v>
      </c>
      <c r="P67" s="405">
        <v>41915</v>
      </c>
      <c r="Q67" s="406">
        <v>42117</v>
      </c>
      <c r="R67" s="400" t="s">
        <v>254</v>
      </c>
      <c r="S67" s="401"/>
      <c r="T67" s="392" t="s">
        <v>24</v>
      </c>
    </row>
    <row r="68" spans="1:22" s="410" customFormat="1" ht="31.5" hidden="1" outlineLevel="1" x14ac:dyDescent="0.25">
      <c r="A68" s="409" t="s">
        <v>272</v>
      </c>
      <c r="B68" s="457" t="s">
        <v>137</v>
      </c>
      <c r="C68" s="459" t="s">
        <v>590</v>
      </c>
      <c r="D68" s="414" t="s">
        <v>277</v>
      </c>
      <c r="E68" s="415" t="s">
        <v>272</v>
      </c>
      <c r="F68" s="400" t="s">
        <v>169</v>
      </c>
      <c r="G68" s="416" t="s">
        <v>36</v>
      </c>
      <c r="H68" s="416"/>
      <c r="I68" s="416"/>
      <c r="J68" s="402">
        <v>25968.46</v>
      </c>
      <c r="K68" s="403">
        <v>0.99999985787175161</v>
      </c>
      <c r="L68" s="402">
        <f t="shared" si="1"/>
        <v>25968.456309148267</v>
      </c>
      <c r="M68" s="403">
        <v>0</v>
      </c>
      <c r="N68" s="404" t="s">
        <v>136</v>
      </c>
      <c r="O68" s="400" t="s">
        <v>18</v>
      </c>
      <c r="P68" s="405">
        <v>43259</v>
      </c>
      <c r="Q68" s="406">
        <v>43314</v>
      </c>
      <c r="R68" s="419" t="s">
        <v>254</v>
      </c>
      <c r="S68" s="420"/>
      <c r="T68" s="421" t="s">
        <v>24</v>
      </c>
    </row>
    <row r="69" spans="1:22" s="236" customFormat="1" ht="31.5" outlineLevel="1" x14ac:dyDescent="0.25">
      <c r="A69" s="423" t="s">
        <v>275</v>
      </c>
      <c r="B69" s="446" t="s">
        <v>137</v>
      </c>
      <c r="C69" s="453" t="s">
        <v>591</v>
      </c>
      <c r="D69" s="246" t="s">
        <v>280</v>
      </c>
      <c r="E69" s="247" t="s">
        <v>275</v>
      </c>
      <c r="F69" s="251" t="s">
        <v>169</v>
      </c>
      <c r="G69" s="249" t="s">
        <v>36</v>
      </c>
      <c r="H69" s="249"/>
      <c r="I69" s="249"/>
      <c r="J69" s="250">
        <v>68926.2</v>
      </c>
      <c r="K69" s="285">
        <v>0</v>
      </c>
      <c r="L69" s="250">
        <f t="shared" si="1"/>
        <v>0</v>
      </c>
      <c r="M69" s="285">
        <v>1</v>
      </c>
      <c r="N69" s="251" t="s">
        <v>136</v>
      </c>
      <c r="O69" s="288" t="s">
        <v>999</v>
      </c>
      <c r="P69" s="252">
        <v>43440</v>
      </c>
      <c r="Q69" s="253">
        <v>43495</v>
      </c>
      <c r="R69" s="264" t="s">
        <v>254</v>
      </c>
      <c r="S69" s="265"/>
      <c r="T69" s="267" t="s">
        <v>21</v>
      </c>
      <c r="U69" s="529"/>
      <c r="V69" s="529"/>
    </row>
    <row r="70" spans="1:22" s="410" customFormat="1" ht="31.5" hidden="1" outlineLevel="1" x14ac:dyDescent="0.25">
      <c r="A70" s="409" t="s">
        <v>278</v>
      </c>
      <c r="B70" s="457" t="s">
        <v>137</v>
      </c>
      <c r="C70" s="459" t="s">
        <v>592</v>
      </c>
      <c r="D70" s="414" t="s">
        <v>593</v>
      </c>
      <c r="E70" s="415" t="s">
        <v>278</v>
      </c>
      <c r="F70" s="400" t="s">
        <v>169</v>
      </c>
      <c r="G70" s="422" t="s">
        <v>36</v>
      </c>
      <c r="H70" s="416"/>
      <c r="I70" s="416"/>
      <c r="J70" s="402">
        <v>9128.0831753690618</v>
      </c>
      <c r="K70" s="417">
        <v>0</v>
      </c>
      <c r="L70" s="402">
        <f t="shared" si="1"/>
        <v>0</v>
      </c>
      <c r="M70" s="417">
        <v>1</v>
      </c>
      <c r="N70" s="404" t="s">
        <v>136</v>
      </c>
      <c r="O70" s="404" t="s">
        <v>18</v>
      </c>
      <c r="P70" s="411"/>
      <c r="Q70" s="412"/>
      <c r="R70" s="419" t="s">
        <v>254</v>
      </c>
      <c r="S70" s="416"/>
      <c r="T70" s="421" t="s">
        <v>24</v>
      </c>
    </row>
    <row r="71" spans="1:22" s="236" customFormat="1" ht="32.1" customHeight="1" outlineLevel="1" x14ac:dyDescent="0.25">
      <c r="A71" s="243" t="s">
        <v>283</v>
      </c>
      <c r="B71" s="446" t="s">
        <v>137</v>
      </c>
      <c r="C71" s="453" t="s">
        <v>594</v>
      </c>
      <c r="D71" s="246" t="s">
        <v>595</v>
      </c>
      <c r="E71" s="247" t="s">
        <v>283</v>
      </c>
      <c r="F71" s="251" t="s">
        <v>315</v>
      </c>
      <c r="G71" s="249" t="s">
        <v>36</v>
      </c>
      <c r="H71" s="249"/>
      <c r="I71" s="249"/>
      <c r="J71" s="250">
        <v>172324.65</v>
      </c>
      <c r="K71" s="285">
        <v>0.24999998549249922</v>
      </c>
      <c r="L71" s="250">
        <f t="shared" si="1"/>
        <v>43081.16</v>
      </c>
      <c r="M71" s="285">
        <v>0.75000001450750087</v>
      </c>
      <c r="N71" s="251" t="s">
        <v>148</v>
      </c>
      <c r="O71" s="288" t="s">
        <v>999</v>
      </c>
      <c r="P71" s="252">
        <v>43777</v>
      </c>
      <c r="Q71" s="253">
        <v>43832</v>
      </c>
      <c r="R71" s="251" t="s">
        <v>51</v>
      </c>
      <c r="S71" s="249"/>
      <c r="T71" s="267" t="s">
        <v>21</v>
      </c>
      <c r="U71" s="529"/>
      <c r="V71" s="529"/>
    </row>
    <row r="72" spans="1:22" s="236" customFormat="1" ht="30" customHeight="1" outlineLevel="1" x14ac:dyDescent="0.25">
      <c r="A72" s="423" t="s">
        <v>596</v>
      </c>
      <c r="B72" s="446" t="s">
        <v>137</v>
      </c>
      <c r="C72" s="460" t="s">
        <v>597</v>
      </c>
      <c r="D72" s="246" t="s">
        <v>598</v>
      </c>
      <c r="E72" s="247" t="s">
        <v>596</v>
      </c>
      <c r="F72" s="251" t="s">
        <v>169</v>
      </c>
      <c r="G72" s="249" t="s">
        <v>36</v>
      </c>
      <c r="H72" s="249"/>
      <c r="I72" s="249"/>
      <c r="J72" s="250">
        <v>203914.77</v>
      </c>
      <c r="K72" s="285">
        <v>1</v>
      </c>
      <c r="L72" s="250">
        <f t="shared" si="1"/>
        <v>203914.77</v>
      </c>
      <c r="M72" s="285">
        <v>0</v>
      </c>
      <c r="N72" s="251" t="s">
        <v>140</v>
      </c>
      <c r="O72" s="288" t="s">
        <v>999</v>
      </c>
      <c r="P72" s="252">
        <v>43314</v>
      </c>
      <c r="Q72" s="253">
        <v>43344</v>
      </c>
      <c r="R72" s="254" t="s">
        <v>599</v>
      </c>
      <c r="S72" s="249"/>
      <c r="T72" s="255" t="s">
        <v>27</v>
      </c>
      <c r="U72" s="529"/>
      <c r="V72" s="529"/>
    </row>
    <row r="73" spans="1:22" s="410" customFormat="1" ht="31.5" hidden="1" outlineLevel="1" x14ac:dyDescent="0.25">
      <c r="A73" s="409" t="s">
        <v>600</v>
      </c>
      <c r="B73" s="445" t="s">
        <v>137</v>
      </c>
      <c r="C73" s="458" t="s">
        <v>601</v>
      </c>
      <c r="D73" s="398" t="s">
        <v>561</v>
      </c>
      <c r="E73" s="399"/>
      <c r="F73" s="400" t="s">
        <v>169</v>
      </c>
      <c r="G73" s="401" t="s">
        <v>36</v>
      </c>
      <c r="H73" s="401"/>
      <c r="I73" s="401"/>
      <c r="J73" s="402">
        <v>283.91000000000003</v>
      </c>
      <c r="K73" s="403">
        <v>1.0000000466066095</v>
      </c>
      <c r="L73" s="402">
        <f t="shared" si="1"/>
        <v>283.91001323208252</v>
      </c>
      <c r="M73" s="403">
        <v>0</v>
      </c>
      <c r="N73" s="400"/>
      <c r="O73" s="400" t="s">
        <v>18</v>
      </c>
      <c r="P73" s="405">
        <v>43532</v>
      </c>
      <c r="Q73" s="406">
        <v>43587</v>
      </c>
      <c r="R73" s="407" t="s">
        <v>254</v>
      </c>
      <c r="S73" s="401"/>
      <c r="T73" s="392" t="s">
        <v>24</v>
      </c>
    </row>
    <row r="74" spans="1:22" s="410" customFormat="1" ht="32.1" hidden="1" customHeight="1" outlineLevel="1" x14ac:dyDescent="0.25">
      <c r="A74" s="409" t="s">
        <v>602</v>
      </c>
      <c r="B74" s="445" t="s">
        <v>137</v>
      </c>
      <c r="C74" s="459" t="s">
        <v>603</v>
      </c>
      <c r="D74" s="398" t="s">
        <v>578</v>
      </c>
      <c r="E74" s="399" t="s">
        <v>136</v>
      </c>
      <c r="F74" s="400" t="s">
        <v>169</v>
      </c>
      <c r="G74" s="401" t="s">
        <v>36</v>
      </c>
      <c r="H74" s="401" t="s">
        <v>109</v>
      </c>
      <c r="I74" s="401"/>
      <c r="J74" s="402">
        <v>47318.61</v>
      </c>
      <c r="K74" s="403">
        <v>1</v>
      </c>
      <c r="L74" s="402">
        <f t="shared" si="1"/>
        <v>47318.61</v>
      </c>
      <c r="M74" s="403">
        <v>0</v>
      </c>
      <c r="N74" s="400" t="s">
        <v>140</v>
      </c>
      <c r="O74" s="400" t="s">
        <v>18</v>
      </c>
      <c r="P74" s="405">
        <v>43228</v>
      </c>
      <c r="Q74" s="406">
        <v>43283</v>
      </c>
      <c r="R74" s="400" t="s">
        <v>599</v>
      </c>
      <c r="S74" s="401"/>
      <c r="T74" s="392" t="s">
        <v>24</v>
      </c>
    </row>
    <row r="75" spans="1:22" s="410" customFormat="1" ht="32.1" hidden="1" customHeight="1" outlineLevel="1" x14ac:dyDescent="0.25">
      <c r="A75" s="409" t="s">
        <v>527</v>
      </c>
      <c r="B75" s="445" t="s">
        <v>137</v>
      </c>
      <c r="C75" s="459" t="s">
        <v>525</v>
      </c>
      <c r="D75" s="398" t="s">
        <v>526</v>
      </c>
      <c r="E75" s="399" t="s">
        <v>527</v>
      </c>
      <c r="F75" s="400" t="s">
        <v>169</v>
      </c>
      <c r="G75" s="401" t="s">
        <v>36</v>
      </c>
      <c r="H75" s="401"/>
      <c r="I75" s="401"/>
      <c r="J75" s="402">
        <v>850134.98</v>
      </c>
      <c r="K75" s="403">
        <v>1</v>
      </c>
      <c r="L75" s="402">
        <f t="shared" si="1"/>
        <v>850134.98</v>
      </c>
      <c r="M75" s="403">
        <v>0</v>
      </c>
      <c r="N75" s="400" t="s">
        <v>140</v>
      </c>
      <c r="O75" s="400" t="s">
        <v>18</v>
      </c>
      <c r="P75" s="405">
        <v>43381</v>
      </c>
      <c r="Q75" s="406">
        <v>43436</v>
      </c>
      <c r="R75" s="400" t="s">
        <v>599</v>
      </c>
      <c r="S75" s="401"/>
      <c r="T75" s="392" t="s">
        <v>24</v>
      </c>
    </row>
    <row r="76" spans="1:22" s="410" customFormat="1" ht="32.1" hidden="1" customHeight="1" outlineLevel="1" x14ac:dyDescent="0.25">
      <c r="A76" s="409" t="s">
        <v>604</v>
      </c>
      <c r="B76" s="445" t="s">
        <v>137</v>
      </c>
      <c r="C76" s="459" t="s">
        <v>605</v>
      </c>
      <c r="D76" s="398" t="s">
        <v>606</v>
      </c>
      <c r="E76" s="399" t="s">
        <v>263</v>
      </c>
      <c r="F76" s="400" t="s">
        <v>607</v>
      </c>
      <c r="G76" s="401" t="s">
        <v>36</v>
      </c>
      <c r="H76" s="401"/>
      <c r="I76" s="401"/>
      <c r="J76" s="402">
        <v>34464.93</v>
      </c>
      <c r="K76" s="403">
        <v>0</v>
      </c>
      <c r="L76" s="402">
        <f t="shared" si="1"/>
        <v>0</v>
      </c>
      <c r="M76" s="403">
        <v>1</v>
      </c>
      <c r="N76" s="400" t="s">
        <v>148</v>
      </c>
      <c r="O76" s="400" t="s">
        <v>18</v>
      </c>
      <c r="P76" s="405">
        <v>43467</v>
      </c>
      <c r="Q76" s="406">
        <v>43617</v>
      </c>
      <c r="R76" s="400" t="s">
        <v>608</v>
      </c>
      <c r="S76" s="401"/>
      <c r="T76" s="392" t="s">
        <v>24</v>
      </c>
    </row>
    <row r="77" spans="1:22" s="511" customFormat="1" ht="32.1" hidden="1" customHeight="1" outlineLevel="1" x14ac:dyDescent="0.25">
      <c r="A77" s="499" t="s">
        <v>609</v>
      </c>
      <c r="B77" s="500" t="s">
        <v>137</v>
      </c>
      <c r="C77" s="501" t="s">
        <v>610</v>
      </c>
      <c r="D77" s="502" t="s">
        <v>611</v>
      </c>
      <c r="E77" s="503" t="s">
        <v>278</v>
      </c>
      <c r="F77" s="504" t="s">
        <v>169</v>
      </c>
      <c r="G77" s="505" t="s">
        <v>36</v>
      </c>
      <c r="H77" s="505"/>
      <c r="I77" s="505"/>
      <c r="J77" s="506">
        <v>3741.98</v>
      </c>
      <c r="K77" s="507">
        <v>0</v>
      </c>
      <c r="L77" s="506">
        <f t="shared" si="1"/>
        <v>0</v>
      </c>
      <c r="M77" s="507">
        <v>1</v>
      </c>
      <c r="N77" s="504" t="s">
        <v>136</v>
      </c>
      <c r="O77" s="504" t="s">
        <v>18</v>
      </c>
      <c r="P77" s="508">
        <v>43027</v>
      </c>
      <c r="Q77" s="509">
        <v>43277</v>
      </c>
      <c r="R77" s="504" t="s">
        <v>254</v>
      </c>
      <c r="S77" s="505"/>
      <c r="T77" s="510" t="s">
        <v>24</v>
      </c>
    </row>
    <row r="78" spans="1:22" s="511" customFormat="1" ht="32.1" hidden="1" customHeight="1" outlineLevel="1" x14ac:dyDescent="0.25">
      <c r="A78" s="499" t="s">
        <v>612</v>
      </c>
      <c r="B78" s="500" t="s">
        <v>137</v>
      </c>
      <c r="C78" s="501" t="s">
        <v>613</v>
      </c>
      <c r="D78" s="502" t="s">
        <v>614</v>
      </c>
      <c r="E78" s="503" t="s">
        <v>278</v>
      </c>
      <c r="F78" s="504" t="s">
        <v>169</v>
      </c>
      <c r="G78" s="505" t="s">
        <v>36</v>
      </c>
      <c r="H78" s="505"/>
      <c r="I78" s="505"/>
      <c r="J78" s="506">
        <v>4364.07</v>
      </c>
      <c r="K78" s="507">
        <v>0</v>
      </c>
      <c r="L78" s="506">
        <f t="shared" si="1"/>
        <v>0</v>
      </c>
      <c r="M78" s="507">
        <v>1</v>
      </c>
      <c r="N78" s="504" t="s">
        <v>136</v>
      </c>
      <c r="O78" s="504" t="s">
        <v>18</v>
      </c>
      <c r="P78" s="508">
        <v>42549</v>
      </c>
      <c r="Q78" s="509">
        <v>42618</v>
      </c>
      <c r="R78" s="504" t="s">
        <v>254</v>
      </c>
      <c r="S78" s="505"/>
      <c r="T78" s="510" t="s">
        <v>24</v>
      </c>
    </row>
    <row r="79" spans="1:22" s="511" customFormat="1" ht="32.1" hidden="1" customHeight="1" outlineLevel="1" x14ac:dyDescent="0.25">
      <c r="A79" s="499" t="s">
        <v>615</v>
      </c>
      <c r="B79" s="500" t="s">
        <v>137</v>
      </c>
      <c r="C79" s="501" t="s">
        <v>616</v>
      </c>
      <c r="D79" s="502" t="s">
        <v>617</v>
      </c>
      <c r="E79" s="503" t="s">
        <v>278</v>
      </c>
      <c r="F79" s="504" t="s">
        <v>169</v>
      </c>
      <c r="G79" s="505" t="s">
        <v>36</v>
      </c>
      <c r="H79" s="505"/>
      <c r="I79" s="505"/>
      <c r="J79" s="506">
        <v>928.04</v>
      </c>
      <c r="K79" s="507">
        <v>0</v>
      </c>
      <c r="L79" s="506">
        <f t="shared" si="1"/>
        <v>0</v>
      </c>
      <c r="M79" s="507">
        <v>1</v>
      </c>
      <c r="N79" s="504" t="s">
        <v>136</v>
      </c>
      <c r="O79" s="504" t="s">
        <v>18</v>
      </c>
      <c r="P79" s="508">
        <v>43027</v>
      </c>
      <c r="Q79" s="509">
        <v>43277</v>
      </c>
      <c r="R79" s="504" t="s">
        <v>254</v>
      </c>
      <c r="S79" s="505"/>
      <c r="T79" s="510" t="s">
        <v>24</v>
      </c>
    </row>
    <row r="80" spans="1:22" s="236" customFormat="1" ht="31.5" outlineLevel="1" x14ac:dyDescent="0.25">
      <c r="A80" s="243" t="s">
        <v>618</v>
      </c>
      <c r="B80" s="446" t="s">
        <v>137</v>
      </c>
      <c r="C80" s="453" t="s">
        <v>586</v>
      </c>
      <c r="D80" s="246" t="s">
        <v>262</v>
      </c>
      <c r="E80" s="247"/>
      <c r="F80" s="251" t="s">
        <v>169</v>
      </c>
      <c r="G80" s="249" t="s">
        <v>36</v>
      </c>
      <c r="H80" s="249"/>
      <c r="I80" s="249"/>
      <c r="J80" s="250">
        <v>701161.15</v>
      </c>
      <c r="K80" s="285">
        <v>0.65767690320385408</v>
      </c>
      <c r="L80" s="250">
        <f t="shared" si="1"/>
        <v>461137.49377885304</v>
      </c>
      <c r="M80" s="285">
        <v>0.34232308489884472</v>
      </c>
      <c r="N80" s="251" t="s">
        <v>136</v>
      </c>
      <c r="O80" s="288" t="s">
        <v>999</v>
      </c>
      <c r="P80" s="252">
        <v>43435</v>
      </c>
      <c r="Q80" s="253">
        <v>43495</v>
      </c>
      <c r="R80" s="264" t="s">
        <v>254</v>
      </c>
      <c r="S80" s="264"/>
      <c r="T80" s="267" t="s">
        <v>21</v>
      </c>
      <c r="U80" s="529"/>
      <c r="V80" s="529"/>
    </row>
    <row r="81" spans="1:22" s="236" customFormat="1" ht="31.5" outlineLevel="1" x14ac:dyDescent="0.25">
      <c r="A81" s="243" t="s">
        <v>619</v>
      </c>
      <c r="B81" s="446" t="s">
        <v>137</v>
      </c>
      <c r="C81" s="453" t="s">
        <v>620</v>
      </c>
      <c r="D81" s="246" t="s">
        <v>266</v>
      </c>
      <c r="E81" s="247"/>
      <c r="F81" s="251" t="s">
        <v>169</v>
      </c>
      <c r="G81" s="249" t="s">
        <v>36</v>
      </c>
      <c r="H81" s="249"/>
      <c r="I81" s="249"/>
      <c r="J81" s="250">
        <v>131465.12</v>
      </c>
      <c r="K81" s="285">
        <v>0.49211256876080911</v>
      </c>
      <c r="L81" s="250">
        <f t="shared" si="1"/>
        <v>64695.637905648022</v>
      </c>
      <c r="M81" s="285">
        <v>0.50788735781992955</v>
      </c>
      <c r="N81" s="251" t="s">
        <v>136</v>
      </c>
      <c r="O81" s="288" t="s">
        <v>999</v>
      </c>
      <c r="P81" s="252">
        <v>43245</v>
      </c>
      <c r="Q81" s="253">
        <v>43375</v>
      </c>
      <c r="R81" s="264" t="s">
        <v>254</v>
      </c>
      <c r="S81" s="264"/>
      <c r="T81" s="255" t="s">
        <v>22</v>
      </c>
      <c r="U81" s="529"/>
      <c r="V81" s="529"/>
    </row>
    <row r="82" spans="1:22" s="236" customFormat="1" ht="31.5" outlineLevel="1" x14ac:dyDescent="0.25">
      <c r="A82" s="243" t="s">
        <v>621</v>
      </c>
      <c r="B82" s="446" t="s">
        <v>137</v>
      </c>
      <c r="C82" s="460" t="s">
        <v>529</v>
      </c>
      <c r="D82" s="246" t="s">
        <v>532</v>
      </c>
      <c r="E82" s="247" t="s">
        <v>140</v>
      </c>
      <c r="F82" s="251" t="s">
        <v>533</v>
      </c>
      <c r="G82" s="249" t="s">
        <v>36</v>
      </c>
      <c r="H82" s="249"/>
      <c r="I82" s="249"/>
      <c r="J82" s="250">
        <v>95928.893101269452</v>
      </c>
      <c r="K82" s="285">
        <v>1</v>
      </c>
      <c r="L82" s="250">
        <f t="shared" si="1"/>
        <v>95928.893101269452</v>
      </c>
      <c r="M82" s="285">
        <v>0</v>
      </c>
      <c r="N82" s="251" t="s">
        <v>148</v>
      </c>
      <c r="O82" s="288" t="s">
        <v>999</v>
      </c>
      <c r="P82" s="252">
        <v>43468</v>
      </c>
      <c r="Q82" s="253">
        <v>43528</v>
      </c>
      <c r="R82" s="254" t="s">
        <v>254</v>
      </c>
      <c r="S82" s="249"/>
      <c r="T82" s="255" t="s">
        <v>21</v>
      </c>
      <c r="U82" s="529"/>
      <c r="V82" s="529"/>
    </row>
    <row r="83" spans="1:22" s="410" customFormat="1" ht="31.5" hidden="1" outlineLevel="1" x14ac:dyDescent="0.25">
      <c r="A83" s="409" t="s">
        <v>622</v>
      </c>
      <c r="B83" s="396" t="s">
        <v>137</v>
      </c>
      <c r="C83" s="422" t="s">
        <v>623</v>
      </c>
      <c r="D83" s="414" t="s">
        <v>624</v>
      </c>
      <c r="E83" s="399"/>
      <c r="F83" s="400" t="s">
        <v>169</v>
      </c>
      <c r="G83" s="401" t="s">
        <v>36</v>
      </c>
      <c r="H83" s="401"/>
      <c r="I83" s="401"/>
      <c r="J83" s="402">
        <v>804924.8</v>
      </c>
      <c r="K83" s="403">
        <v>0</v>
      </c>
      <c r="L83" s="402">
        <v>0</v>
      </c>
      <c r="M83" s="403">
        <v>0.99999997515295835</v>
      </c>
      <c r="N83" s="400" t="s">
        <v>141</v>
      </c>
      <c r="O83" s="400" t="s">
        <v>18</v>
      </c>
      <c r="P83" s="405">
        <v>43559</v>
      </c>
      <c r="Q83" s="406">
        <v>43679</v>
      </c>
      <c r="R83" s="407" t="s">
        <v>625</v>
      </c>
      <c r="S83" s="401"/>
      <c r="T83" s="392" t="s">
        <v>24</v>
      </c>
    </row>
    <row r="84" spans="1:22" s="410" customFormat="1" ht="32.1" hidden="1" customHeight="1" outlineLevel="1" x14ac:dyDescent="0.25">
      <c r="A84" s="409" t="s">
        <v>626</v>
      </c>
      <c r="B84" s="445" t="s">
        <v>137</v>
      </c>
      <c r="C84" s="459" t="s">
        <v>627</v>
      </c>
      <c r="D84" s="398" t="s">
        <v>628</v>
      </c>
      <c r="E84" s="399"/>
      <c r="F84" s="400" t="s">
        <v>169</v>
      </c>
      <c r="G84" s="401" t="s">
        <v>36</v>
      </c>
      <c r="H84" s="401"/>
      <c r="I84" s="401"/>
      <c r="J84" s="402"/>
      <c r="K84" s="403" t="e">
        <v>#N/A</v>
      </c>
      <c r="L84" s="402"/>
      <c r="M84" s="403" t="e">
        <v>#N/A</v>
      </c>
      <c r="N84" s="400" t="s">
        <v>140</v>
      </c>
      <c r="O84" s="400" t="s">
        <v>18</v>
      </c>
      <c r="P84" s="405">
        <v>43588</v>
      </c>
      <c r="Q84" s="406">
        <v>43648</v>
      </c>
      <c r="R84" s="400" t="s">
        <v>254</v>
      </c>
      <c r="S84" s="401"/>
      <c r="T84" s="392" t="s">
        <v>24</v>
      </c>
    </row>
    <row r="85" spans="1:22" s="410" customFormat="1" ht="47.25" hidden="1" outlineLevel="1" x14ac:dyDescent="0.25">
      <c r="A85" s="409" t="s">
        <v>629</v>
      </c>
      <c r="B85" s="457" t="s">
        <v>137</v>
      </c>
      <c r="C85" s="459" t="s">
        <v>630</v>
      </c>
      <c r="D85" s="414" t="s">
        <v>318</v>
      </c>
      <c r="E85" s="415"/>
      <c r="F85" s="400" t="s">
        <v>169</v>
      </c>
      <c r="G85" s="416" t="s">
        <v>34</v>
      </c>
      <c r="H85" s="416"/>
      <c r="I85" s="416"/>
      <c r="J85" s="402">
        <v>86162.329829398586</v>
      </c>
      <c r="K85" s="403">
        <v>0.9</v>
      </c>
      <c r="L85" s="402">
        <v>77546.096846458735</v>
      </c>
      <c r="M85" s="403">
        <v>0.1</v>
      </c>
      <c r="N85" s="404" t="s">
        <v>145</v>
      </c>
      <c r="O85" s="400" t="s">
        <v>18</v>
      </c>
      <c r="P85" s="405">
        <v>43401</v>
      </c>
      <c r="Q85" s="406">
        <v>43467</v>
      </c>
      <c r="R85" s="419"/>
      <c r="S85" s="420"/>
      <c r="T85" s="421" t="s">
        <v>24</v>
      </c>
    </row>
    <row r="86" spans="1:22" s="321" customFormat="1" ht="30" customHeight="1" collapsed="1" x14ac:dyDescent="0.25">
      <c r="A86" s="424"/>
      <c r="B86" s="311"/>
      <c r="C86" s="312"/>
      <c r="D86" s="312"/>
      <c r="E86" s="312"/>
      <c r="F86" s="312"/>
      <c r="G86" s="313"/>
      <c r="H86" s="314"/>
      <c r="I86" s="315" t="s">
        <v>631</v>
      </c>
      <c r="J86" s="316">
        <f>SUBTOTAL(9,J59:J82)</f>
        <v>2261269.9731012695</v>
      </c>
      <c r="K86" s="317"/>
      <c r="L86" s="316">
        <v>2565366.8799477285</v>
      </c>
      <c r="M86" s="318"/>
      <c r="N86" s="312"/>
      <c r="O86" s="312"/>
      <c r="P86" s="312"/>
      <c r="Q86" s="312"/>
      <c r="R86" s="312"/>
      <c r="S86" s="312"/>
      <c r="T86" s="319"/>
      <c r="U86" s="529"/>
      <c r="V86" s="529"/>
    </row>
    <row r="87" spans="1:22" ht="11.1" customHeight="1" x14ac:dyDescent="0.25">
      <c r="G87" s="432" t="s">
        <v>632</v>
      </c>
      <c r="U87" s="529"/>
      <c r="V87" s="529"/>
    </row>
    <row r="88" spans="1:22" s="320" customFormat="1" ht="24.95" customHeight="1" x14ac:dyDescent="0.25">
      <c r="A88" s="672">
        <v>4</v>
      </c>
      <c r="B88" s="324" t="s">
        <v>288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3"/>
      <c r="R88" s="322"/>
      <c r="S88" s="322"/>
      <c r="T88" s="323"/>
      <c r="U88" s="529"/>
      <c r="V88" s="529"/>
    </row>
    <row r="89" spans="1:22" ht="20.25" customHeight="1" x14ac:dyDescent="0.25">
      <c r="A89" s="672"/>
      <c r="B89" s="654" t="s">
        <v>189</v>
      </c>
      <c r="C89" s="654" t="s">
        <v>10</v>
      </c>
      <c r="D89" s="654" t="s">
        <v>494</v>
      </c>
      <c r="E89" s="654" t="s">
        <v>119</v>
      </c>
      <c r="F89" s="654" t="s">
        <v>120</v>
      </c>
      <c r="G89" s="654" t="s">
        <v>495</v>
      </c>
      <c r="H89" s="658" t="s">
        <v>289</v>
      </c>
      <c r="I89" s="659"/>
      <c r="J89" s="655" t="s">
        <v>190</v>
      </c>
      <c r="K89" s="655"/>
      <c r="L89" s="655"/>
      <c r="M89" s="655"/>
      <c r="N89" s="651" t="s">
        <v>191</v>
      </c>
      <c r="O89" s="651" t="s">
        <v>192</v>
      </c>
      <c r="P89" s="651" t="s">
        <v>193</v>
      </c>
      <c r="Q89" s="651"/>
      <c r="R89" s="657" t="s">
        <v>128</v>
      </c>
      <c r="S89" s="651" t="s">
        <v>129</v>
      </c>
      <c r="T89" s="651" t="s">
        <v>20</v>
      </c>
      <c r="U89" s="529"/>
      <c r="V89" s="529"/>
    </row>
    <row r="90" spans="1:22" ht="42" customHeight="1" x14ac:dyDescent="0.25">
      <c r="A90" s="672"/>
      <c r="B90" s="654"/>
      <c r="C90" s="654"/>
      <c r="D90" s="654"/>
      <c r="E90" s="654"/>
      <c r="F90" s="654"/>
      <c r="G90" s="654"/>
      <c r="H90" s="660"/>
      <c r="I90" s="661"/>
      <c r="J90" s="566" t="s">
        <v>130</v>
      </c>
      <c r="K90" s="242" t="s">
        <v>131</v>
      </c>
      <c r="L90" s="567" t="s">
        <v>132</v>
      </c>
      <c r="M90" s="567" t="s">
        <v>133</v>
      </c>
      <c r="N90" s="651"/>
      <c r="O90" s="651"/>
      <c r="P90" s="566" t="s">
        <v>290</v>
      </c>
      <c r="Q90" s="566" t="s">
        <v>135</v>
      </c>
      <c r="R90" s="657"/>
      <c r="S90" s="651"/>
      <c r="T90" s="651"/>
      <c r="U90" s="529"/>
      <c r="V90" s="529"/>
    </row>
    <row r="91" spans="1:22" s="410" customFormat="1" ht="31.5" hidden="1" outlineLevel="1" x14ac:dyDescent="0.25">
      <c r="A91" s="409" t="s">
        <v>257</v>
      </c>
      <c r="B91" s="396" t="s">
        <v>137</v>
      </c>
      <c r="C91" s="422" t="s">
        <v>633</v>
      </c>
      <c r="D91" s="398" t="s">
        <v>295</v>
      </c>
      <c r="E91" s="399" t="s">
        <v>257</v>
      </c>
      <c r="F91" s="400" t="s">
        <v>296</v>
      </c>
      <c r="G91" s="422" t="s">
        <v>297</v>
      </c>
      <c r="H91" s="401"/>
      <c r="I91" s="401"/>
      <c r="J91" s="402">
        <v>220820.2</v>
      </c>
      <c r="K91" s="403">
        <v>0.25122498779764346</v>
      </c>
      <c r="L91" s="402">
        <v>55475.55205047319</v>
      </c>
      <c r="M91" s="403">
        <v>0.74877496363093032</v>
      </c>
      <c r="N91" s="427" t="s">
        <v>243</v>
      </c>
      <c r="O91" s="400" t="s">
        <v>18</v>
      </c>
      <c r="P91" s="405">
        <v>43322</v>
      </c>
      <c r="Q91" s="406">
        <v>43436</v>
      </c>
      <c r="R91" s="430"/>
      <c r="S91" s="404"/>
      <c r="T91" s="392" t="s">
        <v>24</v>
      </c>
    </row>
    <row r="92" spans="1:22" s="410" customFormat="1" ht="31.5" hidden="1" outlineLevel="1" x14ac:dyDescent="0.25">
      <c r="A92" s="409" t="s">
        <v>260</v>
      </c>
      <c r="B92" s="396" t="s">
        <v>137</v>
      </c>
      <c r="C92" s="422" t="s">
        <v>634</v>
      </c>
      <c r="D92" s="398" t="s">
        <v>635</v>
      </c>
      <c r="E92" s="399" t="s">
        <v>260</v>
      </c>
      <c r="F92" s="400" t="s">
        <v>169</v>
      </c>
      <c r="G92" s="422" t="s">
        <v>297</v>
      </c>
      <c r="H92" s="401"/>
      <c r="I92" s="401"/>
      <c r="J92" s="402">
        <v>255614.91</v>
      </c>
      <c r="K92" s="403">
        <v>0.99999988263595418</v>
      </c>
      <c r="L92" s="402">
        <v>255614.88</v>
      </c>
      <c r="M92" s="403">
        <v>0</v>
      </c>
      <c r="N92" s="427" t="s">
        <v>145</v>
      </c>
      <c r="O92" s="400" t="s">
        <v>19</v>
      </c>
      <c r="P92" s="405">
        <v>43230</v>
      </c>
      <c r="Q92" s="406">
        <v>43497</v>
      </c>
      <c r="R92" s="430"/>
      <c r="S92" s="404"/>
      <c r="T92" s="392" t="s">
        <v>24</v>
      </c>
    </row>
    <row r="93" spans="1:22" s="410" customFormat="1" ht="47.25" hidden="1" outlineLevel="1" x14ac:dyDescent="0.25">
      <c r="A93" s="409" t="s">
        <v>263</v>
      </c>
      <c r="B93" s="413" t="s">
        <v>137</v>
      </c>
      <c r="C93" s="422" t="s">
        <v>636</v>
      </c>
      <c r="D93" s="414" t="s">
        <v>637</v>
      </c>
      <c r="E93" s="399" t="s">
        <v>263</v>
      </c>
      <c r="F93" s="400" t="s">
        <v>305</v>
      </c>
      <c r="G93" s="401" t="s">
        <v>36</v>
      </c>
      <c r="H93" s="416"/>
      <c r="I93" s="416"/>
      <c r="J93" s="402">
        <v>25236.59</v>
      </c>
      <c r="K93" s="403">
        <v>0</v>
      </c>
      <c r="L93" s="402">
        <v>0</v>
      </c>
      <c r="M93" s="403">
        <v>1</v>
      </c>
      <c r="N93" s="400"/>
      <c r="O93" s="404" t="s">
        <v>18</v>
      </c>
      <c r="P93" s="405">
        <v>43259</v>
      </c>
      <c r="Q93" s="406">
        <v>43314</v>
      </c>
      <c r="R93" s="418" t="s">
        <v>55</v>
      </c>
      <c r="S93" s="416"/>
      <c r="T93" s="392" t="s">
        <v>24</v>
      </c>
    </row>
    <row r="94" spans="1:22" s="236" customFormat="1" ht="47.25" outlineLevel="1" x14ac:dyDescent="0.25">
      <c r="A94" s="243" t="s">
        <v>267</v>
      </c>
      <c r="B94" s="275" t="s">
        <v>137</v>
      </c>
      <c r="C94" s="245" t="s">
        <v>638</v>
      </c>
      <c r="D94" s="287" t="s">
        <v>639</v>
      </c>
      <c r="E94" s="247" t="s">
        <v>267</v>
      </c>
      <c r="F94" s="251" t="s">
        <v>308</v>
      </c>
      <c r="G94" s="249" t="s">
        <v>297</v>
      </c>
      <c r="H94" s="278"/>
      <c r="I94" s="278"/>
      <c r="J94" s="250">
        <v>546269.17000000004</v>
      </c>
      <c r="K94" s="390">
        <v>0.29999997986340687</v>
      </c>
      <c r="L94" s="250">
        <f t="shared" ref="L94:L137" si="2">K94*J94</f>
        <v>163880.74</v>
      </c>
      <c r="M94" s="390">
        <v>0.69999996521861185</v>
      </c>
      <c r="N94" s="251" t="s">
        <v>148</v>
      </c>
      <c r="O94" s="279" t="s">
        <v>18</v>
      </c>
      <c r="P94" s="252">
        <v>43560</v>
      </c>
      <c r="Q94" s="253">
        <v>43679</v>
      </c>
      <c r="R94" s="362"/>
      <c r="S94" s="278"/>
      <c r="T94" s="267" t="s">
        <v>21</v>
      </c>
      <c r="U94" s="529"/>
      <c r="V94" s="529"/>
    </row>
    <row r="95" spans="1:22" s="236" customFormat="1" ht="31.5" outlineLevel="1" x14ac:dyDescent="0.25">
      <c r="A95" s="243" t="s">
        <v>271</v>
      </c>
      <c r="B95" s="275" t="s">
        <v>137</v>
      </c>
      <c r="C95" s="245" t="s">
        <v>640</v>
      </c>
      <c r="D95" s="287" t="s">
        <v>641</v>
      </c>
      <c r="E95" s="247" t="s">
        <v>271</v>
      </c>
      <c r="F95" s="251" t="s">
        <v>315</v>
      </c>
      <c r="G95" s="249" t="s">
        <v>297</v>
      </c>
      <c r="H95" s="278"/>
      <c r="I95" s="431"/>
      <c r="J95" s="250">
        <v>1896647.1</v>
      </c>
      <c r="K95" s="390">
        <v>0.5044479228634573</v>
      </c>
      <c r="L95" s="250">
        <f t="shared" si="2"/>
        <v>956759.69000000006</v>
      </c>
      <c r="M95" s="390">
        <v>0.49555207186408057</v>
      </c>
      <c r="N95" s="251" t="s">
        <v>148</v>
      </c>
      <c r="O95" s="279" t="s">
        <v>19</v>
      </c>
      <c r="P95" s="288">
        <v>43225</v>
      </c>
      <c r="Q95" s="289">
        <v>43556</v>
      </c>
      <c r="R95" s="362" t="s">
        <v>109</v>
      </c>
      <c r="S95" s="278"/>
      <c r="T95" s="255" t="s">
        <v>22</v>
      </c>
      <c r="U95" s="529"/>
      <c r="V95" s="529"/>
    </row>
    <row r="96" spans="1:22" s="236" customFormat="1" ht="31.5" outlineLevel="1" x14ac:dyDescent="0.25">
      <c r="A96" s="243" t="s">
        <v>281</v>
      </c>
      <c r="B96" s="244" t="s">
        <v>137</v>
      </c>
      <c r="C96" s="245" t="s">
        <v>317</v>
      </c>
      <c r="D96" s="246" t="s">
        <v>642</v>
      </c>
      <c r="E96" s="247" t="s">
        <v>281</v>
      </c>
      <c r="F96" s="251" t="s">
        <v>169</v>
      </c>
      <c r="G96" s="245" t="s">
        <v>297</v>
      </c>
      <c r="H96" s="249"/>
      <c r="I96" s="249"/>
      <c r="J96" s="250">
        <v>370498.01</v>
      </c>
      <c r="K96" s="285">
        <v>1</v>
      </c>
      <c r="L96" s="250">
        <f t="shared" si="2"/>
        <v>370498.01</v>
      </c>
      <c r="M96" s="285">
        <v>0</v>
      </c>
      <c r="N96" s="259" t="s">
        <v>145</v>
      </c>
      <c r="O96" s="251" t="s">
        <v>18</v>
      </c>
      <c r="P96" s="252">
        <v>43560</v>
      </c>
      <c r="Q96" s="253">
        <v>43679</v>
      </c>
      <c r="R96" s="291"/>
      <c r="S96" s="249"/>
      <c r="T96" s="255" t="s">
        <v>21</v>
      </c>
      <c r="U96" s="529"/>
      <c r="V96" s="529"/>
    </row>
    <row r="97" spans="1:22" s="236" customFormat="1" ht="36.75" customHeight="1" outlineLevel="1" x14ac:dyDescent="0.25">
      <c r="A97" s="243" t="s">
        <v>286</v>
      </c>
      <c r="B97" s="244" t="s">
        <v>137</v>
      </c>
      <c r="C97" s="245" t="s">
        <v>643</v>
      </c>
      <c r="D97" s="246" t="s">
        <v>644</v>
      </c>
      <c r="E97" s="247" t="s">
        <v>286</v>
      </c>
      <c r="F97" s="251" t="s">
        <v>645</v>
      </c>
      <c r="G97" s="249" t="s">
        <v>36</v>
      </c>
      <c r="H97" s="249"/>
      <c r="I97" s="475"/>
      <c r="J97" s="250">
        <v>109253.83</v>
      </c>
      <c r="K97" s="285">
        <v>0</v>
      </c>
      <c r="L97" s="250">
        <f t="shared" si="2"/>
        <v>0</v>
      </c>
      <c r="M97" s="285">
        <v>1</v>
      </c>
      <c r="N97" s="251" t="s">
        <v>148</v>
      </c>
      <c r="O97" s="288" t="s">
        <v>999</v>
      </c>
      <c r="P97" s="252">
        <v>43763</v>
      </c>
      <c r="Q97" s="253">
        <v>43892</v>
      </c>
      <c r="R97" s="254" t="s">
        <v>608</v>
      </c>
      <c r="S97" s="249"/>
      <c r="T97" s="255" t="s">
        <v>21</v>
      </c>
      <c r="U97" s="529"/>
      <c r="V97" s="529"/>
    </row>
    <row r="98" spans="1:22" s="410" customFormat="1" ht="31.5" hidden="1" outlineLevel="1" x14ac:dyDescent="0.25">
      <c r="A98" s="409" t="s">
        <v>312</v>
      </c>
      <c r="B98" s="396" t="s">
        <v>137</v>
      </c>
      <c r="C98" s="422" t="s">
        <v>646</v>
      </c>
      <c r="D98" s="398" t="s">
        <v>647</v>
      </c>
      <c r="E98" s="399" t="s">
        <v>312</v>
      </c>
      <c r="F98" s="400" t="s">
        <v>568</v>
      </c>
      <c r="G98" s="401" t="s">
        <v>297</v>
      </c>
      <c r="H98" s="401"/>
      <c r="I98" s="401"/>
      <c r="J98" s="402">
        <v>504731.86</v>
      </c>
      <c r="K98" s="403">
        <v>0.80000000071249999</v>
      </c>
      <c r="L98" s="402">
        <f t="shared" si="2"/>
        <v>403785.48835962143</v>
      </c>
      <c r="M98" s="403">
        <v>0.20000000047500002</v>
      </c>
      <c r="N98" s="400" t="s">
        <v>148</v>
      </c>
      <c r="O98" s="400" t="s">
        <v>18</v>
      </c>
      <c r="P98" s="405">
        <v>43191</v>
      </c>
      <c r="Q98" s="406">
        <v>43344</v>
      </c>
      <c r="R98" s="407"/>
      <c r="S98" s="401" t="s">
        <v>109</v>
      </c>
      <c r="T98" s="392" t="s">
        <v>24</v>
      </c>
    </row>
    <row r="99" spans="1:22" s="410" customFormat="1" ht="31.5" hidden="1" outlineLevel="1" x14ac:dyDescent="0.25">
      <c r="A99" s="409" t="s">
        <v>316</v>
      </c>
      <c r="B99" s="396" t="s">
        <v>137</v>
      </c>
      <c r="C99" s="422" t="s">
        <v>648</v>
      </c>
      <c r="D99" s="398" t="s">
        <v>647</v>
      </c>
      <c r="E99" s="399" t="s">
        <v>316</v>
      </c>
      <c r="F99" s="400" t="s">
        <v>568</v>
      </c>
      <c r="G99" s="401" t="s">
        <v>297</v>
      </c>
      <c r="H99" s="401"/>
      <c r="I99" s="401"/>
      <c r="J99" s="402">
        <v>788643.52999999991</v>
      </c>
      <c r="K99" s="403">
        <v>0.69280000198348812</v>
      </c>
      <c r="L99" s="402">
        <f t="shared" si="2"/>
        <v>546372.23914826498</v>
      </c>
      <c r="M99" s="403">
        <v>0.30720000121651203</v>
      </c>
      <c r="N99" s="400" t="s">
        <v>148</v>
      </c>
      <c r="O99" s="400" t="s">
        <v>18</v>
      </c>
      <c r="P99" s="405">
        <v>43435</v>
      </c>
      <c r="Q99" s="406">
        <v>43525</v>
      </c>
      <c r="R99" s="407"/>
      <c r="S99" s="401" t="s">
        <v>109</v>
      </c>
      <c r="T99" s="392" t="s">
        <v>24</v>
      </c>
    </row>
    <row r="100" spans="1:22" s="410" customFormat="1" ht="47.25" hidden="1" outlineLevel="1" x14ac:dyDescent="0.25">
      <c r="A100" s="409" t="s">
        <v>319</v>
      </c>
      <c r="B100" s="396" t="s">
        <v>137</v>
      </c>
      <c r="C100" s="422" t="s">
        <v>649</v>
      </c>
      <c r="D100" s="398" t="s">
        <v>647</v>
      </c>
      <c r="E100" s="399" t="s">
        <v>319</v>
      </c>
      <c r="F100" s="400" t="s">
        <v>568</v>
      </c>
      <c r="G100" s="401" t="s">
        <v>34</v>
      </c>
      <c r="H100" s="401"/>
      <c r="I100" s="401"/>
      <c r="J100" s="402">
        <v>63091.479999999996</v>
      </c>
      <c r="K100" s="403">
        <v>0.50000002100000085</v>
      </c>
      <c r="L100" s="402">
        <f t="shared" si="2"/>
        <v>31545.741324921131</v>
      </c>
      <c r="M100" s="403">
        <v>0.50000002100000085</v>
      </c>
      <c r="N100" s="400" t="s">
        <v>148</v>
      </c>
      <c r="O100" s="400" t="s">
        <v>18</v>
      </c>
      <c r="P100" s="405">
        <v>43436</v>
      </c>
      <c r="Q100" s="406">
        <v>43160</v>
      </c>
      <c r="R100" s="407"/>
      <c r="S100" s="401" t="s">
        <v>109</v>
      </c>
      <c r="T100" s="392" t="s">
        <v>24</v>
      </c>
    </row>
    <row r="101" spans="1:22" s="410" customFormat="1" ht="47.25" hidden="1" outlineLevel="1" x14ac:dyDescent="0.25">
      <c r="A101" s="409" t="s">
        <v>323</v>
      </c>
      <c r="B101" s="396" t="s">
        <v>137</v>
      </c>
      <c r="C101" s="422" t="s">
        <v>650</v>
      </c>
      <c r="D101" s="414" t="s">
        <v>651</v>
      </c>
      <c r="E101" s="399" t="s">
        <v>323</v>
      </c>
      <c r="F101" s="400" t="s">
        <v>652</v>
      </c>
      <c r="G101" s="401" t="s">
        <v>297</v>
      </c>
      <c r="H101" s="401"/>
      <c r="I101" s="401"/>
      <c r="J101" s="402">
        <v>3154574.1500000004</v>
      </c>
      <c r="K101" s="403">
        <v>0.75199999641640003</v>
      </c>
      <c r="L101" s="402">
        <f t="shared" si="2"/>
        <v>2372239.7494952683</v>
      </c>
      <c r="M101" s="403">
        <v>0.24800000358359997</v>
      </c>
      <c r="N101" s="400" t="s">
        <v>148</v>
      </c>
      <c r="O101" s="400" t="s">
        <v>19</v>
      </c>
      <c r="P101" s="405">
        <v>43230</v>
      </c>
      <c r="Q101" s="406">
        <v>43344</v>
      </c>
      <c r="R101" s="407"/>
      <c r="S101" s="401"/>
      <c r="T101" s="392" t="s">
        <v>24</v>
      </c>
    </row>
    <row r="102" spans="1:22" s="236" customFormat="1" ht="47.25" outlineLevel="1" x14ac:dyDescent="0.25">
      <c r="A102" s="243" t="s">
        <v>328</v>
      </c>
      <c r="B102" s="244" t="s">
        <v>137</v>
      </c>
      <c r="C102" s="245" t="s">
        <v>653</v>
      </c>
      <c r="D102" s="246" t="s">
        <v>307</v>
      </c>
      <c r="E102" s="247" t="s">
        <v>328</v>
      </c>
      <c r="F102" s="251"/>
      <c r="G102" s="245" t="s">
        <v>297</v>
      </c>
      <c r="H102" s="284"/>
      <c r="I102" s="284"/>
      <c r="J102" s="250">
        <v>318657.01</v>
      </c>
      <c r="K102" s="285">
        <v>0.90000000313817041</v>
      </c>
      <c r="L102" s="250">
        <f t="shared" si="2"/>
        <v>286791.31</v>
      </c>
      <c r="M102" s="285">
        <v>9.9999996861829588E-2</v>
      </c>
      <c r="N102" s="259" t="s">
        <v>148</v>
      </c>
      <c r="O102" s="251" t="s">
        <v>18</v>
      </c>
      <c r="P102" s="252">
        <v>43864</v>
      </c>
      <c r="Q102" s="253">
        <v>43983</v>
      </c>
      <c r="R102" s="260" t="s">
        <v>109</v>
      </c>
      <c r="S102" s="278"/>
      <c r="T102" s="255" t="s">
        <v>21</v>
      </c>
      <c r="U102" s="529"/>
      <c r="V102" s="529"/>
    </row>
    <row r="103" spans="1:22" s="236" customFormat="1" ht="47.25" outlineLevel="1" x14ac:dyDescent="0.25">
      <c r="A103" s="243" t="s">
        <v>333</v>
      </c>
      <c r="B103" s="244" t="s">
        <v>137</v>
      </c>
      <c r="C103" s="245" t="s">
        <v>654</v>
      </c>
      <c r="D103" s="246" t="s">
        <v>655</v>
      </c>
      <c r="E103" s="247" t="s">
        <v>333</v>
      </c>
      <c r="F103" s="251"/>
      <c r="G103" s="245" t="s">
        <v>34</v>
      </c>
      <c r="H103" s="284"/>
      <c r="I103" s="284"/>
      <c r="J103" s="250">
        <v>153656.44</v>
      </c>
      <c r="K103" s="285">
        <v>1</v>
      </c>
      <c r="L103" s="250">
        <f t="shared" si="2"/>
        <v>153656.44</v>
      </c>
      <c r="M103" s="285">
        <v>0</v>
      </c>
      <c r="N103" s="259" t="s">
        <v>145</v>
      </c>
      <c r="O103" s="251" t="s">
        <v>18</v>
      </c>
      <c r="P103" s="252">
        <v>43460</v>
      </c>
      <c r="Q103" s="253">
        <v>43526</v>
      </c>
      <c r="R103" s="260"/>
      <c r="S103" s="278"/>
      <c r="T103" s="255" t="s">
        <v>21</v>
      </c>
      <c r="U103" s="529"/>
      <c r="V103" s="529"/>
    </row>
    <row r="104" spans="1:22" s="410" customFormat="1" ht="35.25" hidden="1" customHeight="1" outlineLevel="1" x14ac:dyDescent="0.25">
      <c r="A104" s="409" t="s">
        <v>337</v>
      </c>
      <c r="B104" s="396" t="s">
        <v>137</v>
      </c>
      <c r="C104" s="422" t="s">
        <v>656</v>
      </c>
      <c r="D104" s="414" t="s">
        <v>657</v>
      </c>
      <c r="E104" s="399" t="s">
        <v>337</v>
      </c>
      <c r="F104" s="400" t="s">
        <v>305</v>
      </c>
      <c r="G104" s="401" t="s">
        <v>34</v>
      </c>
      <c r="H104" s="429"/>
      <c r="I104" s="429"/>
      <c r="J104" s="426">
        <v>28720.77</v>
      </c>
      <c r="K104" s="403">
        <v>0.99999965181991979</v>
      </c>
      <c r="L104" s="426">
        <f t="shared" si="2"/>
        <v>28720.76</v>
      </c>
      <c r="M104" s="403">
        <v>0</v>
      </c>
      <c r="N104" s="427" t="s">
        <v>148</v>
      </c>
      <c r="O104" s="400" t="s">
        <v>18</v>
      </c>
      <c r="P104" s="405">
        <v>43434</v>
      </c>
      <c r="Q104" s="406">
        <v>43495</v>
      </c>
      <c r="R104" s="430"/>
      <c r="S104" s="401"/>
      <c r="T104" s="392" t="s">
        <v>24</v>
      </c>
    </row>
    <row r="105" spans="1:22" s="410" customFormat="1" ht="47.25" hidden="1" outlineLevel="1" x14ac:dyDescent="0.25">
      <c r="A105" s="409" t="s">
        <v>340</v>
      </c>
      <c r="B105" s="396" t="s">
        <v>137</v>
      </c>
      <c r="C105" s="422" t="s">
        <v>658</v>
      </c>
      <c r="D105" s="398" t="s">
        <v>647</v>
      </c>
      <c r="E105" s="399" t="s">
        <v>340</v>
      </c>
      <c r="F105" s="400" t="s">
        <v>305</v>
      </c>
      <c r="G105" s="401" t="s">
        <v>34</v>
      </c>
      <c r="H105" s="401"/>
      <c r="I105" s="401"/>
      <c r="J105" s="402">
        <v>53627.76</v>
      </c>
      <c r="K105" s="403">
        <v>0.29411763608996533</v>
      </c>
      <c r="L105" s="402">
        <f t="shared" si="2"/>
        <v>15772.869999999999</v>
      </c>
      <c r="M105" s="403">
        <v>0.70588235626297569</v>
      </c>
      <c r="N105" s="400"/>
      <c r="O105" s="400" t="s">
        <v>18</v>
      </c>
      <c r="P105" s="405">
        <v>43314</v>
      </c>
      <c r="Q105" s="406">
        <v>43375</v>
      </c>
      <c r="R105" s="407"/>
      <c r="S105" s="401"/>
      <c r="T105" s="392" t="s">
        <v>24</v>
      </c>
    </row>
    <row r="106" spans="1:22" s="236" customFormat="1" ht="31.5" outlineLevel="1" x14ac:dyDescent="0.25">
      <c r="A106" s="243" t="s">
        <v>659</v>
      </c>
      <c r="B106" s="244" t="s">
        <v>137</v>
      </c>
      <c r="C106" s="282" t="s">
        <v>660</v>
      </c>
      <c r="D106" s="246" t="s">
        <v>661</v>
      </c>
      <c r="E106" s="247" t="s">
        <v>659</v>
      </c>
      <c r="F106" s="251" t="s">
        <v>169</v>
      </c>
      <c r="G106" s="249" t="s">
        <v>297</v>
      </c>
      <c r="H106" s="249"/>
      <c r="I106" s="365"/>
      <c r="J106" s="250">
        <v>3833307.36</v>
      </c>
      <c r="K106" s="285">
        <v>0.88283675222954217</v>
      </c>
      <c r="L106" s="250">
        <f t="shared" si="2"/>
        <v>3384184.62</v>
      </c>
      <c r="M106" s="285">
        <v>0.11716324255303127</v>
      </c>
      <c r="N106" s="251" t="s">
        <v>141</v>
      </c>
      <c r="O106" s="251" t="s">
        <v>19</v>
      </c>
      <c r="P106" s="252">
        <v>43437</v>
      </c>
      <c r="Q106" s="253">
        <v>43556</v>
      </c>
      <c r="R106" s="260"/>
      <c r="S106" s="249"/>
      <c r="T106" s="255" t="s">
        <v>21</v>
      </c>
      <c r="U106" s="529"/>
      <c r="V106" s="529"/>
    </row>
    <row r="107" spans="1:22" s="410" customFormat="1" ht="31.5" hidden="1" outlineLevel="1" x14ac:dyDescent="0.25">
      <c r="A107" s="409" t="s">
        <v>662</v>
      </c>
      <c r="B107" s="396" t="s">
        <v>137</v>
      </c>
      <c r="C107" s="422" t="s">
        <v>663</v>
      </c>
      <c r="D107" s="414" t="s">
        <v>651</v>
      </c>
      <c r="E107" s="399" t="s">
        <v>662</v>
      </c>
      <c r="F107" s="400" t="s">
        <v>169</v>
      </c>
      <c r="G107" s="401" t="s">
        <v>297</v>
      </c>
      <c r="H107" s="401"/>
      <c r="I107" s="401"/>
      <c r="J107" s="402">
        <v>1337539.4321766561</v>
      </c>
      <c r="K107" s="403">
        <v>0.82169811320754715</v>
      </c>
      <c r="L107" s="402">
        <f t="shared" si="2"/>
        <v>1099053.6277602522</v>
      </c>
      <c r="M107" s="403">
        <v>0.17830188679245282</v>
      </c>
      <c r="N107" s="400" t="s">
        <v>148</v>
      </c>
      <c r="O107" s="400" t="s">
        <v>19</v>
      </c>
      <c r="P107" s="405">
        <v>43230</v>
      </c>
      <c r="Q107" s="406">
        <v>43344</v>
      </c>
      <c r="R107" s="407"/>
      <c r="S107" s="401"/>
      <c r="T107" s="392" t="s">
        <v>24</v>
      </c>
    </row>
    <row r="108" spans="1:22" s="236" customFormat="1" ht="31.5" outlineLevel="1" x14ac:dyDescent="0.25">
      <c r="A108" s="243" t="s">
        <v>664</v>
      </c>
      <c r="B108" s="244" t="s">
        <v>137</v>
      </c>
      <c r="C108" s="282" t="s">
        <v>665</v>
      </c>
      <c r="D108" s="246" t="s">
        <v>666</v>
      </c>
      <c r="E108" s="247"/>
      <c r="F108" s="251" t="s">
        <v>311</v>
      </c>
      <c r="G108" s="249" t="s">
        <v>36</v>
      </c>
      <c r="H108" s="249"/>
      <c r="I108" s="249"/>
      <c r="J108" s="250">
        <v>2297.66</v>
      </c>
      <c r="K108" s="285">
        <v>0</v>
      </c>
      <c r="L108" s="250">
        <f t="shared" si="2"/>
        <v>0</v>
      </c>
      <c r="M108" s="285">
        <v>1</v>
      </c>
      <c r="N108" s="251" t="s">
        <v>148</v>
      </c>
      <c r="O108" s="288" t="s">
        <v>999</v>
      </c>
      <c r="P108" s="252">
        <v>43772</v>
      </c>
      <c r="Q108" s="253">
        <v>43832</v>
      </c>
      <c r="R108" s="254" t="s">
        <v>547</v>
      </c>
      <c r="S108" s="249"/>
      <c r="T108" s="255" t="s">
        <v>21</v>
      </c>
      <c r="U108" s="529"/>
      <c r="V108" s="529"/>
    </row>
    <row r="109" spans="1:22" s="236" customFormat="1" ht="47.25" outlineLevel="1" x14ac:dyDescent="0.25">
      <c r="A109" s="243" t="s">
        <v>667</v>
      </c>
      <c r="B109" s="244" t="s">
        <v>137</v>
      </c>
      <c r="C109" s="245" t="s">
        <v>668</v>
      </c>
      <c r="D109" s="246" t="s">
        <v>352</v>
      </c>
      <c r="E109" s="247" t="s">
        <v>350</v>
      </c>
      <c r="F109" s="251"/>
      <c r="G109" s="249" t="s">
        <v>34</v>
      </c>
      <c r="H109" s="249"/>
      <c r="I109" s="249"/>
      <c r="J109" s="250">
        <v>182089.72</v>
      </c>
      <c r="K109" s="285">
        <v>0.52499992860662315</v>
      </c>
      <c r="L109" s="250">
        <f t="shared" si="2"/>
        <v>95597.09</v>
      </c>
      <c r="M109" s="285">
        <v>0.47499996155741248</v>
      </c>
      <c r="N109" s="251" t="s">
        <v>201</v>
      </c>
      <c r="O109" s="251" t="s">
        <v>18</v>
      </c>
      <c r="P109" s="252">
        <v>43521</v>
      </c>
      <c r="Q109" s="253">
        <v>43587</v>
      </c>
      <c r="R109" s="442"/>
      <c r="S109" s="443"/>
      <c r="T109" s="255" t="s">
        <v>21</v>
      </c>
      <c r="U109" s="529"/>
      <c r="V109" s="529"/>
    </row>
    <row r="110" spans="1:22" s="236" customFormat="1" ht="27.95" customHeight="1" outlineLevel="1" x14ac:dyDescent="0.25">
      <c r="A110" s="243" t="s">
        <v>669</v>
      </c>
      <c r="B110" s="244" t="s">
        <v>137</v>
      </c>
      <c r="C110" s="282" t="s">
        <v>670</v>
      </c>
      <c r="D110" s="246" t="s">
        <v>671</v>
      </c>
      <c r="E110" s="247"/>
      <c r="F110" s="251" t="s">
        <v>568</v>
      </c>
      <c r="G110" s="249" t="s">
        <v>36</v>
      </c>
      <c r="H110" s="249"/>
      <c r="I110" s="365"/>
      <c r="J110" s="250">
        <v>455224.3</v>
      </c>
      <c r="K110" s="285">
        <v>0</v>
      </c>
      <c r="L110" s="250">
        <f t="shared" si="2"/>
        <v>0</v>
      </c>
      <c r="M110" s="285">
        <v>1</v>
      </c>
      <c r="N110" s="251" t="s">
        <v>148</v>
      </c>
      <c r="O110" s="288" t="s">
        <v>999</v>
      </c>
      <c r="P110" s="252">
        <v>43488</v>
      </c>
      <c r="Q110" s="253">
        <v>43617</v>
      </c>
      <c r="R110" s="254" t="s">
        <v>170</v>
      </c>
      <c r="S110" s="249"/>
      <c r="T110" s="255" t="s">
        <v>21</v>
      </c>
      <c r="U110" s="529"/>
      <c r="V110" s="529"/>
    </row>
    <row r="111" spans="1:22" s="236" customFormat="1" ht="47.25" outlineLevel="1" x14ac:dyDescent="0.25">
      <c r="A111" s="243" t="s">
        <v>672</v>
      </c>
      <c r="B111" s="374" t="s">
        <v>137</v>
      </c>
      <c r="C111" s="394" t="s">
        <v>673</v>
      </c>
      <c r="D111" s="376" t="s">
        <v>674</v>
      </c>
      <c r="E111" s="382"/>
      <c r="F111" s="361" t="s">
        <v>169</v>
      </c>
      <c r="G111" s="249" t="s">
        <v>297</v>
      </c>
      <c r="H111" s="281"/>
      <c r="I111" s="492"/>
      <c r="J111" s="383">
        <v>5371687.5299999993</v>
      </c>
      <c r="K111" s="389">
        <v>0.37401198948740794</v>
      </c>
      <c r="L111" s="383">
        <f t="shared" si="2"/>
        <v>2009075.54</v>
      </c>
      <c r="M111" s="389">
        <v>0.62598801051259212</v>
      </c>
      <c r="N111" s="361" t="s">
        <v>148</v>
      </c>
      <c r="O111" s="251" t="s">
        <v>19</v>
      </c>
      <c r="P111" s="378">
        <v>43378</v>
      </c>
      <c r="Q111" s="379">
        <v>43497</v>
      </c>
      <c r="R111" s="384"/>
      <c r="S111" s="435"/>
      <c r="T111" s="255" t="s">
        <v>22</v>
      </c>
      <c r="U111" s="529"/>
      <c r="V111" s="529"/>
    </row>
    <row r="112" spans="1:22" s="236" customFormat="1" ht="71.25" customHeight="1" outlineLevel="1" x14ac:dyDescent="0.25">
      <c r="A112" s="243" t="s">
        <v>675</v>
      </c>
      <c r="B112" s="374" t="s">
        <v>137</v>
      </c>
      <c r="C112" s="282" t="s">
        <v>1000</v>
      </c>
      <c r="D112" s="376" t="s">
        <v>1001</v>
      </c>
      <c r="E112" s="382"/>
      <c r="F112" s="361" t="s">
        <v>169</v>
      </c>
      <c r="G112" s="249" t="s">
        <v>34</v>
      </c>
      <c r="H112" s="281"/>
      <c r="I112" s="281"/>
      <c r="J112" s="250">
        <f>2297.66+4595.32</f>
        <v>6892.98</v>
      </c>
      <c r="K112" s="285">
        <f>J113/J112</f>
        <v>0.66666666666666663</v>
      </c>
      <c r="L112" s="250">
        <f t="shared" si="2"/>
        <v>4595.32</v>
      </c>
      <c r="M112" s="285">
        <f>100%-K112</f>
        <v>0.33333333333333337</v>
      </c>
      <c r="N112" s="361" t="s">
        <v>145</v>
      </c>
      <c r="O112" s="288" t="s">
        <v>999</v>
      </c>
      <c r="P112" s="378">
        <v>43431</v>
      </c>
      <c r="Q112" s="379">
        <v>43495</v>
      </c>
      <c r="R112" s="254"/>
      <c r="S112" s="281"/>
      <c r="T112" s="381" t="s">
        <v>22</v>
      </c>
      <c r="U112" s="529"/>
      <c r="V112" s="529"/>
    </row>
    <row r="113" spans="1:22" s="236" customFormat="1" ht="47.25" hidden="1" outlineLevel="1" x14ac:dyDescent="0.25">
      <c r="A113" s="243" t="s">
        <v>677</v>
      </c>
      <c r="B113" s="461" t="s">
        <v>137</v>
      </c>
      <c r="C113" s="585" t="s">
        <v>678</v>
      </c>
      <c r="D113" s="462" t="s">
        <v>679</v>
      </c>
      <c r="E113" s="463"/>
      <c r="F113" s="361" t="s">
        <v>169</v>
      </c>
      <c r="G113" s="401" t="s">
        <v>34</v>
      </c>
      <c r="H113" s="454"/>
      <c r="I113" s="454"/>
      <c r="J113" s="402">
        <v>4595.32</v>
      </c>
      <c r="K113" s="403">
        <v>1</v>
      </c>
      <c r="L113" s="402">
        <f t="shared" si="2"/>
        <v>4595.32</v>
      </c>
      <c r="M113" s="403">
        <v>0</v>
      </c>
      <c r="N113" s="466" t="s">
        <v>145</v>
      </c>
      <c r="O113" s="466" t="s">
        <v>18</v>
      </c>
      <c r="P113" s="467">
        <v>43431</v>
      </c>
      <c r="Q113" s="468">
        <v>43495</v>
      </c>
      <c r="R113" s="407"/>
      <c r="S113" s="454"/>
      <c r="T113" s="392" t="s">
        <v>24</v>
      </c>
      <c r="U113" s="586"/>
      <c r="V113" s="529"/>
    </row>
    <row r="114" spans="1:22" s="236" customFormat="1" ht="47.25" outlineLevel="1" x14ac:dyDescent="0.25">
      <c r="A114" s="243" t="s">
        <v>680</v>
      </c>
      <c r="B114" s="244" t="s">
        <v>137</v>
      </c>
      <c r="C114" s="245" t="s">
        <v>681</v>
      </c>
      <c r="D114" s="246" t="s">
        <v>682</v>
      </c>
      <c r="E114" s="247" t="s">
        <v>358</v>
      </c>
      <c r="F114" s="251" t="s">
        <v>311</v>
      </c>
      <c r="G114" s="249" t="s">
        <v>34</v>
      </c>
      <c r="H114" s="371"/>
      <c r="I114" s="371"/>
      <c r="J114" s="250">
        <v>180268.82</v>
      </c>
      <c r="K114" s="285">
        <v>0.47272728583900425</v>
      </c>
      <c r="L114" s="250">
        <f t="shared" si="2"/>
        <v>85217.99</v>
      </c>
      <c r="M114" s="285">
        <v>0.52727271416099575</v>
      </c>
      <c r="N114" s="259" t="s">
        <v>148</v>
      </c>
      <c r="O114" s="361" t="s">
        <v>18</v>
      </c>
      <c r="P114" s="252">
        <v>43492</v>
      </c>
      <c r="Q114" s="253">
        <v>43558</v>
      </c>
      <c r="R114" s="439"/>
      <c r="S114" s="249"/>
      <c r="T114" s="255" t="s">
        <v>21</v>
      </c>
      <c r="U114" s="529"/>
      <c r="V114" s="529"/>
    </row>
    <row r="115" spans="1:22" s="236" customFormat="1" ht="31.5" outlineLevel="1" x14ac:dyDescent="0.25">
      <c r="A115" s="243" t="s">
        <v>683</v>
      </c>
      <c r="B115" s="244" t="s">
        <v>137</v>
      </c>
      <c r="C115" s="282" t="s">
        <v>684</v>
      </c>
      <c r="D115" s="246" t="s">
        <v>685</v>
      </c>
      <c r="E115" s="247" t="s">
        <v>260</v>
      </c>
      <c r="F115" s="361" t="s">
        <v>169</v>
      </c>
      <c r="G115" s="249" t="s">
        <v>297</v>
      </c>
      <c r="H115" s="371"/>
      <c r="I115" s="371"/>
      <c r="J115" s="250">
        <v>3948875.86</v>
      </c>
      <c r="K115" s="285">
        <v>0.89324975893266001</v>
      </c>
      <c r="L115" s="250">
        <f t="shared" si="2"/>
        <v>3527332.41</v>
      </c>
      <c r="M115" s="285">
        <v>0.10675024106734012</v>
      </c>
      <c r="N115" s="259" t="s">
        <v>141</v>
      </c>
      <c r="O115" s="361" t="s">
        <v>19</v>
      </c>
      <c r="P115" s="252">
        <v>43651</v>
      </c>
      <c r="Q115" s="253">
        <v>43770</v>
      </c>
      <c r="R115" s="260"/>
      <c r="S115" s="249"/>
      <c r="T115" s="255" t="s">
        <v>21</v>
      </c>
      <c r="U115" s="529"/>
      <c r="V115" s="529"/>
    </row>
    <row r="116" spans="1:22" s="236" customFormat="1" ht="31.5" outlineLevel="1" x14ac:dyDescent="0.25">
      <c r="A116" s="243" t="s">
        <v>686</v>
      </c>
      <c r="B116" s="244" t="s">
        <v>137</v>
      </c>
      <c r="C116" s="282" t="s">
        <v>687</v>
      </c>
      <c r="D116" s="246" t="s">
        <v>688</v>
      </c>
      <c r="E116" s="247" t="s">
        <v>260</v>
      </c>
      <c r="F116" s="361" t="s">
        <v>169</v>
      </c>
      <c r="G116" s="249" t="s">
        <v>297</v>
      </c>
      <c r="H116" s="371"/>
      <c r="I116" s="371"/>
      <c r="J116" s="250">
        <v>794228.1</v>
      </c>
      <c r="K116" s="285">
        <v>1</v>
      </c>
      <c r="L116" s="250">
        <f t="shared" si="2"/>
        <v>794228.1</v>
      </c>
      <c r="M116" s="285">
        <v>0</v>
      </c>
      <c r="N116" s="259" t="s">
        <v>141</v>
      </c>
      <c r="O116" s="361" t="s">
        <v>18</v>
      </c>
      <c r="P116" s="252">
        <v>43590</v>
      </c>
      <c r="Q116" s="253">
        <v>43709</v>
      </c>
      <c r="R116" s="260"/>
      <c r="S116" s="249"/>
      <c r="T116" s="255" t="s">
        <v>21</v>
      </c>
      <c r="U116" s="529"/>
      <c r="V116" s="529"/>
    </row>
    <row r="117" spans="1:22" s="236" customFormat="1" ht="31.5" outlineLevel="1" x14ac:dyDescent="0.25">
      <c r="A117" s="243" t="s">
        <v>689</v>
      </c>
      <c r="B117" s="244" t="s">
        <v>137</v>
      </c>
      <c r="C117" s="282" t="s">
        <v>690</v>
      </c>
      <c r="D117" s="246" t="s">
        <v>691</v>
      </c>
      <c r="E117" s="247" t="s">
        <v>353</v>
      </c>
      <c r="F117" s="436"/>
      <c r="G117" s="249" t="s">
        <v>36</v>
      </c>
      <c r="H117" s="249"/>
      <c r="I117" s="249"/>
      <c r="J117" s="250">
        <v>179358.37</v>
      </c>
      <c r="K117" s="285">
        <v>0</v>
      </c>
      <c r="L117" s="250">
        <f t="shared" si="2"/>
        <v>0</v>
      </c>
      <c r="M117" s="285">
        <v>1</v>
      </c>
      <c r="N117" s="259" t="s">
        <v>148</v>
      </c>
      <c r="O117" s="288" t="s">
        <v>999</v>
      </c>
      <c r="P117" s="252">
        <v>43519</v>
      </c>
      <c r="Q117" s="253">
        <v>43648</v>
      </c>
      <c r="R117" s="254" t="s">
        <v>608</v>
      </c>
      <c r="S117" s="249"/>
      <c r="T117" s="255" t="s">
        <v>21</v>
      </c>
      <c r="U117" s="529"/>
      <c r="V117" s="529"/>
    </row>
    <row r="118" spans="1:22" s="236" customFormat="1" ht="41.25" customHeight="1" outlineLevel="1" x14ac:dyDescent="0.25">
      <c r="A118" s="243" t="s">
        <v>692</v>
      </c>
      <c r="B118" s="275" t="s">
        <v>137</v>
      </c>
      <c r="C118" s="286" t="s">
        <v>693</v>
      </c>
      <c r="D118" s="287" t="s">
        <v>694</v>
      </c>
      <c r="E118" s="247"/>
      <c r="F118" s="251" t="s">
        <v>305</v>
      </c>
      <c r="G118" s="249" t="s">
        <v>34</v>
      </c>
      <c r="H118" s="278"/>
      <c r="I118" s="278"/>
      <c r="J118" s="283">
        <v>47389.27</v>
      </c>
      <c r="K118" s="285">
        <v>0.49949978127960193</v>
      </c>
      <c r="L118" s="283">
        <f t="shared" si="2"/>
        <v>23670.93</v>
      </c>
      <c r="M118" s="285">
        <v>0.50050000770216552</v>
      </c>
      <c r="N118" s="309" t="s">
        <v>148</v>
      </c>
      <c r="O118" s="279" t="s">
        <v>18</v>
      </c>
      <c r="P118" s="252">
        <v>43492</v>
      </c>
      <c r="Q118" s="253">
        <v>43558</v>
      </c>
      <c r="R118" s="441"/>
      <c r="S118" s="249"/>
      <c r="T118" s="255" t="s">
        <v>21</v>
      </c>
      <c r="U118" s="529"/>
      <c r="V118" s="529"/>
    </row>
    <row r="119" spans="1:22" s="236" customFormat="1" ht="43.5" customHeight="1" outlineLevel="1" x14ac:dyDescent="0.25">
      <c r="A119" s="243" t="s">
        <v>695</v>
      </c>
      <c r="B119" s="244" t="s">
        <v>137</v>
      </c>
      <c r="C119" s="245" t="s">
        <v>696</v>
      </c>
      <c r="D119" s="246" t="s">
        <v>697</v>
      </c>
      <c r="E119" s="247"/>
      <c r="F119" s="251" t="s">
        <v>305</v>
      </c>
      <c r="G119" s="249" t="s">
        <v>34</v>
      </c>
      <c r="H119" s="249"/>
      <c r="I119" s="249"/>
      <c r="J119" s="283">
        <v>11471.65</v>
      </c>
      <c r="K119" s="285">
        <v>0.4999995641429088</v>
      </c>
      <c r="L119" s="283">
        <f t="shared" si="2"/>
        <v>5735.82</v>
      </c>
      <c r="M119" s="285">
        <v>0.4999995641429088</v>
      </c>
      <c r="N119" s="259" t="s">
        <v>148</v>
      </c>
      <c r="O119" s="251" t="s">
        <v>18</v>
      </c>
      <c r="P119" s="252">
        <v>43495</v>
      </c>
      <c r="Q119" s="253">
        <v>43556</v>
      </c>
      <c r="R119" s="441"/>
      <c r="S119" s="249"/>
      <c r="T119" s="255" t="s">
        <v>21</v>
      </c>
      <c r="U119" s="529"/>
      <c r="V119" s="529"/>
    </row>
    <row r="120" spans="1:22" s="236" customFormat="1" ht="47.25" outlineLevel="1" x14ac:dyDescent="0.25">
      <c r="A120" s="243" t="s">
        <v>698</v>
      </c>
      <c r="B120" s="244" t="s">
        <v>137</v>
      </c>
      <c r="C120" s="245" t="s">
        <v>699</v>
      </c>
      <c r="D120" s="246" t="s">
        <v>700</v>
      </c>
      <c r="E120" s="247"/>
      <c r="F120" s="251" t="s">
        <v>305</v>
      </c>
      <c r="G120" s="249" t="s">
        <v>34</v>
      </c>
      <c r="H120" s="249"/>
      <c r="I120" s="249"/>
      <c r="J120" s="283">
        <v>28679.13</v>
      </c>
      <c r="K120" s="285">
        <v>0.49999982565719386</v>
      </c>
      <c r="L120" s="283">
        <f t="shared" si="2"/>
        <v>14339.56</v>
      </c>
      <c r="M120" s="285">
        <v>0.49999982565719386</v>
      </c>
      <c r="N120" s="259" t="s">
        <v>148</v>
      </c>
      <c r="O120" s="251" t="s">
        <v>18</v>
      </c>
      <c r="P120" s="252">
        <v>43495</v>
      </c>
      <c r="Q120" s="253">
        <v>43556</v>
      </c>
      <c r="R120" s="441"/>
      <c r="S120" s="249"/>
      <c r="T120" s="255" t="s">
        <v>21</v>
      </c>
      <c r="U120" s="529"/>
      <c r="V120" s="529"/>
    </row>
    <row r="121" spans="1:22" s="410" customFormat="1" ht="31.5" hidden="1" outlineLevel="1" x14ac:dyDescent="0.25">
      <c r="A121" s="409" t="s">
        <v>701</v>
      </c>
      <c r="B121" s="396" t="s">
        <v>137</v>
      </c>
      <c r="C121" s="422" t="s">
        <v>702</v>
      </c>
      <c r="D121" s="414" t="s">
        <v>703</v>
      </c>
      <c r="E121" s="399"/>
      <c r="F121" s="400" t="s">
        <v>568</v>
      </c>
      <c r="G121" s="401" t="s">
        <v>36</v>
      </c>
      <c r="H121" s="401"/>
      <c r="I121" s="401"/>
      <c r="J121" s="402">
        <v>71801.929999999993</v>
      </c>
      <c r="K121" s="403">
        <v>1</v>
      </c>
      <c r="L121" s="402">
        <f t="shared" si="2"/>
        <v>71801.929999999993</v>
      </c>
      <c r="M121" s="403">
        <v>0</v>
      </c>
      <c r="N121" s="400" t="s">
        <v>148</v>
      </c>
      <c r="O121" s="400" t="s">
        <v>18</v>
      </c>
      <c r="P121" s="405">
        <v>43381</v>
      </c>
      <c r="Q121" s="406">
        <v>43436</v>
      </c>
      <c r="R121" s="407" t="s">
        <v>704</v>
      </c>
      <c r="S121" s="401"/>
      <c r="T121" s="392" t="s">
        <v>24</v>
      </c>
    </row>
    <row r="122" spans="1:22" s="236" customFormat="1" ht="39.75" customHeight="1" outlineLevel="1" x14ac:dyDescent="0.25">
      <c r="A122" s="243" t="s">
        <v>705</v>
      </c>
      <c r="B122" s="244" t="s">
        <v>137</v>
      </c>
      <c r="C122" s="245" t="s">
        <v>706</v>
      </c>
      <c r="D122" s="246" t="s">
        <v>707</v>
      </c>
      <c r="E122" s="247"/>
      <c r="F122" s="251" t="s">
        <v>568</v>
      </c>
      <c r="G122" s="249" t="s">
        <v>36</v>
      </c>
      <c r="H122" s="249"/>
      <c r="I122" s="475"/>
      <c r="J122" s="283">
        <v>10925.38</v>
      </c>
      <c r="K122" s="285">
        <v>0</v>
      </c>
      <c r="L122" s="283">
        <f t="shared" si="2"/>
        <v>0</v>
      </c>
      <c r="M122" s="285">
        <v>1</v>
      </c>
      <c r="N122" s="259" t="s">
        <v>148</v>
      </c>
      <c r="O122" s="288" t="s">
        <v>999</v>
      </c>
      <c r="P122" s="252">
        <v>43680</v>
      </c>
      <c r="Q122" s="289">
        <v>43740</v>
      </c>
      <c r="R122" s="442" t="s">
        <v>51</v>
      </c>
      <c r="S122" s="249"/>
      <c r="T122" s="255" t="s">
        <v>21</v>
      </c>
      <c r="U122" s="529"/>
      <c r="V122" s="529"/>
    </row>
    <row r="123" spans="1:22" s="410" customFormat="1" ht="31.5" hidden="1" outlineLevel="1" x14ac:dyDescent="0.25">
      <c r="A123" s="409" t="s">
        <v>708</v>
      </c>
      <c r="B123" s="396" t="s">
        <v>137</v>
      </c>
      <c r="C123" s="422" t="s">
        <v>709</v>
      </c>
      <c r="D123" s="414" t="s">
        <v>710</v>
      </c>
      <c r="E123" s="399"/>
      <c r="F123" s="400" t="s">
        <v>357</v>
      </c>
      <c r="G123" s="401" t="s">
        <v>36</v>
      </c>
      <c r="H123" s="401"/>
      <c r="I123" s="401"/>
      <c r="J123" s="402">
        <v>10925.38</v>
      </c>
      <c r="K123" s="403">
        <v>9.9999267760022992E-2</v>
      </c>
      <c r="L123" s="402">
        <f t="shared" si="2"/>
        <v>1092.53</v>
      </c>
      <c r="M123" s="403">
        <v>0.89999981694000586</v>
      </c>
      <c r="N123" s="400" t="s">
        <v>148</v>
      </c>
      <c r="O123" s="400" t="s">
        <v>18</v>
      </c>
      <c r="P123" s="405">
        <v>43680</v>
      </c>
      <c r="Q123" s="406">
        <v>43740</v>
      </c>
      <c r="R123" s="407" t="s">
        <v>51</v>
      </c>
      <c r="S123" s="401"/>
      <c r="T123" s="392" t="s">
        <v>24</v>
      </c>
    </row>
    <row r="124" spans="1:22" s="410" customFormat="1" ht="47.25" hidden="1" outlineLevel="1" x14ac:dyDescent="0.25">
      <c r="A124" s="409" t="s">
        <v>711</v>
      </c>
      <c r="B124" s="396" t="s">
        <v>137</v>
      </c>
      <c r="C124" s="422" t="s">
        <v>712</v>
      </c>
      <c r="D124" s="414" t="s">
        <v>292</v>
      </c>
      <c r="E124" s="399"/>
      <c r="F124" s="400"/>
      <c r="G124" s="401" t="s">
        <v>34</v>
      </c>
      <c r="H124" s="401"/>
      <c r="I124" s="401"/>
      <c r="J124" s="402">
        <v>104701.59</v>
      </c>
      <c r="K124" s="403">
        <v>0.19999992359237334</v>
      </c>
      <c r="L124" s="402">
        <f t="shared" si="2"/>
        <v>20940.310000000001</v>
      </c>
      <c r="M124" s="403">
        <v>0.79999998089809343</v>
      </c>
      <c r="N124" s="400" t="s">
        <v>201</v>
      </c>
      <c r="O124" s="400" t="s">
        <v>18</v>
      </c>
      <c r="P124" s="405">
        <v>43582</v>
      </c>
      <c r="Q124" s="406">
        <v>43648</v>
      </c>
      <c r="R124" s="407"/>
      <c r="S124" s="401"/>
      <c r="T124" s="392" t="s">
        <v>24</v>
      </c>
    </row>
    <row r="125" spans="1:22" s="236" customFormat="1" ht="51" customHeight="1" outlineLevel="1" x14ac:dyDescent="0.25">
      <c r="A125" s="243" t="s">
        <v>713</v>
      </c>
      <c r="B125" s="244" t="s">
        <v>137</v>
      </c>
      <c r="C125" s="282" t="s">
        <v>714</v>
      </c>
      <c r="D125" s="246" t="s">
        <v>402</v>
      </c>
      <c r="E125" s="247"/>
      <c r="F125" s="251"/>
      <c r="G125" s="245" t="s">
        <v>34</v>
      </c>
      <c r="H125" s="249"/>
      <c r="I125" s="249"/>
      <c r="J125" s="250">
        <v>80705.382273536685</v>
      </c>
      <c r="K125" s="285">
        <v>0.99999982590999026</v>
      </c>
      <c r="L125" s="250">
        <f t="shared" si="2"/>
        <v>80705.368223535901</v>
      </c>
      <c r="M125" s="285">
        <v>0</v>
      </c>
      <c r="N125" s="259" t="s">
        <v>145</v>
      </c>
      <c r="O125" s="251" t="s">
        <v>18</v>
      </c>
      <c r="P125" s="252">
        <v>43551</v>
      </c>
      <c r="Q125" s="253">
        <v>43617</v>
      </c>
      <c r="R125" s="260"/>
      <c r="S125" s="249"/>
      <c r="T125" s="255" t="s">
        <v>21</v>
      </c>
      <c r="U125" s="529"/>
      <c r="V125" s="529"/>
    </row>
    <row r="126" spans="1:22" s="236" customFormat="1" ht="38.25" customHeight="1" outlineLevel="1" x14ac:dyDescent="0.25">
      <c r="A126" s="243" t="s">
        <v>715</v>
      </c>
      <c r="B126" s="244" t="s">
        <v>137</v>
      </c>
      <c r="C126" s="282" t="s">
        <v>716</v>
      </c>
      <c r="D126" s="246" t="s">
        <v>635</v>
      </c>
      <c r="E126" s="247"/>
      <c r="F126" s="251"/>
      <c r="G126" s="245" t="s">
        <v>297</v>
      </c>
      <c r="H126" s="249"/>
      <c r="I126" s="249"/>
      <c r="J126" s="283">
        <v>255614.91</v>
      </c>
      <c r="K126" s="285">
        <v>0.99999988263595418</v>
      </c>
      <c r="L126" s="250">
        <f t="shared" si="2"/>
        <v>255614.88</v>
      </c>
      <c r="M126" s="285">
        <v>0</v>
      </c>
      <c r="N126" s="259" t="s">
        <v>145</v>
      </c>
      <c r="O126" s="251" t="s">
        <v>18</v>
      </c>
      <c r="P126" s="252">
        <v>43435</v>
      </c>
      <c r="Q126" s="253">
        <v>43587</v>
      </c>
      <c r="R126" s="260"/>
      <c r="S126" s="249"/>
      <c r="T126" s="255" t="s">
        <v>22</v>
      </c>
      <c r="U126" s="529"/>
      <c r="V126" s="529"/>
    </row>
    <row r="127" spans="1:22" s="236" customFormat="1" ht="54" customHeight="1" outlineLevel="1" x14ac:dyDescent="0.25">
      <c r="A127" s="243" t="s">
        <v>717</v>
      </c>
      <c r="B127" s="244" t="s">
        <v>137</v>
      </c>
      <c r="C127" s="282" t="s">
        <v>718</v>
      </c>
      <c r="D127" s="246" t="s">
        <v>302</v>
      </c>
      <c r="E127" s="247"/>
      <c r="F127" s="251"/>
      <c r="G127" s="245" t="s">
        <v>34</v>
      </c>
      <c r="H127" s="249"/>
      <c r="I127" s="249"/>
      <c r="J127" s="283">
        <v>34464.93</v>
      </c>
      <c r="K127" s="285">
        <v>0.99999970984998365</v>
      </c>
      <c r="L127" s="250">
        <f t="shared" si="2"/>
        <v>34464.92</v>
      </c>
      <c r="M127" s="285">
        <v>0</v>
      </c>
      <c r="N127" s="259" t="s">
        <v>145</v>
      </c>
      <c r="O127" s="251" t="s">
        <v>18</v>
      </c>
      <c r="P127" s="252">
        <v>43435</v>
      </c>
      <c r="Q127" s="253">
        <v>43495</v>
      </c>
      <c r="R127" s="260"/>
      <c r="S127" s="249"/>
      <c r="T127" s="255" t="s">
        <v>21</v>
      </c>
      <c r="U127" s="529"/>
      <c r="V127" s="529"/>
    </row>
    <row r="128" spans="1:22" s="236" customFormat="1" ht="56.25" customHeight="1" outlineLevel="1" x14ac:dyDescent="0.25">
      <c r="A128" s="243" t="s">
        <v>719</v>
      </c>
      <c r="B128" s="244" t="s">
        <v>137</v>
      </c>
      <c r="C128" s="282" t="s">
        <v>720</v>
      </c>
      <c r="D128" s="246" t="s">
        <v>402</v>
      </c>
      <c r="E128" s="247"/>
      <c r="F128" s="251"/>
      <c r="G128" s="245" t="s">
        <v>34</v>
      </c>
      <c r="H128" s="249"/>
      <c r="I128" s="249"/>
      <c r="J128" s="283">
        <f>57441.55-34500</f>
        <v>22941.550000000003</v>
      </c>
      <c r="K128" s="285">
        <v>0.99999982590999026</v>
      </c>
      <c r="L128" s="250">
        <f t="shared" si="2"/>
        <v>22941.546006105338</v>
      </c>
      <c r="M128" s="285">
        <v>0</v>
      </c>
      <c r="N128" s="259" t="s">
        <v>145</v>
      </c>
      <c r="O128" s="251" t="s">
        <v>18</v>
      </c>
      <c r="P128" s="252">
        <v>43613</v>
      </c>
      <c r="Q128" s="253">
        <v>43679</v>
      </c>
      <c r="R128" s="260"/>
      <c r="S128" s="249"/>
      <c r="T128" s="255" t="s">
        <v>21</v>
      </c>
      <c r="U128" s="529"/>
      <c r="V128" s="529"/>
    </row>
    <row r="129" spans="1:22" s="236" customFormat="1" ht="83.25" customHeight="1" outlineLevel="1" x14ac:dyDescent="0.25">
      <c r="A129" s="243" t="s">
        <v>721</v>
      </c>
      <c r="B129" s="244" t="s">
        <v>137</v>
      </c>
      <c r="C129" s="282" t="s">
        <v>722</v>
      </c>
      <c r="D129" s="246" t="s">
        <v>318</v>
      </c>
      <c r="E129" s="247"/>
      <c r="F129" s="251"/>
      <c r="G129" s="245" t="s">
        <v>297</v>
      </c>
      <c r="H129" s="249"/>
      <c r="I129" s="249"/>
      <c r="J129" s="283">
        <v>422482.61578149226</v>
      </c>
      <c r="K129" s="285">
        <v>0.39999995749582851</v>
      </c>
      <c r="L129" s="250">
        <f t="shared" si="2"/>
        <v>168993.02835532336</v>
      </c>
      <c r="M129" s="513">
        <v>0.59999991853367129</v>
      </c>
      <c r="N129" s="259" t="s">
        <v>145</v>
      </c>
      <c r="O129" s="251" t="s">
        <v>18</v>
      </c>
      <c r="P129" s="252">
        <v>43560</v>
      </c>
      <c r="Q129" s="253">
        <v>43679</v>
      </c>
      <c r="R129" s="260"/>
      <c r="S129" s="249"/>
      <c r="T129" s="255" t="s">
        <v>21</v>
      </c>
      <c r="U129" s="529"/>
      <c r="V129" s="529"/>
    </row>
    <row r="130" spans="1:22" s="236" customFormat="1" ht="47.25" outlineLevel="1" x14ac:dyDescent="0.25">
      <c r="A130" s="243" t="s">
        <v>723</v>
      </c>
      <c r="B130" s="446" t="s">
        <v>137</v>
      </c>
      <c r="C130" s="460" t="s">
        <v>605</v>
      </c>
      <c r="D130" s="246" t="s">
        <v>606</v>
      </c>
      <c r="E130" s="247" t="s">
        <v>263</v>
      </c>
      <c r="F130" s="251" t="s">
        <v>305</v>
      </c>
      <c r="G130" s="249" t="s">
        <v>36</v>
      </c>
      <c r="H130" s="249"/>
      <c r="I130" s="249"/>
      <c r="J130" s="250">
        <v>34464.93</v>
      </c>
      <c r="K130" s="285">
        <v>0</v>
      </c>
      <c r="L130" s="250">
        <f t="shared" si="2"/>
        <v>0</v>
      </c>
      <c r="M130" s="285">
        <v>1</v>
      </c>
      <c r="N130" s="251" t="s">
        <v>148</v>
      </c>
      <c r="O130" s="251" t="s">
        <v>18</v>
      </c>
      <c r="P130" s="252">
        <v>43467</v>
      </c>
      <c r="Q130" s="253">
        <v>43617</v>
      </c>
      <c r="R130" s="254" t="s">
        <v>608</v>
      </c>
      <c r="S130" s="249"/>
      <c r="T130" s="267" t="s">
        <v>21</v>
      </c>
      <c r="U130" s="529"/>
      <c r="V130" s="529"/>
    </row>
    <row r="131" spans="1:22" s="236" customFormat="1" outlineLevel="1" x14ac:dyDescent="0.25">
      <c r="A131" s="243" t="s">
        <v>724</v>
      </c>
      <c r="B131" s="444" t="s">
        <v>137</v>
      </c>
      <c r="C131" s="460" t="s">
        <v>623</v>
      </c>
      <c r="D131" s="287" t="s">
        <v>624</v>
      </c>
      <c r="E131" s="277"/>
      <c r="F131" s="251" t="s">
        <v>169</v>
      </c>
      <c r="G131" s="278" t="s">
        <v>36</v>
      </c>
      <c r="H131" s="470"/>
      <c r="I131" s="470"/>
      <c r="J131" s="471">
        <v>804924.8</v>
      </c>
      <c r="K131" s="472">
        <v>0</v>
      </c>
      <c r="L131" s="471">
        <f t="shared" si="2"/>
        <v>0</v>
      </c>
      <c r="M131" s="472">
        <v>0.99999997515295835</v>
      </c>
      <c r="N131" s="309" t="s">
        <v>141</v>
      </c>
      <c r="O131" s="473" t="s">
        <v>18</v>
      </c>
      <c r="P131" s="288">
        <v>43833</v>
      </c>
      <c r="Q131" s="289">
        <v>43953</v>
      </c>
      <c r="R131" s="474" t="s">
        <v>725</v>
      </c>
      <c r="S131" s="278"/>
      <c r="T131" s="306" t="s">
        <v>21</v>
      </c>
      <c r="U131" s="529"/>
      <c r="V131" s="529"/>
    </row>
    <row r="132" spans="1:22" s="410" customFormat="1" ht="47.25" hidden="1" outlineLevel="1" x14ac:dyDescent="0.25">
      <c r="A132" s="409" t="s">
        <v>726</v>
      </c>
      <c r="B132" s="396" t="s">
        <v>137</v>
      </c>
      <c r="C132" s="422" t="s">
        <v>727</v>
      </c>
      <c r="D132" s="414" t="s">
        <v>318</v>
      </c>
      <c r="E132" s="399"/>
      <c r="F132" s="400" t="s">
        <v>311</v>
      </c>
      <c r="G132" s="401" t="s">
        <v>34</v>
      </c>
      <c r="H132" s="401"/>
      <c r="I132" s="401"/>
      <c r="J132" s="402">
        <v>56005.514389109085</v>
      </c>
      <c r="K132" s="403">
        <v>0.39999995749582851</v>
      </c>
      <c r="L132" s="402">
        <f t="shared" si="2"/>
        <v>22402.203375175646</v>
      </c>
      <c r="M132" s="403">
        <v>0.6</v>
      </c>
      <c r="N132" s="400" t="s">
        <v>145</v>
      </c>
      <c r="O132" s="400" t="s">
        <v>18</v>
      </c>
      <c r="P132" s="405">
        <v>43551</v>
      </c>
      <c r="Q132" s="406">
        <v>43617</v>
      </c>
      <c r="R132" s="407"/>
      <c r="S132" s="401"/>
      <c r="T132" s="392" t="s">
        <v>24</v>
      </c>
    </row>
    <row r="133" spans="1:22" s="410" customFormat="1" ht="47.25" hidden="1" outlineLevel="1" x14ac:dyDescent="0.25">
      <c r="A133" s="409" t="s">
        <v>728</v>
      </c>
      <c r="B133" s="396" t="s">
        <v>137</v>
      </c>
      <c r="C133" s="422" t="s">
        <v>729</v>
      </c>
      <c r="D133" s="414" t="s">
        <v>730</v>
      </c>
      <c r="E133" s="399"/>
      <c r="F133" s="400"/>
      <c r="G133" s="401" t="s">
        <v>34</v>
      </c>
      <c r="H133" s="401"/>
      <c r="I133" s="401"/>
      <c r="J133" s="402">
        <v>180000</v>
      </c>
      <c r="K133" s="403">
        <v>0.5</v>
      </c>
      <c r="L133" s="402">
        <f t="shared" si="2"/>
        <v>90000</v>
      </c>
      <c r="M133" s="403">
        <v>0.5</v>
      </c>
      <c r="N133" s="400" t="s">
        <v>136</v>
      </c>
      <c r="O133" s="400" t="s">
        <v>18</v>
      </c>
      <c r="P133" s="405">
        <v>43674</v>
      </c>
      <c r="Q133" s="406">
        <v>43740</v>
      </c>
      <c r="R133" s="407"/>
      <c r="S133" s="401"/>
      <c r="T133" s="392" t="s">
        <v>24</v>
      </c>
    </row>
    <row r="134" spans="1:22" s="236" customFormat="1" ht="31.5" outlineLevel="1" x14ac:dyDescent="0.25">
      <c r="A134" s="243" t="s">
        <v>728</v>
      </c>
      <c r="B134" s="446" t="s">
        <v>137</v>
      </c>
      <c r="C134" s="460" t="s">
        <v>731</v>
      </c>
      <c r="D134" s="246" t="s">
        <v>732</v>
      </c>
      <c r="E134" s="247"/>
      <c r="F134" s="251"/>
      <c r="G134" s="249" t="s">
        <v>297</v>
      </c>
      <c r="H134" s="249"/>
      <c r="I134" s="249"/>
      <c r="J134" s="250">
        <v>373370.09</v>
      </c>
      <c r="K134" s="285">
        <v>1</v>
      </c>
      <c r="L134" s="250">
        <f t="shared" si="2"/>
        <v>373370.09</v>
      </c>
      <c r="M134" s="285">
        <v>0</v>
      </c>
      <c r="N134" s="251" t="s">
        <v>145</v>
      </c>
      <c r="O134" s="251" t="s">
        <v>18</v>
      </c>
      <c r="P134" s="252">
        <v>43473</v>
      </c>
      <c r="Q134" s="253">
        <v>43587</v>
      </c>
      <c r="R134" s="254"/>
      <c r="S134" s="249"/>
      <c r="T134" s="267" t="s">
        <v>21</v>
      </c>
      <c r="U134" s="529"/>
      <c r="V134" s="529"/>
    </row>
    <row r="135" spans="1:22" s="236" customFormat="1" ht="45" customHeight="1" outlineLevel="1" x14ac:dyDescent="0.25">
      <c r="A135" s="243" t="s">
        <v>733</v>
      </c>
      <c r="B135" s="244" t="s">
        <v>137</v>
      </c>
      <c r="C135" s="245" t="s">
        <v>734</v>
      </c>
      <c r="D135" s="246" t="s">
        <v>530</v>
      </c>
      <c r="E135" s="247" t="s">
        <v>337</v>
      </c>
      <c r="F135" s="251" t="s">
        <v>568</v>
      </c>
      <c r="G135" s="518" t="s">
        <v>36</v>
      </c>
      <c r="H135" s="301"/>
      <c r="I135" s="301"/>
      <c r="J135" s="250">
        <v>877770.69</v>
      </c>
      <c r="K135" s="285">
        <v>0</v>
      </c>
      <c r="L135" s="250">
        <f t="shared" si="2"/>
        <v>0</v>
      </c>
      <c r="M135" s="285">
        <v>1</v>
      </c>
      <c r="N135" s="251" t="s">
        <v>148</v>
      </c>
      <c r="O135" s="251" t="s">
        <v>18</v>
      </c>
      <c r="P135" s="252">
        <v>43876</v>
      </c>
      <c r="Q135" s="253">
        <v>43931</v>
      </c>
      <c r="R135" s="254" t="s">
        <v>170</v>
      </c>
      <c r="S135" s="249"/>
      <c r="T135" s="255" t="s">
        <v>21</v>
      </c>
      <c r="U135" s="529"/>
      <c r="V135" s="529"/>
    </row>
    <row r="136" spans="1:22" s="236" customFormat="1" ht="45" customHeight="1" outlineLevel="1" x14ac:dyDescent="0.25">
      <c r="A136" s="243" t="s">
        <v>735</v>
      </c>
      <c r="B136" s="244" t="s">
        <v>137</v>
      </c>
      <c r="C136" s="245" t="s">
        <v>736</v>
      </c>
      <c r="D136" s="246" t="s">
        <v>737</v>
      </c>
      <c r="E136" s="247" t="s">
        <v>337</v>
      </c>
      <c r="F136" s="251"/>
      <c r="G136" s="518" t="s">
        <v>297</v>
      </c>
      <c r="H136" s="301"/>
      <c r="I136" s="301"/>
      <c r="J136" s="250">
        <v>1637084.26</v>
      </c>
      <c r="K136" s="285">
        <v>0.10111110591216606</v>
      </c>
      <c r="L136" s="250">
        <f t="shared" si="2"/>
        <v>165527.4</v>
      </c>
      <c r="M136" s="285">
        <v>0.89888888187099181</v>
      </c>
      <c r="N136" s="251" t="s">
        <v>148</v>
      </c>
      <c r="O136" s="251" t="s">
        <v>18</v>
      </c>
      <c r="P136" s="252">
        <v>43696</v>
      </c>
      <c r="Q136" s="253">
        <v>43810</v>
      </c>
      <c r="R136" s="260"/>
      <c r="S136" s="249"/>
      <c r="T136" s="255" t="s">
        <v>21</v>
      </c>
      <c r="U136" s="529"/>
      <c r="V136" s="529"/>
    </row>
    <row r="137" spans="1:22" s="236" customFormat="1" ht="45" customHeight="1" outlineLevel="1" x14ac:dyDescent="0.25">
      <c r="A137" s="243" t="s">
        <v>738</v>
      </c>
      <c r="B137" s="244" t="s">
        <v>137</v>
      </c>
      <c r="C137" s="245" t="s">
        <v>739</v>
      </c>
      <c r="D137" s="246" t="s">
        <v>740</v>
      </c>
      <c r="E137" s="247" t="s">
        <v>337</v>
      </c>
      <c r="F137" s="251"/>
      <c r="G137" s="518" t="s">
        <v>297</v>
      </c>
      <c r="H137" s="301"/>
      <c r="I137" s="301"/>
      <c r="J137" s="250">
        <v>904704.45</v>
      </c>
      <c r="K137" s="285">
        <v>0.1657894685938596</v>
      </c>
      <c r="L137" s="250">
        <f t="shared" si="2"/>
        <v>149990.47</v>
      </c>
      <c r="M137" s="285">
        <v>0.83421052035280696</v>
      </c>
      <c r="N137" s="251" t="s">
        <v>148</v>
      </c>
      <c r="O137" s="251" t="s">
        <v>18</v>
      </c>
      <c r="P137" s="252">
        <v>43635</v>
      </c>
      <c r="Q137" s="253">
        <v>43749</v>
      </c>
      <c r="R137" s="260"/>
      <c r="S137" s="249"/>
      <c r="T137" s="255" t="s">
        <v>21</v>
      </c>
      <c r="U137" s="529"/>
      <c r="V137" s="529"/>
    </row>
    <row r="138" spans="1:22" s="321" customFormat="1" ht="30" customHeight="1" x14ac:dyDescent="0.25">
      <c r="A138" s="424"/>
      <c r="B138" s="311"/>
      <c r="C138" s="312"/>
      <c r="D138" s="312"/>
      <c r="E138" s="312"/>
      <c r="F138" s="312"/>
      <c r="G138" s="313"/>
      <c r="H138" s="314"/>
      <c r="I138" s="315" t="s">
        <v>741</v>
      </c>
      <c r="J138" s="316">
        <f>SUBTOTAL(9,J91:J137)</f>
        <v>23896206.29805503</v>
      </c>
      <c r="K138" s="317"/>
      <c r="L138" s="316">
        <v>12157519.08</v>
      </c>
      <c r="M138" s="318"/>
      <c r="N138" s="312"/>
      <c r="O138" s="312"/>
      <c r="P138" s="312"/>
      <c r="Q138" s="312"/>
      <c r="R138" s="312"/>
      <c r="S138" s="312"/>
      <c r="T138" s="319"/>
      <c r="U138" s="529"/>
      <c r="V138" s="529"/>
    </row>
    <row r="139" spans="1:22" ht="11.1" customHeight="1" x14ac:dyDescent="0.25">
      <c r="K139" s="370"/>
      <c r="U139" s="529"/>
      <c r="V139" s="529"/>
    </row>
    <row r="140" spans="1:22" s="320" customFormat="1" ht="24.95" customHeight="1" x14ac:dyDescent="0.25">
      <c r="A140" s="672">
        <v>5</v>
      </c>
      <c r="B140" s="324" t="s">
        <v>344</v>
      </c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3"/>
      <c r="R140" s="322"/>
      <c r="S140" s="322"/>
      <c r="T140" s="323"/>
      <c r="U140" s="529"/>
      <c r="V140" s="529"/>
    </row>
    <row r="141" spans="1:22" ht="20.25" customHeight="1" x14ac:dyDescent="0.25">
      <c r="A141" s="672"/>
      <c r="B141" s="654" t="s">
        <v>189</v>
      </c>
      <c r="C141" s="654" t="s">
        <v>10</v>
      </c>
      <c r="D141" s="654" t="s">
        <v>494</v>
      </c>
      <c r="E141" s="654" t="s">
        <v>119</v>
      </c>
      <c r="F141" s="654" t="s">
        <v>120</v>
      </c>
      <c r="G141" s="654" t="s">
        <v>495</v>
      </c>
      <c r="H141" s="658" t="s">
        <v>289</v>
      </c>
      <c r="I141" s="659"/>
      <c r="J141" s="655" t="s">
        <v>190</v>
      </c>
      <c r="K141" s="655"/>
      <c r="L141" s="655"/>
      <c r="M141" s="655"/>
      <c r="N141" s="651" t="s">
        <v>191</v>
      </c>
      <c r="O141" s="651" t="s">
        <v>192</v>
      </c>
      <c r="P141" s="651" t="s">
        <v>193</v>
      </c>
      <c r="Q141" s="651"/>
      <c r="R141" s="657" t="s">
        <v>128</v>
      </c>
      <c r="S141" s="651" t="s">
        <v>129</v>
      </c>
      <c r="T141" s="651" t="s">
        <v>20</v>
      </c>
      <c r="U141" s="529"/>
      <c r="V141" s="529"/>
    </row>
    <row r="142" spans="1:22" ht="42" customHeight="1" x14ac:dyDescent="0.25">
      <c r="A142" s="672"/>
      <c r="B142" s="654"/>
      <c r="C142" s="654"/>
      <c r="D142" s="654"/>
      <c r="E142" s="654"/>
      <c r="F142" s="654"/>
      <c r="G142" s="654"/>
      <c r="H142" s="660"/>
      <c r="I142" s="661"/>
      <c r="J142" s="566" t="s">
        <v>130</v>
      </c>
      <c r="K142" s="242" t="s">
        <v>131</v>
      </c>
      <c r="L142" s="567" t="s">
        <v>132</v>
      </c>
      <c r="M142" s="567" t="s">
        <v>133</v>
      </c>
      <c r="N142" s="651"/>
      <c r="O142" s="651"/>
      <c r="P142" s="566" t="s">
        <v>742</v>
      </c>
      <c r="Q142" s="566" t="s">
        <v>346</v>
      </c>
      <c r="R142" s="657"/>
      <c r="S142" s="651"/>
      <c r="T142" s="651"/>
      <c r="U142" s="529"/>
      <c r="V142" s="529"/>
    </row>
    <row r="143" spans="1:22" s="236" customFormat="1" ht="31.5" outlineLevel="1" x14ac:dyDescent="0.25">
      <c r="A143" s="243" t="s">
        <v>347</v>
      </c>
      <c r="B143" s="292" t="s">
        <v>137</v>
      </c>
      <c r="C143" s="372" t="s">
        <v>743</v>
      </c>
      <c r="D143" s="293" t="s">
        <v>349</v>
      </c>
      <c r="E143" s="243" t="s">
        <v>347</v>
      </c>
      <c r="F143" s="294" t="s">
        <v>169</v>
      </c>
      <c r="G143" s="295" t="s">
        <v>342</v>
      </c>
      <c r="H143" s="294"/>
      <c r="I143" s="493"/>
      <c r="J143" s="283">
        <v>255313.04</v>
      </c>
      <c r="K143" s="285">
        <v>0.99999996083239617</v>
      </c>
      <c r="L143" s="283">
        <f t="shared" ref="L143:L154" si="3">K143*J143</f>
        <v>255313.03</v>
      </c>
      <c r="M143" s="285">
        <v>0</v>
      </c>
      <c r="N143" s="259" t="s">
        <v>136</v>
      </c>
      <c r="O143" s="294" t="s">
        <v>19</v>
      </c>
      <c r="P143" s="252">
        <v>43360</v>
      </c>
      <c r="Q143" s="364">
        <v>43375</v>
      </c>
      <c r="R143" s="373"/>
      <c r="S143" s="294"/>
      <c r="T143" s="255" t="s">
        <v>22</v>
      </c>
      <c r="U143" s="529"/>
      <c r="V143" s="529"/>
    </row>
    <row r="144" spans="1:22" s="410" customFormat="1" ht="47.25" hidden="1" outlineLevel="1" x14ac:dyDescent="0.25">
      <c r="A144" s="409" t="s">
        <v>350</v>
      </c>
      <c r="B144" s="396" t="s">
        <v>137</v>
      </c>
      <c r="C144" s="422" t="s">
        <v>668</v>
      </c>
      <c r="D144" s="398" t="s">
        <v>744</v>
      </c>
      <c r="E144" s="399" t="s">
        <v>350</v>
      </c>
      <c r="F144" s="399" t="s">
        <v>169</v>
      </c>
      <c r="G144" s="401" t="s">
        <v>342</v>
      </c>
      <c r="H144" s="401"/>
      <c r="I144" s="401"/>
      <c r="J144" s="426">
        <v>199999.97999999998</v>
      </c>
      <c r="K144" s="403">
        <v>0.40323004757852526</v>
      </c>
      <c r="L144" s="426">
        <f t="shared" si="3"/>
        <v>80646.001451104094</v>
      </c>
      <c r="M144" s="403">
        <v>0.59676998081264487</v>
      </c>
      <c r="N144" s="427" t="s">
        <v>745</v>
      </c>
      <c r="O144" s="400" t="s">
        <v>18</v>
      </c>
      <c r="P144" s="405">
        <v>43395</v>
      </c>
      <c r="Q144" s="406">
        <v>43405</v>
      </c>
      <c r="R144" s="428"/>
      <c r="S144" s="401"/>
      <c r="T144" s="392" t="s">
        <v>24</v>
      </c>
    </row>
    <row r="145" spans="1:22" s="410" customFormat="1" ht="38.25" hidden="1" customHeight="1" outlineLevel="1" x14ac:dyDescent="0.25">
      <c r="A145" s="409" t="s">
        <v>353</v>
      </c>
      <c r="B145" s="396" t="s">
        <v>137</v>
      </c>
      <c r="C145" s="422" t="s">
        <v>690</v>
      </c>
      <c r="D145" s="398" t="s">
        <v>647</v>
      </c>
      <c r="E145" s="409" t="s">
        <v>353</v>
      </c>
      <c r="F145" s="400" t="s">
        <v>746</v>
      </c>
      <c r="G145" s="401" t="s">
        <v>342</v>
      </c>
      <c r="H145" s="440"/>
      <c r="I145" s="440"/>
      <c r="J145" s="426">
        <v>94637.22</v>
      </c>
      <c r="K145" s="403">
        <v>0</v>
      </c>
      <c r="L145" s="426">
        <f t="shared" si="3"/>
        <v>0</v>
      </c>
      <c r="M145" s="403">
        <v>1.0000000420000019</v>
      </c>
      <c r="N145" s="427" t="s">
        <v>148</v>
      </c>
      <c r="O145" s="400" t="s">
        <v>18</v>
      </c>
      <c r="P145" s="405">
        <v>43426</v>
      </c>
      <c r="Q145" s="406">
        <v>43436</v>
      </c>
      <c r="R145" s="430"/>
      <c r="S145" s="401"/>
      <c r="T145" s="392" t="s">
        <v>24</v>
      </c>
    </row>
    <row r="146" spans="1:22" s="410" customFormat="1" ht="35.25" hidden="1" customHeight="1" outlineLevel="1" x14ac:dyDescent="0.25">
      <c r="A146" s="409" t="s">
        <v>358</v>
      </c>
      <c r="B146" s="396" t="s">
        <v>137</v>
      </c>
      <c r="C146" s="422" t="s">
        <v>747</v>
      </c>
      <c r="D146" s="414" t="s">
        <v>748</v>
      </c>
      <c r="E146" s="399" t="s">
        <v>358</v>
      </c>
      <c r="F146" s="400" t="s">
        <v>746</v>
      </c>
      <c r="G146" s="401" t="s">
        <v>342</v>
      </c>
      <c r="H146" s="429"/>
      <c r="I146" s="429"/>
      <c r="J146" s="426">
        <v>94637.22</v>
      </c>
      <c r="K146" s="403">
        <v>1</v>
      </c>
      <c r="L146" s="426">
        <f t="shared" si="3"/>
        <v>94637.22</v>
      </c>
      <c r="M146" s="403">
        <v>0</v>
      </c>
      <c r="N146" s="427" t="s">
        <v>148</v>
      </c>
      <c r="O146" s="400" t="s">
        <v>19</v>
      </c>
      <c r="P146" s="405">
        <v>43242</v>
      </c>
      <c r="Q146" s="406">
        <v>43252</v>
      </c>
      <c r="R146" s="430"/>
      <c r="S146" s="401"/>
      <c r="T146" s="392" t="s">
        <v>24</v>
      </c>
    </row>
    <row r="147" spans="1:22" s="410" customFormat="1" ht="47.25" hidden="1" outlineLevel="1" x14ac:dyDescent="0.25">
      <c r="A147" s="409" t="s">
        <v>362</v>
      </c>
      <c r="B147" s="396" t="s">
        <v>137</v>
      </c>
      <c r="C147" s="422" t="s">
        <v>749</v>
      </c>
      <c r="D147" s="398" t="s">
        <v>750</v>
      </c>
      <c r="E147" s="399"/>
      <c r="F147" s="399" t="s">
        <v>311</v>
      </c>
      <c r="G147" s="401" t="s">
        <v>36</v>
      </c>
      <c r="H147" s="401"/>
      <c r="I147" s="401"/>
      <c r="J147" s="426">
        <v>4552.24</v>
      </c>
      <c r="K147" s="403">
        <v>0</v>
      </c>
      <c r="L147" s="426">
        <f t="shared" si="3"/>
        <v>0</v>
      </c>
      <c r="M147" s="403">
        <v>1</v>
      </c>
      <c r="N147" s="427" t="s">
        <v>148</v>
      </c>
      <c r="O147" s="400" t="s">
        <v>18</v>
      </c>
      <c r="P147" s="405">
        <v>43557</v>
      </c>
      <c r="Q147" s="406">
        <v>43617</v>
      </c>
      <c r="R147" s="428" t="s">
        <v>751</v>
      </c>
      <c r="S147" s="401"/>
      <c r="T147" s="392" t="s">
        <v>24</v>
      </c>
    </row>
    <row r="148" spans="1:22" s="236" customFormat="1" ht="31.5" outlineLevel="1" x14ac:dyDescent="0.25">
      <c r="A148" s="243" t="s">
        <v>366</v>
      </c>
      <c r="B148" s="514" t="s">
        <v>137</v>
      </c>
      <c r="C148" s="527" t="s">
        <v>752</v>
      </c>
      <c r="D148" s="515" t="s">
        <v>349</v>
      </c>
      <c r="E148" s="516" t="s">
        <v>347</v>
      </c>
      <c r="F148" s="517" t="s">
        <v>169</v>
      </c>
      <c r="G148" s="518" t="s">
        <v>342</v>
      </c>
      <c r="H148" s="517"/>
      <c r="I148" s="519"/>
      <c r="J148" s="520">
        <v>34464.931931759435</v>
      </c>
      <c r="K148" s="521">
        <v>0.99999996083239617</v>
      </c>
      <c r="L148" s="520">
        <f t="shared" si="3"/>
        <v>34464.930581850633</v>
      </c>
      <c r="M148" s="521">
        <v>0</v>
      </c>
      <c r="N148" s="522" t="s">
        <v>136</v>
      </c>
      <c r="O148" s="288" t="s">
        <v>18</v>
      </c>
      <c r="P148" s="523">
        <v>43466</v>
      </c>
      <c r="Q148" s="524">
        <v>43466</v>
      </c>
      <c r="R148" s="525"/>
      <c r="S148" s="517"/>
      <c r="T148" s="526" t="s">
        <v>21</v>
      </c>
      <c r="U148" s="529"/>
      <c r="V148" s="529"/>
    </row>
    <row r="149" spans="1:22" s="236" customFormat="1" ht="45" customHeight="1" outlineLevel="1" x14ac:dyDescent="0.25">
      <c r="A149" s="243" t="s">
        <v>753</v>
      </c>
      <c r="B149" s="244" t="s">
        <v>137</v>
      </c>
      <c r="C149" s="245" t="s">
        <v>656</v>
      </c>
      <c r="D149" s="246" t="s">
        <v>657</v>
      </c>
      <c r="E149" s="247" t="s">
        <v>337</v>
      </c>
      <c r="F149" s="251" t="s">
        <v>305</v>
      </c>
      <c r="G149" s="518" t="s">
        <v>342</v>
      </c>
      <c r="H149" s="301"/>
      <c r="I149" s="301"/>
      <c r="J149" s="250">
        <v>28720.77</v>
      </c>
      <c r="K149" s="285">
        <v>0.99999965181991979</v>
      </c>
      <c r="L149" s="250">
        <f t="shared" si="3"/>
        <v>28720.76</v>
      </c>
      <c r="M149" s="285">
        <v>0</v>
      </c>
      <c r="N149" s="251" t="s">
        <v>148</v>
      </c>
      <c r="O149" s="251" t="s">
        <v>18</v>
      </c>
      <c r="P149" s="252">
        <v>43480</v>
      </c>
      <c r="Q149" s="253">
        <v>43495</v>
      </c>
      <c r="R149" s="260"/>
      <c r="S149" s="249"/>
      <c r="T149" s="255" t="s">
        <v>21</v>
      </c>
      <c r="U149" s="529"/>
      <c r="V149" s="529"/>
    </row>
    <row r="150" spans="1:22" s="236" customFormat="1" ht="39" customHeight="1" outlineLevel="1" x14ac:dyDescent="0.25">
      <c r="A150" s="243" t="s">
        <v>754</v>
      </c>
      <c r="B150" s="244" t="s">
        <v>137</v>
      </c>
      <c r="C150" s="245" t="s">
        <v>702</v>
      </c>
      <c r="D150" s="246" t="s">
        <v>703</v>
      </c>
      <c r="E150" s="247"/>
      <c r="F150" s="251" t="s">
        <v>568</v>
      </c>
      <c r="G150" s="518" t="s">
        <v>342</v>
      </c>
      <c r="H150" s="249"/>
      <c r="I150" s="249"/>
      <c r="J150" s="283">
        <v>71801.929999999993</v>
      </c>
      <c r="K150" s="285">
        <v>0</v>
      </c>
      <c r="L150" s="283">
        <f t="shared" si="3"/>
        <v>0</v>
      </c>
      <c r="M150" s="285">
        <v>1</v>
      </c>
      <c r="N150" s="259" t="s">
        <v>148</v>
      </c>
      <c r="O150" s="251" t="s">
        <v>18</v>
      </c>
      <c r="P150" s="252">
        <v>43480</v>
      </c>
      <c r="Q150" s="253">
        <v>43495</v>
      </c>
      <c r="R150" s="441"/>
      <c r="S150" s="249"/>
      <c r="T150" s="255" t="s">
        <v>21</v>
      </c>
      <c r="U150" s="529"/>
      <c r="V150" s="529"/>
    </row>
    <row r="151" spans="1:22" s="236" customFormat="1" ht="40.5" customHeight="1" outlineLevel="1" x14ac:dyDescent="0.25">
      <c r="A151" s="243" t="s">
        <v>755</v>
      </c>
      <c r="B151" s="244" t="s">
        <v>137</v>
      </c>
      <c r="C151" s="245" t="s">
        <v>709</v>
      </c>
      <c r="D151" s="246" t="s">
        <v>710</v>
      </c>
      <c r="E151" s="247"/>
      <c r="F151" s="251" t="s">
        <v>357</v>
      </c>
      <c r="G151" s="518" t="s">
        <v>342</v>
      </c>
      <c r="H151" s="249"/>
      <c r="I151" s="249"/>
      <c r="J151" s="283">
        <v>10925.38</v>
      </c>
      <c r="K151" s="285">
        <v>9.9999267760022992E-2</v>
      </c>
      <c r="L151" s="283">
        <f t="shared" si="3"/>
        <v>1092.53</v>
      </c>
      <c r="M151" s="285">
        <v>0.89999981694000586</v>
      </c>
      <c r="N151" s="259" t="s">
        <v>148</v>
      </c>
      <c r="O151" s="251" t="s">
        <v>18</v>
      </c>
      <c r="P151" s="252">
        <v>43720</v>
      </c>
      <c r="Q151" s="253">
        <v>43740</v>
      </c>
      <c r="R151" s="442"/>
      <c r="S151" s="249"/>
      <c r="T151" s="255" t="s">
        <v>21</v>
      </c>
      <c r="U151" s="529"/>
      <c r="V151" s="529"/>
    </row>
    <row r="152" spans="1:22" s="236" customFormat="1" ht="56.25" customHeight="1" outlineLevel="1" x14ac:dyDescent="0.25">
      <c r="A152" s="243" t="s">
        <v>756</v>
      </c>
      <c r="B152" s="244" t="s">
        <v>137</v>
      </c>
      <c r="C152" s="245" t="s">
        <v>712</v>
      </c>
      <c r="D152" s="246" t="s">
        <v>292</v>
      </c>
      <c r="E152" s="247"/>
      <c r="F152" s="251"/>
      <c r="G152" s="518" t="s">
        <v>342</v>
      </c>
      <c r="H152" s="249"/>
      <c r="I152" s="249"/>
      <c r="J152" s="283">
        <v>104701.59</v>
      </c>
      <c r="K152" s="285">
        <v>0.19999992359237334</v>
      </c>
      <c r="L152" s="283">
        <f t="shared" si="3"/>
        <v>20940.310000000001</v>
      </c>
      <c r="M152" s="285">
        <v>0.79999998089809343</v>
      </c>
      <c r="N152" s="259" t="s">
        <v>201</v>
      </c>
      <c r="O152" s="251" t="s">
        <v>18</v>
      </c>
      <c r="P152" s="252">
        <v>44055</v>
      </c>
      <c r="Q152" s="253">
        <v>44075</v>
      </c>
      <c r="R152" s="441"/>
      <c r="S152" s="249"/>
      <c r="T152" s="255" t="s">
        <v>21</v>
      </c>
      <c r="U152" s="529"/>
      <c r="V152" s="529"/>
    </row>
    <row r="153" spans="1:22" s="236" customFormat="1" ht="70.5" customHeight="1" outlineLevel="1" x14ac:dyDescent="0.25">
      <c r="A153" s="243" t="s">
        <v>757</v>
      </c>
      <c r="B153" s="244" t="s">
        <v>137</v>
      </c>
      <c r="C153" s="245" t="s">
        <v>727</v>
      </c>
      <c r="D153" s="246" t="s">
        <v>318</v>
      </c>
      <c r="E153" s="247"/>
      <c r="F153" s="251" t="s">
        <v>311</v>
      </c>
      <c r="G153" s="518" t="s">
        <v>342</v>
      </c>
      <c r="H153" s="249"/>
      <c r="I153" s="249"/>
      <c r="J153" s="283">
        <v>56005.514389109085</v>
      </c>
      <c r="K153" s="285">
        <v>1</v>
      </c>
      <c r="L153" s="283">
        <f t="shared" si="3"/>
        <v>56005.514389109085</v>
      </c>
      <c r="M153" s="285">
        <v>0</v>
      </c>
      <c r="N153" s="259" t="s">
        <v>145</v>
      </c>
      <c r="O153" s="251" t="s">
        <v>18</v>
      </c>
      <c r="P153" s="252">
        <v>43475</v>
      </c>
      <c r="Q153" s="253">
        <v>43495</v>
      </c>
      <c r="R153" s="442"/>
      <c r="S153" s="249"/>
      <c r="T153" s="255" t="s">
        <v>21</v>
      </c>
      <c r="U153" s="529"/>
      <c r="V153" s="529"/>
    </row>
    <row r="154" spans="1:22" s="236" customFormat="1" ht="70.5" customHeight="1" outlineLevel="1" x14ac:dyDescent="0.25">
      <c r="A154" s="243" t="s">
        <v>1002</v>
      </c>
      <c r="B154" s="244" t="s">
        <v>137</v>
      </c>
      <c r="C154" s="245" t="s">
        <v>1004</v>
      </c>
      <c r="D154" s="246" t="s">
        <v>402</v>
      </c>
      <c r="E154" s="247"/>
      <c r="F154" s="517" t="s">
        <v>169</v>
      </c>
      <c r="G154" s="518" t="s">
        <v>342</v>
      </c>
      <c r="H154" s="249"/>
      <c r="I154" s="249"/>
      <c r="J154" s="283">
        <f>34500</f>
        <v>34500</v>
      </c>
      <c r="K154" s="285">
        <v>0.99999982590999026</v>
      </c>
      <c r="L154" s="250">
        <f t="shared" si="3"/>
        <v>34499.993993894663</v>
      </c>
      <c r="M154" s="285">
        <v>0</v>
      </c>
      <c r="N154" s="259" t="s">
        <v>145</v>
      </c>
      <c r="O154" s="251" t="s">
        <v>18</v>
      </c>
      <c r="P154" s="252">
        <v>43506</v>
      </c>
      <c r="Q154" s="253">
        <v>43534</v>
      </c>
      <c r="R154" s="260"/>
      <c r="S154" s="249"/>
      <c r="T154" s="255" t="s">
        <v>21</v>
      </c>
      <c r="U154" s="529"/>
      <c r="V154" s="529"/>
    </row>
    <row r="155" spans="1:22" s="321" customFormat="1" ht="30" customHeight="1" x14ac:dyDescent="0.25">
      <c r="A155" s="424"/>
      <c r="B155" s="311"/>
      <c r="C155" s="312"/>
      <c r="D155" s="312"/>
      <c r="E155" s="312"/>
      <c r="F155" s="312"/>
      <c r="G155" s="313"/>
      <c r="H155" s="314"/>
      <c r="I155" s="315" t="s">
        <v>758</v>
      </c>
      <c r="J155" s="316">
        <f>SUBTOTAL(9,J143:J153)</f>
        <v>561933.15632086853</v>
      </c>
      <c r="K155" s="317"/>
      <c r="L155" s="316">
        <f>SUBTOTAL(9,L143:L153)</f>
        <v>396537.07497095974</v>
      </c>
      <c r="M155" s="318"/>
      <c r="N155" s="312"/>
      <c r="O155" s="312"/>
      <c r="P155" s="312"/>
      <c r="Q155" s="312"/>
      <c r="R155" s="312"/>
      <c r="S155" s="312"/>
      <c r="T155" s="319"/>
      <c r="U155" s="529"/>
      <c r="V155" s="529"/>
    </row>
    <row r="156" spans="1:22" ht="11.1" customHeight="1" x14ac:dyDescent="0.25">
      <c r="U156" s="529"/>
      <c r="V156" s="529"/>
    </row>
    <row r="157" spans="1:22" s="320" customFormat="1" ht="24.95" customHeight="1" x14ac:dyDescent="0.25">
      <c r="A157" s="672">
        <v>6</v>
      </c>
      <c r="B157" s="324" t="s">
        <v>370</v>
      </c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3"/>
      <c r="R157" s="322"/>
      <c r="S157" s="322"/>
      <c r="T157" s="323"/>
      <c r="U157" s="529"/>
      <c r="V157" s="529"/>
    </row>
    <row r="158" spans="1:22" ht="20.25" customHeight="1" x14ac:dyDescent="0.25">
      <c r="A158" s="672">
        <v>6</v>
      </c>
      <c r="B158" s="654" t="s">
        <v>189</v>
      </c>
      <c r="C158" s="654" t="s">
        <v>10</v>
      </c>
      <c r="D158" s="654" t="s">
        <v>494</v>
      </c>
      <c r="E158" s="654" t="s">
        <v>119</v>
      </c>
      <c r="F158" s="654" t="s">
        <v>120</v>
      </c>
      <c r="G158" s="654" t="s">
        <v>495</v>
      </c>
      <c r="H158" s="658" t="s">
        <v>289</v>
      </c>
      <c r="I158" s="659"/>
      <c r="J158" s="655" t="s">
        <v>190</v>
      </c>
      <c r="K158" s="655"/>
      <c r="L158" s="655"/>
      <c r="M158" s="655"/>
      <c r="N158" s="651" t="s">
        <v>191</v>
      </c>
      <c r="O158" s="651" t="s">
        <v>192</v>
      </c>
      <c r="P158" s="651" t="s">
        <v>193</v>
      </c>
      <c r="Q158" s="651"/>
      <c r="R158" s="657" t="s">
        <v>128</v>
      </c>
      <c r="S158" s="651" t="s">
        <v>129</v>
      </c>
      <c r="T158" s="651" t="s">
        <v>20</v>
      </c>
      <c r="U158" s="529"/>
      <c r="V158" s="529"/>
    </row>
    <row r="159" spans="1:22" ht="42" customHeight="1" x14ac:dyDescent="0.25">
      <c r="A159" s="672"/>
      <c r="B159" s="654"/>
      <c r="C159" s="654"/>
      <c r="D159" s="654"/>
      <c r="E159" s="654"/>
      <c r="F159" s="654"/>
      <c r="G159" s="654"/>
      <c r="H159" s="660"/>
      <c r="I159" s="661"/>
      <c r="J159" s="566" t="s">
        <v>130</v>
      </c>
      <c r="K159" s="242" t="s">
        <v>131</v>
      </c>
      <c r="L159" s="567" t="s">
        <v>132</v>
      </c>
      <c r="M159" s="567" t="s">
        <v>133</v>
      </c>
      <c r="N159" s="651"/>
      <c r="O159" s="651"/>
      <c r="P159" s="566" t="s">
        <v>371</v>
      </c>
      <c r="Q159" s="566" t="s">
        <v>135</v>
      </c>
      <c r="R159" s="657"/>
      <c r="S159" s="651"/>
      <c r="T159" s="651"/>
      <c r="U159" s="529"/>
      <c r="V159" s="529"/>
    </row>
    <row r="160" spans="1:22" s="236" customFormat="1" ht="31.5" outlineLevel="1" x14ac:dyDescent="0.25">
      <c r="A160" s="243" t="s">
        <v>372</v>
      </c>
      <c r="B160" s="244" t="s">
        <v>137</v>
      </c>
      <c r="C160" s="286" t="s">
        <v>759</v>
      </c>
      <c r="D160" s="246" t="s">
        <v>535</v>
      </c>
      <c r="E160" s="251" t="s">
        <v>372</v>
      </c>
      <c r="F160" s="251" t="s">
        <v>568</v>
      </c>
      <c r="G160" s="249" t="s">
        <v>36</v>
      </c>
      <c r="H160" s="249"/>
      <c r="I160" s="249"/>
      <c r="J160" s="283">
        <v>129243.77</v>
      </c>
      <c r="K160" s="285">
        <v>0</v>
      </c>
      <c r="L160" s="283">
        <f t="shared" ref="L160:L165" si="4">K160*J160</f>
        <v>0</v>
      </c>
      <c r="M160" s="285">
        <v>0.99999992262683135</v>
      </c>
      <c r="N160" s="259" t="s">
        <v>148</v>
      </c>
      <c r="O160" s="288" t="s">
        <v>999</v>
      </c>
      <c r="P160" s="252">
        <v>43412</v>
      </c>
      <c r="Q160" s="364">
        <v>43467</v>
      </c>
      <c r="R160" s="290" t="s">
        <v>704</v>
      </c>
      <c r="S160" s="249"/>
      <c r="T160" s="255" t="s">
        <v>21</v>
      </c>
      <c r="U160" s="529"/>
      <c r="V160" s="529"/>
    </row>
    <row r="161" spans="1:22" s="236" customFormat="1" ht="30" customHeight="1" outlineLevel="1" x14ac:dyDescent="0.25">
      <c r="A161" s="243" t="s">
        <v>378</v>
      </c>
      <c r="B161" s="244" t="s">
        <v>137</v>
      </c>
      <c r="C161" s="249" t="s">
        <v>760</v>
      </c>
      <c r="D161" s="246" t="s">
        <v>761</v>
      </c>
      <c r="E161" s="251" t="s">
        <v>378</v>
      </c>
      <c r="F161" s="361" t="s">
        <v>311</v>
      </c>
      <c r="G161" s="249" t="s">
        <v>36</v>
      </c>
      <c r="H161" s="249"/>
      <c r="I161" s="249"/>
      <c r="J161" s="283">
        <v>71801.94</v>
      </c>
      <c r="K161" s="285">
        <v>0</v>
      </c>
      <c r="L161" s="283">
        <f t="shared" si="4"/>
        <v>0</v>
      </c>
      <c r="M161" s="285">
        <v>1</v>
      </c>
      <c r="N161" s="259" t="s">
        <v>148</v>
      </c>
      <c r="O161" s="288" t="s">
        <v>999</v>
      </c>
      <c r="P161" s="252">
        <v>43471</v>
      </c>
      <c r="Q161" s="253">
        <v>43526</v>
      </c>
      <c r="R161" s="290" t="s">
        <v>51</v>
      </c>
      <c r="S161" s="249"/>
      <c r="T161" s="255" t="s">
        <v>21</v>
      </c>
      <c r="U161" s="529"/>
      <c r="V161" s="529"/>
    </row>
    <row r="162" spans="1:22" s="236" customFormat="1" ht="31.5" outlineLevel="1" x14ac:dyDescent="0.25">
      <c r="A162" s="243" t="s">
        <v>381</v>
      </c>
      <c r="B162" s="244" t="s">
        <v>137</v>
      </c>
      <c r="C162" s="249" t="s">
        <v>762</v>
      </c>
      <c r="D162" s="246" t="s">
        <v>385</v>
      </c>
      <c r="E162" s="251" t="s">
        <v>381</v>
      </c>
      <c r="F162" s="251" t="s">
        <v>169</v>
      </c>
      <c r="G162" s="249" t="s">
        <v>42</v>
      </c>
      <c r="H162" s="249"/>
      <c r="I162" s="249"/>
      <c r="J162" s="283">
        <v>60552.01</v>
      </c>
      <c r="K162" s="285">
        <v>1</v>
      </c>
      <c r="L162" s="283">
        <f t="shared" si="4"/>
        <v>60552.01</v>
      </c>
      <c r="M162" s="285">
        <v>0</v>
      </c>
      <c r="N162" s="259" t="s">
        <v>136</v>
      </c>
      <c r="O162" s="288" t="s">
        <v>18</v>
      </c>
      <c r="P162" s="252">
        <v>43412</v>
      </c>
      <c r="Q162" s="253">
        <v>43436</v>
      </c>
      <c r="R162" s="290"/>
      <c r="S162" s="249"/>
      <c r="T162" s="255" t="s">
        <v>21</v>
      </c>
      <c r="U162" s="529"/>
      <c r="V162" s="529"/>
    </row>
    <row r="163" spans="1:22" s="236" customFormat="1" ht="31.5" outlineLevel="1" x14ac:dyDescent="0.25">
      <c r="A163" s="243" t="s">
        <v>383</v>
      </c>
      <c r="B163" s="244" t="s">
        <v>137</v>
      </c>
      <c r="C163" s="245" t="s">
        <v>763</v>
      </c>
      <c r="D163" s="246" t="s">
        <v>764</v>
      </c>
      <c r="E163" s="247" t="s">
        <v>383</v>
      </c>
      <c r="F163" s="251" t="s">
        <v>305</v>
      </c>
      <c r="G163" s="249" t="s">
        <v>36</v>
      </c>
      <c r="H163" s="249"/>
      <c r="I163" s="475"/>
      <c r="J163" s="283">
        <v>20104.53</v>
      </c>
      <c r="K163" s="285">
        <v>0</v>
      </c>
      <c r="L163" s="283">
        <f t="shared" si="4"/>
        <v>0</v>
      </c>
      <c r="M163" s="285">
        <v>1</v>
      </c>
      <c r="N163" s="259" t="s">
        <v>148</v>
      </c>
      <c r="O163" s="288" t="s">
        <v>999</v>
      </c>
      <c r="P163" s="252">
        <v>43440</v>
      </c>
      <c r="Q163" s="253">
        <v>43495</v>
      </c>
      <c r="R163" s="290" t="s">
        <v>51</v>
      </c>
      <c r="S163" s="249"/>
      <c r="T163" s="255" t="s">
        <v>21</v>
      </c>
      <c r="U163" s="529"/>
      <c r="V163" s="529"/>
    </row>
    <row r="164" spans="1:22" s="236" customFormat="1" ht="47.25" outlineLevel="1" x14ac:dyDescent="0.25">
      <c r="A164" s="243" t="s">
        <v>765</v>
      </c>
      <c r="B164" s="275" t="s">
        <v>137</v>
      </c>
      <c r="C164" s="286" t="s">
        <v>766</v>
      </c>
      <c r="D164" s="287" t="s">
        <v>767</v>
      </c>
      <c r="E164" s="247"/>
      <c r="F164" s="279" t="s">
        <v>357</v>
      </c>
      <c r="G164" s="249" t="s">
        <v>42</v>
      </c>
      <c r="H164" s="278"/>
      <c r="I164" s="278"/>
      <c r="J164" s="283">
        <v>113806.07</v>
      </c>
      <c r="K164" s="285">
        <v>9.9999762754306512E-2</v>
      </c>
      <c r="L164" s="283">
        <f t="shared" si="4"/>
        <v>11380.58</v>
      </c>
      <c r="M164" s="285">
        <v>0.89999971003304113</v>
      </c>
      <c r="N164" s="309" t="s">
        <v>148</v>
      </c>
      <c r="O164" s="279" t="s">
        <v>18</v>
      </c>
      <c r="P164" s="288">
        <v>43443</v>
      </c>
      <c r="Q164" s="289">
        <v>43467</v>
      </c>
      <c r="R164" s="362"/>
      <c r="S164" s="278"/>
      <c r="T164" s="306" t="s">
        <v>21</v>
      </c>
      <c r="U164" s="529"/>
      <c r="V164" s="529"/>
    </row>
    <row r="165" spans="1:22" s="236" customFormat="1" ht="36" customHeight="1" outlineLevel="1" x14ac:dyDescent="0.25">
      <c r="A165" s="243" t="s">
        <v>768</v>
      </c>
      <c r="B165" s="275" t="s">
        <v>137</v>
      </c>
      <c r="C165" s="286" t="s">
        <v>769</v>
      </c>
      <c r="D165" s="287" t="s">
        <v>770</v>
      </c>
      <c r="E165" s="247"/>
      <c r="F165" s="279" t="s">
        <v>357</v>
      </c>
      <c r="G165" s="249" t="s">
        <v>42</v>
      </c>
      <c r="H165" s="278"/>
      <c r="I165" s="278"/>
      <c r="J165" s="283">
        <v>113806.07</v>
      </c>
      <c r="K165" s="285">
        <v>9.9999938491857246E-2</v>
      </c>
      <c r="L165" s="283">
        <f t="shared" si="4"/>
        <v>11380.6</v>
      </c>
      <c r="M165" s="285">
        <v>0.89999979790181661</v>
      </c>
      <c r="N165" s="309" t="s">
        <v>148</v>
      </c>
      <c r="O165" s="279" t="s">
        <v>18</v>
      </c>
      <c r="P165" s="288">
        <v>43471</v>
      </c>
      <c r="Q165" s="363">
        <v>43495</v>
      </c>
      <c r="R165" s="362"/>
      <c r="S165" s="278"/>
      <c r="T165" s="306" t="s">
        <v>21</v>
      </c>
      <c r="U165" s="529"/>
      <c r="V165" s="529"/>
    </row>
    <row r="166" spans="1:22" s="410" customFormat="1" ht="31.5" hidden="1" outlineLevel="1" x14ac:dyDescent="0.25">
      <c r="A166" s="409" t="s">
        <v>771</v>
      </c>
      <c r="B166" s="396" t="s">
        <v>137</v>
      </c>
      <c r="C166" s="422" t="s">
        <v>772</v>
      </c>
      <c r="D166" s="398" t="s">
        <v>385</v>
      </c>
      <c r="E166" s="399"/>
      <c r="F166" s="399" t="s">
        <v>357</v>
      </c>
      <c r="G166" s="401" t="s">
        <v>42</v>
      </c>
      <c r="H166" s="401"/>
      <c r="I166" s="401"/>
      <c r="J166" s="426">
        <v>1372.8531219484175</v>
      </c>
      <c r="K166" s="403">
        <v>1</v>
      </c>
      <c r="L166" s="426">
        <v>2745.7062438968351</v>
      </c>
      <c r="M166" s="403">
        <v>0</v>
      </c>
      <c r="N166" s="427" t="s">
        <v>136</v>
      </c>
      <c r="O166" s="400" t="s">
        <v>18</v>
      </c>
      <c r="P166" s="405">
        <v>43412</v>
      </c>
      <c r="Q166" s="406">
        <v>43412</v>
      </c>
      <c r="R166" s="428"/>
      <c r="S166" s="401"/>
      <c r="T166" s="392" t="s">
        <v>24</v>
      </c>
    </row>
    <row r="167" spans="1:22" s="321" customFormat="1" ht="30" customHeight="1" collapsed="1" x14ac:dyDescent="0.25">
      <c r="A167" s="424"/>
      <c r="B167" s="311"/>
      <c r="C167" s="312"/>
      <c r="D167" s="312"/>
      <c r="E167" s="312"/>
      <c r="F167" s="312"/>
      <c r="G167" s="313"/>
      <c r="H167" s="314"/>
      <c r="I167" s="315" t="s">
        <v>773</v>
      </c>
      <c r="J167" s="316">
        <f>SUBTOTAL(9,J160:J166)</f>
        <v>509314.39</v>
      </c>
      <c r="K167" s="317"/>
      <c r="L167" s="316">
        <v>83313.19</v>
      </c>
      <c r="M167" s="318"/>
      <c r="N167" s="312"/>
      <c r="O167" s="312"/>
      <c r="P167" s="312"/>
      <c r="Q167" s="312"/>
      <c r="R167" s="312"/>
      <c r="S167" s="312"/>
      <c r="T167" s="319"/>
      <c r="U167" s="529"/>
      <c r="V167" s="529"/>
    </row>
    <row r="168" spans="1:22" ht="11.1" customHeight="1" x14ac:dyDescent="0.25">
      <c r="H168" s="261"/>
      <c r="I168" s="261"/>
      <c r="J168" s="261"/>
      <c r="K168" s="262"/>
      <c r="L168" s="262"/>
      <c r="M168" s="263"/>
      <c r="N168" s="263"/>
      <c r="O168" s="261"/>
      <c r="P168" s="261"/>
      <c r="Q168" s="261"/>
      <c r="R168" s="261"/>
      <c r="S168" s="261"/>
      <c r="T168" s="261"/>
      <c r="U168" s="529"/>
      <c r="V168" s="529"/>
    </row>
    <row r="169" spans="1:22" s="320" customFormat="1" ht="39.75" customHeight="1" x14ac:dyDescent="0.25">
      <c r="A169" s="672">
        <v>7</v>
      </c>
      <c r="B169" s="324" t="s">
        <v>387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3"/>
      <c r="R169" s="322"/>
      <c r="S169" s="322"/>
      <c r="T169" s="323"/>
      <c r="U169" s="529"/>
      <c r="V169" s="529"/>
    </row>
    <row r="170" spans="1:22" ht="20.25" customHeight="1" x14ac:dyDescent="0.25">
      <c r="A170" s="672"/>
      <c r="B170" s="654" t="s">
        <v>189</v>
      </c>
      <c r="C170" s="654" t="s">
        <v>388</v>
      </c>
      <c r="D170" s="654" t="s">
        <v>494</v>
      </c>
      <c r="E170" s="654" t="s">
        <v>119</v>
      </c>
      <c r="F170" s="654" t="s">
        <v>120</v>
      </c>
      <c r="G170" s="654"/>
      <c r="H170" s="654" t="s">
        <v>123</v>
      </c>
      <c r="I170" s="654"/>
      <c r="J170" s="655" t="s">
        <v>190</v>
      </c>
      <c r="K170" s="655"/>
      <c r="L170" s="655"/>
      <c r="M170" s="655"/>
      <c r="N170" s="651" t="s">
        <v>191</v>
      </c>
      <c r="O170" s="656" t="s">
        <v>389</v>
      </c>
      <c r="P170" s="651" t="s">
        <v>193</v>
      </c>
      <c r="Q170" s="651"/>
      <c r="R170" s="652" t="s">
        <v>390</v>
      </c>
      <c r="S170" s="651" t="s">
        <v>129</v>
      </c>
      <c r="T170" s="651" t="s">
        <v>20</v>
      </c>
      <c r="U170" s="529"/>
      <c r="V170" s="529"/>
    </row>
    <row r="171" spans="1:22" ht="48.75" customHeight="1" x14ac:dyDescent="0.25">
      <c r="A171" s="672"/>
      <c r="B171" s="654"/>
      <c r="C171" s="654"/>
      <c r="D171" s="654"/>
      <c r="E171" s="654"/>
      <c r="F171" s="654"/>
      <c r="G171" s="654"/>
      <c r="H171" s="654"/>
      <c r="I171" s="654"/>
      <c r="J171" s="566" t="s">
        <v>130</v>
      </c>
      <c r="K171" s="566" t="s">
        <v>131</v>
      </c>
      <c r="L171" s="567" t="s">
        <v>132</v>
      </c>
      <c r="M171" s="242" t="s">
        <v>133</v>
      </c>
      <c r="N171" s="651"/>
      <c r="O171" s="656"/>
      <c r="P171" s="328" t="s">
        <v>774</v>
      </c>
      <c r="Q171" s="566" t="s">
        <v>392</v>
      </c>
      <c r="R171" s="653"/>
      <c r="S171" s="651"/>
      <c r="T171" s="651"/>
      <c r="U171" s="529"/>
      <c r="V171" s="529"/>
    </row>
    <row r="172" spans="1:22" s="236" customFormat="1" ht="30" customHeight="1" outlineLevel="1" x14ac:dyDescent="0.25">
      <c r="A172" s="243" t="s">
        <v>393</v>
      </c>
      <c r="B172" s="292" t="s">
        <v>137</v>
      </c>
      <c r="C172" s="286" t="s">
        <v>775</v>
      </c>
      <c r="D172" s="293" t="s">
        <v>776</v>
      </c>
      <c r="E172" s="294" t="s">
        <v>393</v>
      </c>
      <c r="F172" s="668" t="s">
        <v>169</v>
      </c>
      <c r="G172" s="669"/>
      <c r="H172" s="295"/>
      <c r="I172" s="295"/>
      <c r="J172" s="283">
        <v>295463.89</v>
      </c>
      <c r="K172" s="285">
        <v>1</v>
      </c>
      <c r="L172" s="283">
        <f t="shared" ref="L172:L184" si="5">K172*J172</f>
        <v>295463.89</v>
      </c>
      <c r="M172" s="285">
        <v>0</v>
      </c>
      <c r="N172" s="297" t="s">
        <v>148</v>
      </c>
      <c r="O172" s="294" t="s">
        <v>18</v>
      </c>
      <c r="P172" s="252">
        <v>43313</v>
      </c>
      <c r="Q172" s="364"/>
      <c r="R172" s="298"/>
      <c r="S172" s="295"/>
      <c r="T172" s="296" t="s">
        <v>27</v>
      </c>
      <c r="U172" s="529"/>
      <c r="V172" s="529"/>
    </row>
    <row r="173" spans="1:22" s="236" customFormat="1" ht="27.95" customHeight="1" outlineLevel="1" x14ac:dyDescent="0.25">
      <c r="A173" s="243" t="s">
        <v>397</v>
      </c>
      <c r="B173" s="244" t="s">
        <v>137</v>
      </c>
      <c r="C173" s="245" t="s">
        <v>777</v>
      </c>
      <c r="D173" s="299" t="s">
        <v>778</v>
      </c>
      <c r="E173" s="264" t="s">
        <v>397</v>
      </c>
      <c r="F173" s="668" t="s">
        <v>169</v>
      </c>
      <c r="G173" s="669"/>
      <c r="H173" s="265"/>
      <c r="I173" s="265"/>
      <c r="J173" s="283">
        <v>0</v>
      </c>
      <c r="K173" s="285">
        <v>0</v>
      </c>
      <c r="L173" s="283">
        <f t="shared" si="5"/>
        <v>0</v>
      </c>
      <c r="M173" s="285">
        <v>0</v>
      </c>
      <c r="N173" s="259" t="s">
        <v>148</v>
      </c>
      <c r="O173" s="264" t="s">
        <v>18</v>
      </c>
      <c r="P173" s="252">
        <v>43435</v>
      </c>
      <c r="Q173" s="253"/>
      <c r="R173" s="266"/>
      <c r="S173" s="265"/>
      <c r="T173" s="267" t="s">
        <v>21</v>
      </c>
      <c r="U173" s="529"/>
      <c r="V173" s="529"/>
    </row>
    <row r="174" spans="1:22" s="236" customFormat="1" ht="27.95" customHeight="1" outlineLevel="1" x14ac:dyDescent="0.25">
      <c r="A174" s="243" t="s">
        <v>400</v>
      </c>
      <c r="B174" s="244" t="s">
        <v>137</v>
      </c>
      <c r="C174" s="245" t="s">
        <v>779</v>
      </c>
      <c r="D174" s="246" t="s">
        <v>780</v>
      </c>
      <c r="E174" s="251" t="s">
        <v>400</v>
      </c>
      <c r="F174" s="668" t="s">
        <v>169</v>
      </c>
      <c r="G174" s="669"/>
      <c r="H174" s="249"/>
      <c r="I174" s="365"/>
      <c r="J174" s="283">
        <v>319545.61</v>
      </c>
      <c r="K174" s="285">
        <v>0.6361389849793273</v>
      </c>
      <c r="L174" s="283">
        <f t="shared" si="5"/>
        <v>203275.41999999998</v>
      </c>
      <c r="M174" s="285">
        <v>0.3638610150206727</v>
      </c>
      <c r="N174" s="259" t="s">
        <v>145</v>
      </c>
      <c r="O174" s="264" t="s">
        <v>18</v>
      </c>
      <c r="P174" s="252">
        <v>43435</v>
      </c>
      <c r="Q174" s="253"/>
      <c r="R174" s="260"/>
      <c r="S174" s="249"/>
      <c r="T174" s="255" t="s">
        <v>21</v>
      </c>
      <c r="U174" s="529"/>
      <c r="V174" s="529"/>
    </row>
    <row r="175" spans="1:22" s="410" customFormat="1" ht="30" hidden="1" customHeight="1" outlineLevel="1" x14ac:dyDescent="0.25">
      <c r="A175" s="243" t="s">
        <v>404</v>
      </c>
      <c r="B175" s="461" t="s">
        <v>137</v>
      </c>
      <c r="C175" s="422" t="s">
        <v>405</v>
      </c>
      <c r="D175" s="462" t="s">
        <v>406</v>
      </c>
      <c r="E175" s="463" t="s">
        <v>404</v>
      </c>
      <c r="F175" s="670" t="s">
        <v>781</v>
      </c>
      <c r="G175" s="671"/>
      <c r="H175" s="454"/>
      <c r="I175" s="454"/>
      <c r="J175" s="464">
        <v>105080.68</v>
      </c>
      <c r="K175" s="465">
        <v>0.74999990483502776</v>
      </c>
      <c r="L175" s="464">
        <f t="shared" si="5"/>
        <v>78810.5</v>
      </c>
      <c r="M175" s="465">
        <v>0.24999990483502774</v>
      </c>
      <c r="N175" s="466" t="s">
        <v>201</v>
      </c>
      <c r="O175" s="466" t="s">
        <v>19</v>
      </c>
      <c r="P175" s="467">
        <v>43313</v>
      </c>
      <c r="Q175" s="468"/>
      <c r="R175" s="568"/>
      <c r="S175" s="454"/>
      <c r="T175" s="469" t="s">
        <v>24</v>
      </c>
    </row>
    <row r="176" spans="1:22" s="236" customFormat="1" ht="30" customHeight="1" outlineLevel="1" x14ac:dyDescent="0.25">
      <c r="A176" s="243" t="s">
        <v>782</v>
      </c>
      <c r="B176" s="244" t="s">
        <v>137</v>
      </c>
      <c r="C176" s="245" t="s">
        <v>783</v>
      </c>
      <c r="D176" s="246" t="s">
        <v>784</v>
      </c>
      <c r="E176" s="251"/>
      <c r="F176" s="668" t="s">
        <v>169</v>
      </c>
      <c r="G176" s="669"/>
      <c r="H176" s="249"/>
      <c r="I176" s="249"/>
      <c r="J176" s="388">
        <v>359802.58</v>
      </c>
      <c r="K176" s="389">
        <v>0.99999997220698078</v>
      </c>
      <c r="L176" s="388">
        <f t="shared" si="5"/>
        <v>359802.57</v>
      </c>
      <c r="M176" s="389">
        <v>0</v>
      </c>
      <c r="N176" s="259" t="s">
        <v>148</v>
      </c>
      <c r="O176" s="264" t="s">
        <v>18</v>
      </c>
      <c r="P176" s="252">
        <v>43313</v>
      </c>
      <c r="Q176" s="253"/>
      <c r="R176" s="260"/>
      <c r="S176" s="249"/>
      <c r="T176" s="255" t="s">
        <v>27</v>
      </c>
      <c r="U176" s="529"/>
      <c r="V176" s="529"/>
    </row>
    <row r="177" spans="1:22" s="236" customFormat="1" ht="30" customHeight="1" outlineLevel="1" x14ac:dyDescent="0.25">
      <c r="A177" s="243" t="s">
        <v>785</v>
      </c>
      <c r="B177" s="275" t="s">
        <v>137</v>
      </c>
      <c r="C177" s="286" t="s">
        <v>786</v>
      </c>
      <c r="D177" s="287" t="s">
        <v>787</v>
      </c>
      <c r="E177" s="279"/>
      <c r="F177" s="673" t="s">
        <v>169</v>
      </c>
      <c r="G177" s="674"/>
      <c r="H177" s="278"/>
      <c r="I177" s="278"/>
      <c r="J177" s="283">
        <v>915420.54</v>
      </c>
      <c r="K177" s="285">
        <v>0</v>
      </c>
      <c r="L177" s="283">
        <f t="shared" si="5"/>
        <v>0</v>
      </c>
      <c r="M177" s="285">
        <v>1</v>
      </c>
      <c r="N177" s="309" t="s">
        <v>148</v>
      </c>
      <c r="O177" s="264" t="s">
        <v>18</v>
      </c>
      <c r="P177" s="288">
        <v>43435</v>
      </c>
      <c r="Q177" s="289"/>
      <c r="R177" s="366"/>
      <c r="S177" s="278"/>
      <c r="T177" s="306" t="s">
        <v>21</v>
      </c>
      <c r="U177" s="529"/>
      <c r="V177" s="529"/>
    </row>
    <row r="178" spans="1:22" s="257" customFormat="1" ht="27.95" customHeight="1" outlineLevel="1" x14ac:dyDescent="0.25">
      <c r="A178" s="243" t="s">
        <v>788</v>
      </c>
      <c r="B178" s="374" t="s">
        <v>137</v>
      </c>
      <c r="C178" s="375" t="s">
        <v>789</v>
      </c>
      <c r="D178" s="376" t="s">
        <v>790</v>
      </c>
      <c r="E178" s="361"/>
      <c r="F178" s="666" t="s">
        <v>169</v>
      </c>
      <c r="G178" s="667"/>
      <c r="H178" s="281"/>
      <c r="I178" s="281"/>
      <c r="J178" s="308">
        <v>546269.17000000004</v>
      </c>
      <c r="K178" s="395">
        <v>0.29999997986340687</v>
      </c>
      <c r="L178" s="308">
        <f t="shared" si="5"/>
        <v>163880.74</v>
      </c>
      <c r="M178" s="395">
        <v>0.69999996521861185</v>
      </c>
      <c r="N178" s="377" t="s">
        <v>145</v>
      </c>
      <c r="O178" s="264" t="s">
        <v>18</v>
      </c>
      <c r="P178" s="252">
        <v>43435</v>
      </c>
      <c r="Q178" s="379"/>
      <c r="R178" s="380"/>
      <c r="S178" s="281"/>
      <c r="T178" s="381" t="s">
        <v>21</v>
      </c>
      <c r="U178" s="529"/>
      <c r="V178" s="529"/>
    </row>
    <row r="179" spans="1:22" s="257" customFormat="1" ht="27.95" customHeight="1" outlineLevel="1" x14ac:dyDescent="0.25">
      <c r="A179" s="243" t="s">
        <v>791</v>
      </c>
      <c r="B179" s="244" t="s">
        <v>137</v>
      </c>
      <c r="C179" s="245" t="s">
        <v>792</v>
      </c>
      <c r="D179" s="246" t="s">
        <v>793</v>
      </c>
      <c r="E179" s="251"/>
      <c r="F179" s="668" t="s">
        <v>169</v>
      </c>
      <c r="G179" s="669"/>
      <c r="H179" s="249"/>
      <c r="I179" s="249"/>
      <c r="J179" s="308">
        <v>375104.82</v>
      </c>
      <c r="K179" s="390">
        <v>0.13640768465731792</v>
      </c>
      <c r="L179" s="308">
        <f t="shared" si="5"/>
        <v>51167.18</v>
      </c>
      <c r="M179" s="390">
        <v>0.86359210206896297</v>
      </c>
      <c r="N179" s="259" t="s">
        <v>145</v>
      </c>
      <c r="O179" s="264" t="s">
        <v>18</v>
      </c>
      <c r="P179" s="252">
        <v>43435</v>
      </c>
      <c r="Q179" s="253"/>
      <c r="R179" s="260"/>
      <c r="S179" s="249"/>
      <c r="T179" s="255" t="s">
        <v>21</v>
      </c>
      <c r="U179" s="529"/>
      <c r="V179" s="529"/>
    </row>
    <row r="180" spans="1:22" s="257" customFormat="1" ht="27.95" customHeight="1" outlineLevel="1" x14ac:dyDescent="0.25">
      <c r="A180" s="243" t="s">
        <v>794</v>
      </c>
      <c r="B180" s="244" t="s">
        <v>137</v>
      </c>
      <c r="C180" s="245" t="s">
        <v>804</v>
      </c>
      <c r="D180" s="246" t="s">
        <v>796</v>
      </c>
      <c r="E180" s="251"/>
      <c r="F180" s="668" t="s">
        <v>169</v>
      </c>
      <c r="G180" s="669"/>
      <c r="H180" s="249"/>
      <c r="I180" s="249"/>
      <c r="J180" s="308">
        <v>85085.3</v>
      </c>
      <c r="K180" s="390">
        <v>0.99105485906496182</v>
      </c>
      <c r="L180" s="308">
        <f t="shared" si="5"/>
        <v>84324.2</v>
      </c>
      <c r="M180" s="390">
        <v>8.9447883476934335E-3</v>
      </c>
      <c r="N180" s="259" t="s">
        <v>145</v>
      </c>
      <c r="O180" s="264" t="s">
        <v>18</v>
      </c>
      <c r="P180" s="252">
        <v>43435</v>
      </c>
      <c r="Q180" s="253"/>
      <c r="R180" s="260"/>
      <c r="S180" s="249"/>
      <c r="T180" s="255" t="s">
        <v>21</v>
      </c>
      <c r="U180" s="529"/>
      <c r="V180" s="529"/>
    </row>
    <row r="181" spans="1:22" s="257" customFormat="1" ht="27.95" customHeight="1" outlineLevel="1" x14ac:dyDescent="0.25">
      <c r="A181" s="243" t="s">
        <v>797</v>
      </c>
      <c r="B181" s="244" t="s">
        <v>137</v>
      </c>
      <c r="C181" s="245" t="s">
        <v>798</v>
      </c>
      <c r="D181" s="246" t="s">
        <v>799</v>
      </c>
      <c r="E181" s="251"/>
      <c r="F181" s="668" t="s">
        <v>169</v>
      </c>
      <c r="G181" s="669"/>
      <c r="H181" s="249"/>
      <c r="I181" s="249"/>
      <c r="J181" s="308">
        <v>1889093.85</v>
      </c>
      <c r="K181" s="390">
        <v>3.8008662195369483E-2</v>
      </c>
      <c r="L181" s="308">
        <f t="shared" si="5"/>
        <v>71801.929999999993</v>
      </c>
      <c r="M181" s="390">
        <v>0.96199132721754388</v>
      </c>
      <c r="N181" s="259" t="s">
        <v>145</v>
      </c>
      <c r="O181" s="264" t="s">
        <v>18</v>
      </c>
      <c r="P181" s="252">
        <v>43435</v>
      </c>
      <c r="Q181" s="253"/>
      <c r="R181" s="260"/>
      <c r="S181" s="249"/>
      <c r="T181" s="255" t="s">
        <v>21</v>
      </c>
      <c r="U181" s="529"/>
      <c r="V181" s="529"/>
    </row>
    <row r="182" spans="1:22" s="257" customFormat="1" ht="27.95" customHeight="1" outlineLevel="1" x14ac:dyDescent="0.25">
      <c r="A182" s="243" t="s">
        <v>800</v>
      </c>
      <c r="B182" s="244" t="s">
        <v>137</v>
      </c>
      <c r="C182" s="245" t="s">
        <v>801</v>
      </c>
      <c r="D182" s="246" t="s">
        <v>802</v>
      </c>
      <c r="E182" s="251"/>
      <c r="F182" s="668" t="s">
        <v>169</v>
      </c>
      <c r="G182" s="669"/>
      <c r="H182" s="249"/>
      <c r="I182" s="249"/>
      <c r="J182" s="308">
        <v>170830.29</v>
      </c>
      <c r="K182" s="390">
        <v>0.42420515705967599</v>
      </c>
      <c r="L182" s="308">
        <f t="shared" si="5"/>
        <v>72467.09</v>
      </c>
      <c r="M182" s="390">
        <v>0.57579478440269583</v>
      </c>
      <c r="N182" s="259" t="s">
        <v>145</v>
      </c>
      <c r="O182" s="264" t="s">
        <v>18</v>
      </c>
      <c r="P182" s="252">
        <v>43435</v>
      </c>
      <c r="Q182" s="253"/>
      <c r="R182" s="260"/>
      <c r="S182" s="249"/>
      <c r="T182" s="255" t="s">
        <v>21</v>
      </c>
      <c r="U182" s="529"/>
      <c r="V182" s="529"/>
    </row>
    <row r="183" spans="1:22" s="257" customFormat="1" ht="27.95" customHeight="1" outlineLevel="1" x14ac:dyDescent="0.25">
      <c r="A183" s="243" t="s">
        <v>803</v>
      </c>
      <c r="B183" s="374" t="s">
        <v>137</v>
      </c>
      <c r="C183" s="375" t="s">
        <v>795</v>
      </c>
      <c r="D183" s="376" t="s">
        <v>796</v>
      </c>
      <c r="E183" s="361"/>
      <c r="F183" s="666" t="s">
        <v>169</v>
      </c>
      <c r="G183" s="667"/>
      <c r="H183" s="281"/>
      <c r="I183" s="281"/>
      <c r="J183" s="308">
        <v>85085.3</v>
      </c>
      <c r="K183" s="391">
        <v>0.99105485906496182</v>
      </c>
      <c r="L183" s="308">
        <f t="shared" si="5"/>
        <v>84324.2</v>
      </c>
      <c r="M183" s="391">
        <v>8.9447883476934335E-3</v>
      </c>
      <c r="N183" s="377" t="s">
        <v>145</v>
      </c>
      <c r="O183" s="264" t="s">
        <v>18</v>
      </c>
      <c r="P183" s="252">
        <v>43435</v>
      </c>
      <c r="Q183" s="379"/>
      <c r="R183" s="380"/>
      <c r="S183" s="281"/>
      <c r="T183" s="381" t="s">
        <v>21</v>
      </c>
      <c r="U183" s="529"/>
      <c r="V183" s="529"/>
    </row>
    <row r="184" spans="1:22" s="257" customFormat="1" ht="27.95" customHeight="1" outlineLevel="1" x14ac:dyDescent="0.25">
      <c r="A184" s="243" t="s">
        <v>805</v>
      </c>
      <c r="B184" s="374" t="s">
        <v>137</v>
      </c>
      <c r="C184" s="375" t="s">
        <v>806</v>
      </c>
      <c r="D184" s="376" t="s">
        <v>807</v>
      </c>
      <c r="E184" s="361"/>
      <c r="F184" s="666" t="s">
        <v>169</v>
      </c>
      <c r="G184" s="667"/>
      <c r="H184" s="281"/>
      <c r="I184" s="281"/>
      <c r="J184" s="308">
        <v>5284076</v>
      </c>
      <c r="K184" s="391">
        <v>0.29391645010404843</v>
      </c>
      <c r="L184" s="308">
        <f t="shared" si="5"/>
        <v>1553076.8599999999</v>
      </c>
      <c r="M184" s="391">
        <v>0.70608354989595157</v>
      </c>
      <c r="N184" s="377" t="s">
        <v>145</v>
      </c>
      <c r="O184" s="264" t="s">
        <v>18</v>
      </c>
      <c r="P184" s="252">
        <v>43435</v>
      </c>
      <c r="Q184" s="379"/>
      <c r="R184" s="380"/>
      <c r="S184" s="281"/>
      <c r="T184" s="381" t="s">
        <v>21</v>
      </c>
      <c r="U184" s="529"/>
      <c r="V184" s="529"/>
    </row>
    <row r="185" spans="1:22" s="257" customFormat="1" ht="27.95" customHeight="1" outlineLevel="1" x14ac:dyDescent="0.25">
      <c r="A185" s="243" t="s">
        <v>808</v>
      </c>
      <c r="B185" s="374" t="s">
        <v>137</v>
      </c>
      <c r="C185" s="375" t="s">
        <v>809</v>
      </c>
      <c r="D185" s="376" t="s">
        <v>810</v>
      </c>
      <c r="E185" s="361"/>
      <c r="F185" s="666" t="s">
        <v>169</v>
      </c>
      <c r="G185" s="667"/>
      <c r="H185" s="308"/>
      <c r="I185" s="391"/>
      <c r="J185" s="308">
        <v>17726258.640000001</v>
      </c>
      <c r="K185" s="391">
        <v>0.60046880033563588</v>
      </c>
      <c r="L185" s="377">
        <v>10644065.26</v>
      </c>
      <c r="M185" s="391">
        <v>0.39953119966436412</v>
      </c>
      <c r="N185" s="252" t="s">
        <v>148</v>
      </c>
      <c r="O185" s="379"/>
      <c r="P185" s="380"/>
      <c r="Q185" s="281"/>
      <c r="R185" s="381"/>
      <c r="S185" s="386"/>
      <c r="T185" s="387"/>
      <c r="U185" s="529"/>
      <c r="V185" s="529"/>
    </row>
    <row r="186" spans="1:22" s="321" customFormat="1" ht="30" customHeight="1" x14ac:dyDescent="0.25">
      <c r="A186" s="424"/>
      <c r="B186" s="311"/>
      <c r="C186" s="312"/>
      <c r="D186" s="312"/>
      <c r="E186" s="312"/>
      <c r="F186" s="312"/>
      <c r="G186" s="313"/>
      <c r="H186" s="314"/>
      <c r="I186" s="315" t="s">
        <v>811</v>
      </c>
      <c r="J186" s="316">
        <f>SUBTOTAL(9,J172:J185)</f>
        <v>28052035.990000002</v>
      </c>
      <c r="K186" s="317"/>
      <c r="L186" s="316">
        <v>2939584.08</v>
      </c>
      <c r="M186" s="318"/>
      <c r="N186" s="312"/>
      <c r="O186" s="312"/>
      <c r="P186" s="312"/>
      <c r="Q186" s="312"/>
      <c r="R186" s="312"/>
      <c r="S186" s="312"/>
      <c r="T186" s="319"/>
      <c r="U186" s="529"/>
      <c r="V186" s="529"/>
    </row>
    <row r="187" spans="1:22" ht="11.1" customHeight="1" x14ac:dyDescent="0.25">
      <c r="U187" s="529"/>
      <c r="V187" s="529"/>
    </row>
    <row r="188" spans="1:22" s="153" customFormat="1" ht="24.95" customHeight="1" x14ac:dyDescent="0.25">
      <c r="A188" s="423"/>
      <c r="B188" s="268"/>
      <c r="C188" s="269"/>
      <c r="D188" s="269"/>
      <c r="E188" s="269"/>
      <c r="F188" s="269"/>
      <c r="G188" s="269"/>
      <c r="H188" s="269"/>
      <c r="I188" s="270" t="s">
        <v>812</v>
      </c>
      <c r="J188" s="271">
        <v>111242610.39880177</v>
      </c>
      <c r="K188" s="272"/>
      <c r="L188" s="271">
        <v>61757577.833545297</v>
      </c>
      <c r="M188" s="273"/>
      <c r="N188" s="269"/>
      <c r="O188" s="269"/>
      <c r="P188" s="269"/>
      <c r="Q188" s="269"/>
      <c r="R188" s="269"/>
      <c r="S188" s="269"/>
      <c r="T188" s="274"/>
      <c r="U188" s="529"/>
      <c r="V188" s="529"/>
    </row>
    <row r="189" spans="1:22" ht="15.95" customHeight="1" x14ac:dyDescent="0.25"/>
    <row r="191" spans="1:22" ht="15.95" customHeight="1" x14ac:dyDescent="0.25"/>
    <row r="192" spans="1:22" s="329" customFormat="1" ht="15.95" customHeight="1" x14ac:dyDescent="0.25">
      <c r="A192" s="423"/>
      <c r="J192" s="330"/>
      <c r="K192" s="331"/>
      <c r="L192" s="331"/>
      <c r="M192" s="331"/>
    </row>
    <row r="193" spans="1:13" ht="15.95" customHeight="1" x14ac:dyDescent="0.25"/>
    <row r="194" spans="1:13" ht="15.95" customHeight="1" x14ac:dyDescent="0.25"/>
    <row r="195" spans="1:13" s="329" customFormat="1" ht="15.95" customHeight="1" x14ac:dyDescent="0.25">
      <c r="A195" s="423"/>
      <c r="J195" s="330"/>
      <c r="K195" s="331"/>
      <c r="L195" s="331"/>
      <c r="M195" s="331"/>
    </row>
    <row r="196" spans="1:13" ht="45" customHeight="1" x14ac:dyDescent="0.25"/>
    <row r="197" spans="1:13" ht="30" customHeight="1" x14ac:dyDescent="0.25"/>
  </sheetData>
  <autoFilter ref="B12:T185">
    <filterColumn colId="8" showButton="0"/>
    <filterColumn colId="9" showButton="0"/>
    <filterColumn colId="10" showButton="0"/>
    <filterColumn colId="14" showButton="0"/>
    <filterColumn colId="18">
      <filters blank="1">
        <filter val="Contrato em Execução"/>
        <filter val="Previsto"/>
        <filter val="Processo em curso"/>
        <filter val="Status"/>
      </filters>
    </filterColumn>
  </autoFilter>
  <sortState ref="A66:Z81">
    <sortCondition ref="A66:A81"/>
  </sortState>
  <mergeCells count="121">
    <mergeCell ref="F184:G184"/>
    <mergeCell ref="F178:G178"/>
    <mergeCell ref="F182:G182"/>
    <mergeCell ref="F181:G181"/>
    <mergeCell ref="F180:G180"/>
    <mergeCell ref="F185:G185"/>
    <mergeCell ref="A11:A13"/>
    <mergeCell ref="A30:A32"/>
    <mergeCell ref="A55:A57"/>
    <mergeCell ref="A88:A90"/>
    <mergeCell ref="A140:A142"/>
    <mergeCell ref="A157:A159"/>
    <mergeCell ref="A169:A171"/>
    <mergeCell ref="F179:G179"/>
    <mergeCell ref="F176:G176"/>
    <mergeCell ref="F177:G177"/>
    <mergeCell ref="O56:O57"/>
    <mergeCell ref="N89:N90"/>
    <mergeCell ref="O89:O90"/>
    <mergeCell ref="D56:D57"/>
    <mergeCell ref="D141:D142"/>
    <mergeCell ref="F183:G183"/>
    <mergeCell ref="H31:H32"/>
    <mergeCell ref="I31:I32"/>
    <mergeCell ref="E31:E32"/>
    <mergeCell ref="E56:E57"/>
    <mergeCell ref="E158:E159"/>
    <mergeCell ref="F141:F142"/>
    <mergeCell ref="D158:D159"/>
    <mergeCell ref="F174:G174"/>
    <mergeCell ref="F175:G175"/>
    <mergeCell ref="F173:G173"/>
    <mergeCell ref="F172:G172"/>
    <mergeCell ref="P12:Q12"/>
    <mergeCell ref="R12:R13"/>
    <mergeCell ref="S12:S13"/>
    <mergeCell ref="T12:T13"/>
    <mergeCell ref="B12:B13"/>
    <mergeCell ref="C12:C13"/>
    <mergeCell ref="F12:F13"/>
    <mergeCell ref="G12:G13"/>
    <mergeCell ref="H12:H13"/>
    <mergeCell ref="I12:I13"/>
    <mergeCell ref="J12:M12"/>
    <mergeCell ref="N12:N13"/>
    <mergeCell ref="E12:E13"/>
    <mergeCell ref="D12:D13"/>
    <mergeCell ref="O12:O13"/>
    <mergeCell ref="P56:Q56"/>
    <mergeCell ref="R56:R57"/>
    <mergeCell ref="S56:S57"/>
    <mergeCell ref="T56:T57"/>
    <mergeCell ref="T31:T32"/>
    <mergeCell ref="B56:B57"/>
    <mergeCell ref="C56:C57"/>
    <mergeCell ref="F56:F57"/>
    <mergeCell ref="G56:G57"/>
    <mergeCell ref="H56:H57"/>
    <mergeCell ref="I56:I57"/>
    <mergeCell ref="J56:M56"/>
    <mergeCell ref="N56:N57"/>
    <mergeCell ref="J31:M31"/>
    <mergeCell ref="N31:N32"/>
    <mergeCell ref="O31:O32"/>
    <mergeCell ref="P31:Q31"/>
    <mergeCell ref="R31:R32"/>
    <mergeCell ref="S31:S32"/>
    <mergeCell ref="B31:B32"/>
    <mergeCell ref="C31:C32"/>
    <mergeCell ref="F31:F32"/>
    <mergeCell ref="G31:G32"/>
    <mergeCell ref="D31:D32"/>
    <mergeCell ref="P89:Q89"/>
    <mergeCell ref="R89:R90"/>
    <mergeCell ref="S89:S90"/>
    <mergeCell ref="T89:T90"/>
    <mergeCell ref="B89:B90"/>
    <mergeCell ref="C89:C90"/>
    <mergeCell ref="F89:F90"/>
    <mergeCell ref="G89:G90"/>
    <mergeCell ref="J89:M89"/>
    <mergeCell ref="E89:E90"/>
    <mergeCell ref="H89:I90"/>
    <mergeCell ref="D89:D90"/>
    <mergeCell ref="P158:Q158"/>
    <mergeCell ref="R158:R159"/>
    <mergeCell ref="S158:S159"/>
    <mergeCell ref="T158:T159"/>
    <mergeCell ref="T141:T142"/>
    <mergeCell ref="B158:B159"/>
    <mergeCell ref="C158:C159"/>
    <mergeCell ref="F158:F159"/>
    <mergeCell ref="G158:G159"/>
    <mergeCell ref="H158:I159"/>
    <mergeCell ref="J158:M158"/>
    <mergeCell ref="N158:N159"/>
    <mergeCell ref="O158:O159"/>
    <mergeCell ref="N141:N142"/>
    <mergeCell ref="O141:O142"/>
    <mergeCell ref="P141:Q141"/>
    <mergeCell ref="R141:R142"/>
    <mergeCell ref="S141:S142"/>
    <mergeCell ref="B141:B142"/>
    <mergeCell ref="C141:C142"/>
    <mergeCell ref="G141:G142"/>
    <mergeCell ref="E141:E142"/>
    <mergeCell ref="J141:M141"/>
    <mergeCell ref="H141:I142"/>
    <mergeCell ref="P170:Q170"/>
    <mergeCell ref="R170:R171"/>
    <mergeCell ref="S170:S171"/>
    <mergeCell ref="T170:T171"/>
    <mergeCell ref="B170:B171"/>
    <mergeCell ref="C170:C171"/>
    <mergeCell ref="F170:G171"/>
    <mergeCell ref="H170:I171"/>
    <mergeCell ref="J170:M170"/>
    <mergeCell ref="N170:N171"/>
    <mergeCell ref="O170:O171"/>
    <mergeCell ref="E170:E171"/>
    <mergeCell ref="D170:D171"/>
  </mergeCells>
  <conditionalFormatting sqref="O185">
    <cfRule type="cellIs" dxfId="9" priority="101" operator="between">
      <formula>42736</formula>
      <formula>43100</formula>
    </cfRule>
    <cfRule type="timePeriod" dxfId="8" priority="102" timePeriod="nextMonth">
      <formula>AND(MONTH(O185)=MONTH(EDATE(TODAY(),0+1)),YEAR(O185)=YEAR(EDATE(TODAY(),0+1)))</formula>
    </cfRule>
    <cfRule type="timePeriod" dxfId="7" priority="103" timePeriod="thisMonth">
      <formula>AND(MONTH(O185)=MONTH(TODAY()),YEAR(O185)=YEAR(TODAY()))</formula>
    </cfRule>
  </conditionalFormatting>
  <conditionalFormatting sqref="N185">
    <cfRule type="cellIs" dxfId="6" priority="97" operator="equal">
      <formula>2020</formula>
    </cfRule>
    <cfRule type="timePeriod" dxfId="5" priority="98" timePeriod="nextMonth">
      <formula>AND(MONTH(N185)=MONTH(EDATE(TODAY(),0+1)),YEAR(N185)=YEAR(EDATE(TODAY(),0+1)))</formula>
    </cfRule>
    <cfRule type="timePeriod" dxfId="4" priority="99" timePeriod="thisMonth">
      <formula>AND(MONTH(N185)=MONTH(TODAY()),YEAR(N185)=YEAR(TODAY()))</formula>
    </cfRule>
    <cfRule type="timePeriod" dxfId="3" priority="100" timePeriod="lastMonth">
      <formula>AND(MONTH(N185)=MONTH(EDATE(TODAY(),0-1)),YEAR(N185)=YEAR(EDATE(TODAY(),0-1)))</formula>
    </cfRule>
  </conditionalFormatting>
  <dataValidations count="2">
    <dataValidation type="list" allowBlank="1" showInputMessage="1" showErrorMessage="1" sqref="G14:G28 G33:G53 G91:G137 G58:G86 G160:G167 O172:O185 O83:O86 O28 T91:T138 O123:O138 O53 T33:T53 O164:O168 T14:T28 T160:T166 T172:T185 T58:T86 O15 O18 O23 O33 O35:O38 O43 O58 O61:O65 O67:O68 O70 O73:O79 O91:O96 O98:O107 O109 O111 O113:O116 O118:O121 O143:O147 O149:O155 T143:T155 G143:G154">
      <formula1>#REF!</formula1>
    </dataValidation>
    <dataValidation type="list" allowBlank="1" showInputMessage="1" showErrorMessage="1" sqref="O14 O16:O17 O19:O22 O24:O27 O34 O122 O39:O42 O44:O52 O59:O60 O66 O69 O71:O72 O80:O82 O97 O108 O110 O112 O117 O148 O160:O163">
      <formula1>$Z$14:$Z$17</formula1>
    </dataValidation>
  </dataValidations>
  <printOptions horizontalCentered="1"/>
  <pageMargins left="0.19685039370078741" right="0" top="0.31496062992125984" bottom="0.39370078740157483" header="0.19685039370078741" footer="0.19685039370078741"/>
  <pageSetup paperSize="8" scale="51" fitToHeight="0" orientation="landscape" verticalDpi="90" r:id="rId1"/>
  <headerFooter>
    <oddFooter>&amp;C&amp;P/&amp;N&amp;R[Arquivo]</oddFooter>
  </headerFooter>
  <rowBreaks count="3" manualBreakCount="3">
    <brk id="53" max="19" man="1"/>
    <brk id="104" max="19" man="1"/>
    <brk id="136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3" tint="0.39997558519241921"/>
  </sheetPr>
  <dimension ref="A1:U273"/>
  <sheetViews>
    <sheetView showGridLines="0" topLeftCell="A186" zoomScale="80" zoomScaleNormal="80" workbookViewId="0">
      <selection activeCell="D191" sqref="D191"/>
    </sheetView>
  </sheetViews>
  <sheetFormatPr defaultColWidth="8.7109375" defaultRowHeight="15.75" outlineLevelRow="1" x14ac:dyDescent="0.25"/>
  <cols>
    <col min="1" max="1" width="4" style="149" customWidth="1"/>
    <col min="2" max="2" width="11.140625" style="149" customWidth="1"/>
    <col min="3" max="3" width="54.28515625" style="149" customWidth="1"/>
    <col min="4" max="4" width="95.42578125" style="180" customWidth="1"/>
    <col min="5" max="5" width="14.85546875" style="149" customWidth="1"/>
    <col min="6" max="6" width="80.42578125" style="149" customWidth="1"/>
    <col min="7" max="7" width="36.7109375" style="149" customWidth="1"/>
    <col min="8" max="9" width="12.85546875" style="149" customWidth="1"/>
    <col min="10" max="10" width="15.7109375" style="150" customWidth="1"/>
    <col min="11" max="11" width="15.7109375" style="151" customWidth="1"/>
    <col min="12" max="12" width="18" style="151" customWidth="1"/>
    <col min="13" max="13" width="12.7109375" style="149" customWidth="1"/>
    <col min="14" max="14" width="19.5703125" style="149" customWidth="1"/>
    <col min="15" max="15" width="15.5703125" style="149" customWidth="1"/>
    <col min="16" max="16" width="15" style="149" customWidth="1"/>
    <col min="17" max="19" width="18.85546875" style="149" customWidth="1"/>
    <col min="20" max="16384" width="8.7109375" style="149"/>
  </cols>
  <sheetData>
    <row r="1" spans="1:21" x14ac:dyDescent="0.25">
      <c r="B1" s="160" t="s">
        <v>418</v>
      </c>
      <c r="C1" s="153" t="s">
        <v>105</v>
      </c>
      <c r="E1" s="152"/>
      <c r="F1" s="152"/>
      <c r="G1" s="152"/>
      <c r="H1" s="152"/>
      <c r="I1" s="152"/>
      <c r="J1" s="154"/>
      <c r="K1" s="155"/>
      <c r="L1" s="155"/>
      <c r="M1" s="152"/>
      <c r="N1" s="152"/>
      <c r="O1" s="152"/>
    </row>
    <row r="2" spans="1:21" x14ac:dyDescent="0.25">
      <c r="B2" s="160" t="s">
        <v>106</v>
      </c>
      <c r="C2" s="160"/>
      <c r="D2" s="530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21" x14ac:dyDescent="0.25">
      <c r="B3" s="158" t="s">
        <v>419</v>
      </c>
      <c r="C3" s="158"/>
      <c r="D3" s="531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21" x14ac:dyDescent="0.25">
      <c r="B4" s="160" t="s">
        <v>420</v>
      </c>
      <c r="C4" s="160"/>
      <c r="D4" s="532"/>
      <c r="E4" s="152"/>
      <c r="F4" s="152"/>
      <c r="G4" s="152"/>
      <c r="H4" s="152"/>
      <c r="I4" s="152"/>
      <c r="J4" s="154"/>
      <c r="K4" s="155"/>
      <c r="L4" s="155"/>
      <c r="M4" s="152"/>
      <c r="N4" s="152"/>
      <c r="O4" s="152"/>
    </row>
    <row r="5" spans="1:21" x14ac:dyDescent="0.25">
      <c r="B5" s="152"/>
      <c r="C5" s="152"/>
      <c r="D5" s="533"/>
      <c r="E5" s="152"/>
      <c r="F5" s="152"/>
      <c r="G5" s="152"/>
      <c r="H5" s="152"/>
      <c r="I5" s="152"/>
      <c r="J5" s="154"/>
      <c r="K5" s="155"/>
      <c r="L5" s="155"/>
      <c r="M5" s="152"/>
      <c r="N5" s="152"/>
      <c r="O5" s="152"/>
    </row>
    <row r="6" spans="1:21" x14ac:dyDescent="0.25">
      <c r="B6" s="162" t="str">
        <f>'Detalhe PA  US$ - 18 meses'!B7</f>
        <v>Atualizado em: 18/01/19</v>
      </c>
      <c r="C6" s="162"/>
      <c r="D6" s="534"/>
      <c r="E6" s="159"/>
      <c r="F6" s="152"/>
      <c r="G6" s="152"/>
      <c r="H6" s="152"/>
      <c r="I6" s="152"/>
      <c r="J6" s="154"/>
      <c r="K6" s="155"/>
      <c r="L6" s="155"/>
      <c r="M6" s="152"/>
      <c r="N6" s="152"/>
      <c r="O6" s="152"/>
    </row>
    <row r="7" spans="1:21" x14ac:dyDescent="0.25">
      <c r="B7" s="158" t="str">
        <f>'Detalhe PA  US$ - 18 meses'!B8</f>
        <v>Revisão Nº: 03</v>
      </c>
      <c r="C7" s="158"/>
      <c r="D7" s="531"/>
      <c r="E7" s="159"/>
      <c r="F7" s="152"/>
      <c r="G7" s="152"/>
      <c r="H7" s="152"/>
      <c r="I7" s="152"/>
      <c r="J7" s="154"/>
      <c r="K7" s="155"/>
      <c r="L7" s="155"/>
      <c r="M7" s="152"/>
      <c r="N7" s="152"/>
      <c r="O7" s="152"/>
    </row>
    <row r="8" spans="1:21" x14ac:dyDescent="0.25">
      <c r="B8" s="158" t="s">
        <v>112</v>
      </c>
      <c r="C8" s="158"/>
      <c r="D8" s="531"/>
      <c r="E8" s="159"/>
      <c r="F8" s="152"/>
      <c r="G8" s="152"/>
      <c r="H8" s="152"/>
      <c r="I8" s="152"/>
      <c r="J8" s="154"/>
      <c r="K8" s="155"/>
      <c r="L8" s="155"/>
      <c r="M8" s="152"/>
      <c r="N8" s="152"/>
      <c r="O8" s="152"/>
    </row>
    <row r="9" spans="1:21" s="2" customFormat="1" ht="15" x14ac:dyDescent="0.25">
      <c r="D9" s="24"/>
    </row>
    <row r="10" spans="1:21" ht="24" customHeight="1" x14ac:dyDescent="0.25">
      <c r="B10" s="645" t="s">
        <v>423</v>
      </c>
      <c r="C10" s="645"/>
      <c r="D10" s="645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4"/>
    </row>
    <row r="11" spans="1:21" s="2" customFormat="1" ht="5.0999999999999996" customHeight="1" x14ac:dyDescent="0.25">
      <c r="D11" s="24"/>
    </row>
    <row r="12" spans="1:21" x14ac:dyDescent="0.25">
      <c r="B12" s="701" t="s">
        <v>424</v>
      </c>
      <c r="C12" s="702"/>
      <c r="D12" s="694" t="s">
        <v>425</v>
      </c>
      <c r="J12" s="149"/>
      <c r="K12" s="149"/>
      <c r="L12" s="149"/>
    </row>
    <row r="13" spans="1:21" ht="15.6" customHeight="1" x14ac:dyDescent="0.25">
      <c r="B13" s="703"/>
      <c r="C13" s="704"/>
      <c r="D13" s="694"/>
      <c r="J13" s="149"/>
      <c r="K13" s="149"/>
      <c r="L13" s="149"/>
    </row>
    <row r="14" spans="1:21" ht="21.95" customHeight="1" x14ac:dyDescent="0.25">
      <c r="A14" s="218"/>
      <c r="B14" s="695" t="s">
        <v>426</v>
      </c>
      <c r="C14" s="696"/>
      <c r="D14" s="697"/>
      <c r="J14" s="149"/>
      <c r="K14" s="149"/>
      <c r="L14" s="149"/>
    </row>
    <row r="15" spans="1:21" s="229" customFormat="1" ht="24.95" customHeight="1" outlineLevel="1" x14ac:dyDescent="0.25">
      <c r="B15" s="675" t="s">
        <v>136</v>
      </c>
      <c r="C15" s="681" t="s">
        <v>813</v>
      </c>
      <c r="D15" s="356" t="s">
        <v>814</v>
      </c>
    </row>
    <row r="16" spans="1:21" s="229" customFormat="1" ht="94.5" customHeight="1" outlineLevel="1" x14ac:dyDescent="0.25">
      <c r="B16" s="676"/>
      <c r="C16" s="682"/>
      <c r="D16" s="357" t="s">
        <v>815</v>
      </c>
    </row>
    <row r="17" spans="2:4" s="229" customFormat="1" ht="31.5" outlineLevel="1" x14ac:dyDescent="0.25">
      <c r="B17" s="677"/>
      <c r="C17" s="683"/>
      <c r="D17" s="353" t="s">
        <v>816</v>
      </c>
    </row>
    <row r="18" spans="2:4" s="229" customFormat="1" ht="31.5" outlineLevel="1" x14ac:dyDescent="0.25">
      <c r="B18" s="675" t="s">
        <v>141</v>
      </c>
      <c r="C18" s="681" t="s">
        <v>498</v>
      </c>
      <c r="D18" s="351" t="s">
        <v>817</v>
      </c>
    </row>
    <row r="19" spans="2:4" s="229" customFormat="1" ht="31.5" outlineLevel="1" x14ac:dyDescent="0.25">
      <c r="B19" s="677"/>
      <c r="C19" s="683"/>
      <c r="D19" s="353" t="s">
        <v>818</v>
      </c>
    </row>
    <row r="20" spans="2:4" s="229" customFormat="1" ht="47.25" outlineLevel="1" x14ac:dyDescent="0.25">
      <c r="B20" s="302" t="s">
        <v>153</v>
      </c>
      <c r="C20" s="303" t="s">
        <v>505</v>
      </c>
      <c r="D20" s="359" t="s">
        <v>819</v>
      </c>
    </row>
    <row r="21" spans="2:4" s="217" customFormat="1" ht="30" customHeight="1" outlineLevel="1" x14ac:dyDescent="0.25">
      <c r="B21" s="675" t="s">
        <v>162</v>
      </c>
      <c r="C21" s="681" t="s">
        <v>820</v>
      </c>
      <c r="D21" s="351" t="s">
        <v>821</v>
      </c>
    </row>
    <row r="22" spans="2:4" s="217" customFormat="1" ht="24.95" customHeight="1" outlineLevel="1" x14ac:dyDescent="0.25">
      <c r="B22" s="676"/>
      <c r="C22" s="682"/>
      <c r="D22" s="357" t="s">
        <v>822</v>
      </c>
    </row>
    <row r="23" spans="2:4" s="217" customFormat="1" ht="47.25" outlineLevel="1" x14ac:dyDescent="0.25">
      <c r="B23" s="677"/>
      <c r="C23" s="683"/>
      <c r="D23" s="340" t="s">
        <v>823</v>
      </c>
    </row>
    <row r="24" spans="2:4" s="217" customFormat="1" ht="31.5" outlineLevel="1" x14ac:dyDescent="0.25">
      <c r="B24" s="675" t="s">
        <v>166</v>
      </c>
      <c r="C24" s="678" t="s">
        <v>824</v>
      </c>
      <c r="D24" s="351" t="s">
        <v>825</v>
      </c>
    </row>
    <row r="25" spans="2:4" s="217" customFormat="1" ht="24.95" customHeight="1" outlineLevel="1" x14ac:dyDescent="0.25">
      <c r="B25" s="676"/>
      <c r="C25" s="679"/>
      <c r="D25" s="357" t="s">
        <v>826</v>
      </c>
    </row>
    <row r="26" spans="2:4" s="217" customFormat="1" ht="24.95" customHeight="1" outlineLevel="1" x14ac:dyDescent="0.25">
      <c r="B26" s="676"/>
      <c r="C26" s="679"/>
      <c r="D26" s="357" t="s">
        <v>827</v>
      </c>
    </row>
    <row r="27" spans="2:4" s="217" customFormat="1" ht="31.5" customHeight="1" outlineLevel="1" x14ac:dyDescent="0.25">
      <c r="B27" s="677"/>
      <c r="C27" s="680"/>
      <c r="D27" s="340" t="s">
        <v>828</v>
      </c>
    </row>
    <row r="28" spans="2:4" s="217" customFormat="1" ht="31.5" outlineLevel="1" x14ac:dyDescent="0.25">
      <c r="B28" s="676" t="s">
        <v>171</v>
      </c>
      <c r="C28" s="682" t="s">
        <v>829</v>
      </c>
      <c r="D28" s="360" t="s">
        <v>830</v>
      </c>
    </row>
    <row r="29" spans="2:4" s="217" customFormat="1" ht="24.95" customHeight="1" outlineLevel="1" x14ac:dyDescent="0.25">
      <c r="B29" s="676"/>
      <c r="C29" s="682"/>
      <c r="D29" s="357" t="s">
        <v>826</v>
      </c>
    </row>
    <row r="30" spans="2:4" s="217" customFormat="1" ht="24.95" customHeight="1" outlineLevel="1" x14ac:dyDescent="0.25">
      <c r="B30" s="677"/>
      <c r="C30" s="683"/>
      <c r="D30" s="340" t="s">
        <v>827</v>
      </c>
    </row>
    <row r="31" spans="2:4" s="217" customFormat="1" ht="31.5" outlineLevel="1" x14ac:dyDescent="0.25">
      <c r="B31" s="570" t="s">
        <v>175</v>
      </c>
      <c r="C31" s="573" t="s">
        <v>516</v>
      </c>
      <c r="D31" s="359" t="s">
        <v>831</v>
      </c>
    </row>
    <row r="32" spans="2:4" s="455" customFormat="1" ht="47.25" outlineLevel="1" x14ac:dyDescent="0.25">
      <c r="B32" s="302" t="s">
        <v>178</v>
      </c>
      <c r="C32" s="303" t="s">
        <v>832</v>
      </c>
      <c r="D32" s="359" t="s">
        <v>833</v>
      </c>
    </row>
    <row r="33" spans="2:12" s="455" customFormat="1" ht="63" outlineLevel="1" x14ac:dyDescent="0.25">
      <c r="B33" s="302" t="s">
        <v>522</v>
      </c>
      <c r="C33" s="303" t="s">
        <v>523</v>
      </c>
      <c r="D33" s="354" t="s">
        <v>834</v>
      </c>
    </row>
    <row r="34" spans="2:12" s="455" customFormat="1" outlineLevel="1" x14ac:dyDescent="0.25">
      <c r="B34" s="302" t="s">
        <v>522</v>
      </c>
      <c r="C34" s="303" t="s">
        <v>525</v>
      </c>
      <c r="D34" s="359" t="s">
        <v>835</v>
      </c>
    </row>
    <row r="35" spans="2:12" ht="21.95" customHeight="1" x14ac:dyDescent="0.25">
      <c r="B35" s="698" t="s">
        <v>437</v>
      </c>
      <c r="C35" s="699"/>
      <c r="D35" s="700"/>
      <c r="J35" s="149"/>
      <c r="K35" s="149"/>
      <c r="L35" s="149"/>
    </row>
    <row r="36" spans="2:12" s="180" customFormat="1" ht="31.5" outlineLevel="1" x14ac:dyDescent="0.25">
      <c r="B36" s="675" t="s">
        <v>140</v>
      </c>
      <c r="C36" s="681" t="s">
        <v>529</v>
      </c>
      <c r="D36" s="341" t="s">
        <v>836</v>
      </c>
    </row>
    <row r="37" spans="2:12" s="180" customFormat="1" ht="24.95" customHeight="1" outlineLevel="1" x14ac:dyDescent="0.25">
      <c r="B37" s="676"/>
      <c r="C37" s="682"/>
      <c r="D37" s="334" t="s">
        <v>837</v>
      </c>
    </row>
    <row r="38" spans="2:12" s="180" customFormat="1" ht="35.25" customHeight="1" outlineLevel="1" x14ac:dyDescent="0.25">
      <c r="B38" s="677"/>
      <c r="C38" s="683"/>
      <c r="D38" s="456" t="s">
        <v>838</v>
      </c>
    </row>
    <row r="39" spans="2:12" s="180" customFormat="1" ht="31.5" outlineLevel="1" x14ac:dyDescent="0.25">
      <c r="B39" s="675" t="s">
        <v>148</v>
      </c>
      <c r="C39" s="681" t="s">
        <v>839</v>
      </c>
      <c r="D39" s="341" t="s">
        <v>840</v>
      </c>
    </row>
    <row r="40" spans="2:12" s="180" customFormat="1" ht="24.95" customHeight="1" outlineLevel="1" x14ac:dyDescent="0.25">
      <c r="B40" s="677"/>
      <c r="C40" s="683"/>
      <c r="D40" s="342" t="s">
        <v>837</v>
      </c>
    </row>
    <row r="41" spans="2:12" s="180" customFormat="1" ht="50.25" customHeight="1" outlineLevel="1" x14ac:dyDescent="0.25">
      <c r="B41" s="675" t="s">
        <v>152</v>
      </c>
      <c r="C41" s="681" t="s">
        <v>841</v>
      </c>
      <c r="D41" s="307" t="s">
        <v>842</v>
      </c>
    </row>
    <row r="42" spans="2:12" s="180" customFormat="1" ht="31.5" outlineLevel="1" x14ac:dyDescent="0.25">
      <c r="B42" s="676"/>
      <c r="C42" s="682"/>
      <c r="D42" s="305" t="s">
        <v>843</v>
      </c>
    </row>
    <row r="43" spans="2:12" s="180" customFormat="1" ht="24.95" customHeight="1" outlineLevel="1" x14ac:dyDescent="0.25">
      <c r="B43" s="676"/>
      <c r="C43" s="682"/>
      <c r="D43" s="305" t="s">
        <v>844</v>
      </c>
    </row>
    <row r="44" spans="2:12" s="180" customFormat="1" ht="24.95" customHeight="1" outlineLevel="1" x14ac:dyDescent="0.25">
      <c r="B44" s="676"/>
      <c r="C44" s="682"/>
      <c r="D44" s="305" t="s">
        <v>837</v>
      </c>
    </row>
    <row r="45" spans="2:12" s="180" customFormat="1" ht="24.95" customHeight="1" outlineLevel="1" x14ac:dyDescent="0.25">
      <c r="B45" s="676"/>
      <c r="C45" s="682"/>
      <c r="D45" s="305" t="s">
        <v>845</v>
      </c>
    </row>
    <row r="46" spans="2:12" s="180" customFormat="1" ht="24.95" customHeight="1" outlineLevel="1" x14ac:dyDescent="0.25">
      <c r="B46" s="676"/>
      <c r="C46" s="682"/>
      <c r="D46" s="305" t="s">
        <v>846</v>
      </c>
    </row>
    <row r="47" spans="2:12" s="180" customFormat="1" ht="31.5" outlineLevel="1" x14ac:dyDescent="0.25">
      <c r="B47" s="677"/>
      <c r="C47" s="683"/>
      <c r="D47" s="342" t="s">
        <v>847</v>
      </c>
      <c r="E47" s="310"/>
    </row>
    <row r="48" spans="2:12" ht="30" customHeight="1" outlineLevel="1" x14ac:dyDescent="0.25">
      <c r="B48" s="675" t="s">
        <v>156</v>
      </c>
      <c r="C48" s="681" t="s">
        <v>848</v>
      </c>
      <c r="D48" s="307" t="s">
        <v>849</v>
      </c>
      <c r="J48" s="149"/>
      <c r="K48" s="149"/>
      <c r="L48" s="149"/>
    </row>
    <row r="49" spans="2:12" ht="24.95" customHeight="1" outlineLevel="1" x14ac:dyDescent="0.25">
      <c r="B49" s="677"/>
      <c r="C49" s="683"/>
      <c r="D49" s="349" t="s">
        <v>850</v>
      </c>
      <c r="J49" s="149"/>
      <c r="K49" s="149"/>
      <c r="L49" s="149"/>
    </row>
    <row r="50" spans="2:12" ht="30" customHeight="1" outlineLevel="1" x14ac:dyDescent="0.25">
      <c r="B50" s="675" t="s">
        <v>185</v>
      </c>
      <c r="C50" s="681" t="s">
        <v>851</v>
      </c>
      <c r="D50" s="307" t="s">
        <v>852</v>
      </c>
      <c r="J50" s="149"/>
      <c r="K50" s="149"/>
      <c r="L50" s="149"/>
    </row>
    <row r="51" spans="2:12" ht="24.95" customHeight="1" outlineLevel="1" x14ac:dyDescent="0.25">
      <c r="B51" s="676"/>
      <c r="C51" s="682"/>
      <c r="D51" s="305" t="s">
        <v>837</v>
      </c>
      <c r="J51" s="149"/>
      <c r="K51" s="149"/>
      <c r="L51" s="149"/>
    </row>
    <row r="52" spans="2:12" ht="24.95" customHeight="1" outlineLevel="1" x14ac:dyDescent="0.25">
      <c r="B52" s="677"/>
      <c r="C52" s="683"/>
      <c r="D52" s="340" t="s">
        <v>853</v>
      </c>
      <c r="J52" s="149"/>
      <c r="K52" s="149"/>
      <c r="L52" s="149"/>
    </row>
    <row r="53" spans="2:12" s="217" customFormat="1" ht="24.95" customHeight="1" outlineLevel="1" x14ac:dyDescent="0.25">
      <c r="B53" s="675" t="s">
        <v>160</v>
      </c>
      <c r="C53" s="681" t="s">
        <v>540</v>
      </c>
      <c r="D53" s="351" t="s">
        <v>837</v>
      </c>
    </row>
    <row r="54" spans="2:12" s="217" customFormat="1" ht="24.95" customHeight="1" outlineLevel="1" x14ac:dyDescent="0.25">
      <c r="B54" s="677"/>
      <c r="C54" s="683"/>
      <c r="D54" s="353" t="s">
        <v>853</v>
      </c>
    </row>
    <row r="55" spans="2:12" s="217" customFormat="1" ht="24.95" customHeight="1" outlineLevel="1" x14ac:dyDescent="0.25">
      <c r="B55" s="302" t="s">
        <v>144</v>
      </c>
      <c r="C55" s="339" t="s">
        <v>541</v>
      </c>
      <c r="D55" s="359" t="s">
        <v>837</v>
      </c>
    </row>
    <row r="56" spans="2:12" s="217" customFormat="1" ht="24.95" customHeight="1" outlineLevel="1" x14ac:dyDescent="0.25">
      <c r="B56" s="675" t="s">
        <v>212</v>
      </c>
      <c r="C56" s="681" t="s">
        <v>854</v>
      </c>
      <c r="D56" s="356" t="s">
        <v>837</v>
      </c>
    </row>
    <row r="57" spans="2:12" s="217" customFormat="1" ht="24.95" customHeight="1" outlineLevel="1" x14ac:dyDescent="0.25">
      <c r="B57" s="677"/>
      <c r="C57" s="683"/>
      <c r="D57" s="456" t="s">
        <v>855</v>
      </c>
    </row>
    <row r="58" spans="2:12" s="217" customFormat="1" ht="24.95" customHeight="1" outlineLevel="1" x14ac:dyDescent="0.25">
      <c r="B58" s="675" t="s">
        <v>217</v>
      </c>
      <c r="C58" s="681" t="s">
        <v>856</v>
      </c>
      <c r="D58" s="359" t="s">
        <v>837</v>
      </c>
    </row>
    <row r="59" spans="2:12" s="217" customFormat="1" ht="24.95" customHeight="1" outlineLevel="1" x14ac:dyDescent="0.25">
      <c r="B59" s="677"/>
      <c r="C59" s="683"/>
      <c r="D59" s="456" t="s">
        <v>855</v>
      </c>
    </row>
    <row r="60" spans="2:12" s="217" customFormat="1" ht="24.95" customHeight="1" outlineLevel="1" x14ac:dyDescent="0.25">
      <c r="B60" s="302" t="s">
        <v>220</v>
      </c>
      <c r="C60" s="339" t="s">
        <v>545</v>
      </c>
      <c r="D60" s="359" t="s">
        <v>837</v>
      </c>
    </row>
    <row r="61" spans="2:12" s="217" customFormat="1" ht="24.95" customHeight="1" outlineLevel="1" x14ac:dyDescent="0.25">
      <c r="B61" s="675" t="s">
        <v>225</v>
      </c>
      <c r="C61" s="681" t="s">
        <v>548</v>
      </c>
      <c r="D61" s="351" t="s">
        <v>837</v>
      </c>
    </row>
    <row r="62" spans="2:12" ht="24.95" customHeight="1" outlineLevel="1" x14ac:dyDescent="0.25">
      <c r="B62" s="677"/>
      <c r="C62" s="683"/>
      <c r="D62" s="342" t="s">
        <v>857</v>
      </c>
      <c r="E62" s="310"/>
      <c r="J62" s="149"/>
      <c r="K62" s="149"/>
      <c r="L62" s="149"/>
    </row>
    <row r="63" spans="2:12" s="217" customFormat="1" ht="30" customHeight="1" outlineLevel="1" x14ac:dyDescent="0.25">
      <c r="B63" s="302" t="s">
        <v>227</v>
      </c>
      <c r="C63" s="339" t="s">
        <v>550</v>
      </c>
      <c r="D63" s="359" t="s">
        <v>837</v>
      </c>
    </row>
    <row r="64" spans="2:12" s="217" customFormat="1" ht="24.95" customHeight="1" outlineLevel="1" x14ac:dyDescent="0.25">
      <c r="B64" s="675" t="s">
        <v>229</v>
      </c>
      <c r="C64" s="681" t="s">
        <v>553</v>
      </c>
      <c r="D64" s="351" t="s">
        <v>858</v>
      </c>
    </row>
    <row r="65" spans="1:12" s="217" customFormat="1" ht="24.95" customHeight="1" outlineLevel="1" x14ac:dyDescent="0.25">
      <c r="B65" s="677"/>
      <c r="C65" s="683"/>
      <c r="D65" s="340" t="s">
        <v>837</v>
      </c>
    </row>
    <row r="66" spans="1:12" s="217" customFormat="1" ht="50.25" customHeight="1" outlineLevel="1" x14ac:dyDescent="0.25">
      <c r="B66" s="675" t="s">
        <v>233</v>
      </c>
      <c r="C66" s="681" t="s">
        <v>859</v>
      </c>
      <c r="D66" s="305" t="s">
        <v>842</v>
      </c>
      <c r="F66" s="235"/>
    </row>
    <row r="67" spans="1:12" s="217" customFormat="1" ht="24.95" customHeight="1" outlineLevel="1" x14ac:dyDescent="0.25">
      <c r="B67" s="676"/>
      <c r="C67" s="682"/>
      <c r="D67" s="352" t="s">
        <v>837</v>
      </c>
    </row>
    <row r="68" spans="1:12" s="217" customFormat="1" ht="31.5" outlineLevel="1" x14ac:dyDescent="0.25">
      <c r="B68" s="677"/>
      <c r="C68" s="683"/>
      <c r="D68" s="340" t="s">
        <v>860</v>
      </c>
      <c r="F68" s="149"/>
    </row>
    <row r="69" spans="1:12" s="217" customFormat="1" ht="36.75" customHeight="1" outlineLevel="1" x14ac:dyDescent="0.25">
      <c r="B69" s="569" t="s">
        <v>237</v>
      </c>
      <c r="C69" s="572" t="s">
        <v>558</v>
      </c>
      <c r="D69" s="340" t="s">
        <v>837</v>
      </c>
    </row>
    <row r="70" spans="1:12" s="217" customFormat="1" ht="24.95" customHeight="1" outlineLevel="1" x14ac:dyDescent="0.25">
      <c r="B70" s="675" t="s">
        <v>239</v>
      </c>
      <c r="C70" s="681" t="s">
        <v>861</v>
      </c>
      <c r="D70" s="351" t="s">
        <v>837</v>
      </c>
    </row>
    <row r="71" spans="1:12" s="217" customFormat="1" ht="31.5" customHeight="1" outlineLevel="1" x14ac:dyDescent="0.25">
      <c r="B71" s="677"/>
      <c r="C71" s="683"/>
      <c r="D71" s="343" t="s">
        <v>862</v>
      </c>
    </row>
    <row r="72" spans="1:12" s="217" customFormat="1" ht="24.95" customHeight="1" outlineLevel="1" x14ac:dyDescent="0.25">
      <c r="B72" s="675" t="s">
        <v>562</v>
      </c>
      <c r="C72" s="681" t="s">
        <v>563</v>
      </c>
      <c r="D72" s="351" t="s">
        <v>837</v>
      </c>
    </row>
    <row r="73" spans="1:12" s="217" customFormat="1" ht="24.95" customHeight="1" outlineLevel="1" x14ac:dyDescent="0.25">
      <c r="B73" s="677"/>
      <c r="C73" s="683"/>
      <c r="D73" s="343" t="s">
        <v>862</v>
      </c>
    </row>
    <row r="74" spans="1:12" s="217" customFormat="1" ht="36.75" customHeight="1" outlineLevel="1" x14ac:dyDescent="0.25">
      <c r="B74" s="569" t="s">
        <v>565</v>
      </c>
      <c r="C74" s="572" t="s">
        <v>566</v>
      </c>
      <c r="D74" s="359" t="s">
        <v>835</v>
      </c>
    </row>
    <row r="75" spans="1:12" s="217" customFormat="1" ht="36.75" customHeight="1" outlineLevel="1" x14ac:dyDescent="0.25">
      <c r="B75" s="569" t="s">
        <v>569</v>
      </c>
      <c r="C75" s="572" t="s">
        <v>570</v>
      </c>
      <c r="D75" s="359" t="s">
        <v>835</v>
      </c>
    </row>
    <row r="76" spans="1:12" s="217" customFormat="1" ht="36.75" customHeight="1" outlineLevel="1" x14ac:dyDescent="0.25">
      <c r="B76" s="569" t="s">
        <v>572</v>
      </c>
      <c r="C76" s="572" t="s">
        <v>573</v>
      </c>
      <c r="D76" s="359" t="s">
        <v>835</v>
      </c>
    </row>
    <row r="77" spans="1:12" ht="21.95" customHeight="1" x14ac:dyDescent="0.25">
      <c r="A77" s="218"/>
      <c r="B77" s="698" t="s">
        <v>863</v>
      </c>
      <c r="C77" s="699"/>
      <c r="D77" s="700"/>
      <c r="J77" s="149"/>
      <c r="K77" s="149"/>
      <c r="L77" s="149"/>
    </row>
    <row r="78" spans="1:12" s="236" customFormat="1" ht="24.95" customHeight="1" outlineLevel="1" x14ac:dyDescent="0.25">
      <c r="B78" s="302" t="s">
        <v>243</v>
      </c>
      <c r="C78" s="350" t="s">
        <v>864</v>
      </c>
      <c r="D78" s="347" t="s">
        <v>865</v>
      </c>
      <c r="E78" s="235"/>
    </row>
    <row r="79" spans="1:12" s="236" customFormat="1" ht="31.5" outlineLevel="1" x14ac:dyDescent="0.25">
      <c r="B79" s="302" t="s">
        <v>201</v>
      </c>
      <c r="C79" s="350" t="s">
        <v>866</v>
      </c>
      <c r="D79" s="347" t="s">
        <v>867</v>
      </c>
    </row>
    <row r="80" spans="1:12" s="236" customFormat="1" ht="24.95" customHeight="1" outlineLevel="1" x14ac:dyDescent="0.25">
      <c r="B80" s="675" t="s">
        <v>205</v>
      </c>
      <c r="C80" s="681" t="s">
        <v>868</v>
      </c>
      <c r="D80" s="307" t="s">
        <v>869</v>
      </c>
    </row>
    <row r="81" spans="2:6" s="236" customFormat="1" ht="24.95" customHeight="1" outlineLevel="1" x14ac:dyDescent="0.25">
      <c r="B81" s="676"/>
      <c r="C81" s="682"/>
      <c r="D81" s="334" t="s">
        <v>870</v>
      </c>
    </row>
    <row r="82" spans="2:6" s="236" customFormat="1" ht="24.95" customHeight="1" outlineLevel="1" x14ac:dyDescent="0.25">
      <c r="B82" s="677"/>
      <c r="C82" s="683"/>
      <c r="D82" s="340" t="s">
        <v>837</v>
      </c>
    </row>
    <row r="83" spans="2:6" s="180" customFormat="1" ht="78.75" outlineLevel="1" x14ac:dyDescent="0.25">
      <c r="B83" s="675" t="s">
        <v>208</v>
      </c>
      <c r="C83" s="681" t="s">
        <v>871</v>
      </c>
      <c r="D83" s="343" t="s">
        <v>872</v>
      </c>
    </row>
    <row r="84" spans="2:6" s="180" customFormat="1" ht="31.5" outlineLevel="1" x14ac:dyDescent="0.25">
      <c r="B84" s="677"/>
      <c r="C84" s="683"/>
      <c r="D84" s="340" t="s">
        <v>873</v>
      </c>
    </row>
    <row r="85" spans="2:6" s="217" customFormat="1" ht="24.95" customHeight="1" outlineLevel="1" x14ac:dyDescent="0.25">
      <c r="B85" s="675" t="s">
        <v>211</v>
      </c>
      <c r="C85" s="681" t="s">
        <v>584</v>
      </c>
      <c r="D85" s="351" t="s">
        <v>874</v>
      </c>
    </row>
    <row r="86" spans="2:6" s="217" customFormat="1" ht="24.95" customHeight="1" outlineLevel="1" x14ac:dyDescent="0.25">
      <c r="B86" s="676"/>
      <c r="C86" s="682"/>
      <c r="D86" s="352" t="s">
        <v>837</v>
      </c>
    </row>
    <row r="87" spans="2:6" s="217" customFormat="1" ht="47.25" outlineLevel="1" x14ac:dyDescent="0.25">
      <c r="B87" s="677"/>
      <c r="C87" s="683"/>
      <c r="D87" s="497" t="s">
        <v>875</v>
      </c>
    </row>
    <row r="88" spans="2:6" s="217" customFormat="1" ht="24.95" customHeight="1" outlineLevel="1" x14ac:dyDescent="0.25">
      <c r="B88" s="675" t="s">
        <v>215</v>
      </c>
      <c r="C88" s="681" t="s">
        <v>876</v>
      </c>
      <c r="D88" s="351" t="s">
        <v>877</v>
      </c>
      <c r="E88" s="333"/>
    </row>
    <row r="89" spans="2:6" s="217" customFormat="1" ht="24.95" customHeight="1" outlineLevel="1" x14ac:dyDescent="0.25">
      <c r="B89" s="676"/>
      <c r="C89" s="682"/>
      <c r="D89" s="354" t="s">
        <v>837</v>
      </c>
      <c r="E89" s="333"/>
    </row>
    <row r="90" spans="2:6" s="217" customFormat="1" ht="47.25" outlineLevel="1" x14ac:dyDescent="0.25">
      <c r="B90" s="677"/>
      <c r="C90" s="683"/>
      <c r="D90" s="497" t="s">
        <v>875</v>
      </c>
    </row>
    <row r="91" spans="2:6" s="217" customFormat="1" ht="24.95" customHeight="1" outlineLevel="1" x14ac:dyDescent="0.25">
      <c r="B91" s="675" t="s">
        <v>223</v>
      </c>
      <c r="C91" s="681" t="s">
        <v>586</v>
      </c>
      <c r="D91" s="351" t="s">
        <v>878</v>
      </c>
    </row>
    <row r="92" spans="2:6" s="217" customFormat="1" ht="24.95" customHeight="1" outlineLevel="1" x14ac:dyDescent="0.25">
      <c r="B92" s="676"/>
      <c r="C92" s="682"/>
      <c r="D92" s="354" t="s">
        <v>837</v>
      </c>
    </row>
    <row r="93" spans="2:6" s="217" customFormat="1" ht="47.25" outlineLevel="1" x14ac:dyDescent="0.25">
      <c r="B93" s="677"/>
      <c r="C93" s="683"/>
      <c r="D93" s="497" t="s">
        <v>875</v>
      </c>
      <c r="F93" s="340"/>
    </row>
    <row r="94" spans="2:6" s="217" customFormat="1" ht="24.95" customHeight="1" outlineLevel="1" x14ac:dyDescent="0.25">
      <c r="B94" s="675" t="s">
        <v>238</v>
      </c>
      <c r="C94" s="681" t="s">
        <v>587</v>
      </c>
      <c r="D94" s="351" t="s">
        <v>879</v>
      </c>
      <c r="E94" s="333"/>
    </row>
    <row r="95" spans="2:6" s="217" customFormat="1" ht="32.25" customHeight="1" outlineLevel="1" x14ac:dyDescent="0.25">
      <c r="B95" s="676"/>
      <c r="C95" s="682"/>
      <c r="D95" s="498" t="s">
        <v>875</v>
      </c>
      <c r="E95" s="333"/>
    </row>
    <row r="96" spans="2:6" s="217" customFormat="1" ht="25.5" customHeight="1" outlineLevel="1" x14ac:dyDescent="0.25">
      <c r="B96" s="676"/>
      <c r="C96" s="682"/>
      <c r="D96" s="340" t="s">
        <v>837</v>
      </c>
      <c r="E96" s="333"/>
    </row>
    <row r="97" spans="2:12" s="217" customFormat="1" ht="36" customHeight="1" outlineLevel="1" x14ac:dyDescent="0.25">
      <c r="B97" s="569" t="s">
        <v>264</v>
      </c>
      <c r="C97" s="572" t="s">
        <v>588</v>
      </c>
      <c r="D97" s="351" t="s">
        <v>837</v>
      </c>
      <c r="E97" s="333"/>
    </row>
    <row r="98" spans="2:12" s="217" customFormat="1" ht="24.95" customHeight="1" outlineLevel="1" x14ac:dyDescent="0.25">
      <c r="B98" s="675" t="s">
        <v>268</v>
      </c>
      <c r="C98" s="681" t="s">
        <v>589</v>
      </c>
      <c r="D98" s="351" t="s">
        <v>880</v>
      </c>
    </row>
    <row r="99" spans="2:12" s="217" customFormat="1" ht="24.95" customHeight="1" outlineLevel="1" x14ac:dyDescent="0.25">
      <c r="B99" s="676"/>
      <c r="C99" s="682"/>
      <c r="D99" s="334" t="s">
        <v>837</v>
      </c>
    </row>
    <row r="100" spans="2:12" s="217" customFormat="1" ht="47.25" outlineLevel="1" x14ac:dyDescent="0.25">
      <c r="B100" s="677"/>
      <c r="C100" s="683"/>
      <c r="D100" s="498" t="s">
        <v>875</v>
      </c>
    </row>
    <row r="101" spans="2:12" ht="24.95" customHeight="1" outlineLevel="1" x14ac:dyDescent="0.25">
      <c r="B101" s="675" t="s">
        <v>272</v>
      </c>
      <c r="C101" s="681" t="s">
        <v>276</v>
      </c>
      <c r="D101" s="307" t="s">
        <v>837</v>
      </c>
      <c r="J101" s="149"/>
      <c r="K101" s="149"/>
      <c r="L101" s="149"/>
    </row>
    <row r="102" spans="2:12" ht="24.95" customHeight="1" outlineLevel="1" x14ac:dyDescent="0.25">
      <c r="B102" s="676"/>
      <c r="C102" s="682"/>
      <c r="D102" s="334" t="s">
        <v>881</v>
      </c>
      <c r="J102" s="149"/>
      <c r="K102" s="149"/>
      <c r="L102" s="149"/>
    </row>
    <row r="103" spans="2:12" s="217" customFormat="1" outlineLevel="1" x14ac:dyDescent="0.25">
      <c r="B103" s="677"/>
      <c r="C103" s="683"/>
      <c r="D103" s="340" t="s">
        <v>882</v>
      </c>
    </row>
    <row r="104" spans="2:12" s="217" customFormat="1" ht="47.25" outlineLevel="1" x14ac:dyDescent="0.25">
      <c r="B104" s="570" t="s">
        <v>275</v>
      </c>
      <c r="C104" s="584" t="s">
        <v>883</v>
      </c>
      <c r="D104" s="354" t="s">
        <v>884</v>
      </c>
    </row>
    <row r="105" spans="2:12" s="335" customFormat="1" ht="53.25" customHeight="1" outlineLevel="1" x14ac:dyDescent="0.25">
      <c r="B105" s="675" t="s">
        <v>278</v>
      </c>
      <c r="C105" s="705" t="s">
        <v>885</v>
      </c>
      <c r="D105" s="355" t="s">
        <v>886</v>
      </c>
      <c r="F105" s="336"/>
    </row>
    <row r="106" spans="2:12" s="335" customFormat="1" ht="24.95" customHeight="1" outlineLevel="1" x14ac:dyDescent="0.25">
      <c r="B106" s="676"/>
      <c r="C106" s="711"/>
      <c r="D106" s="352" t="s">
        <v>887</v>
      </c>
      <c r="F106" s="336"/>
    </row>
    <row r="107" spans="2:12" s="335" customFormat="1" ht="36" customHeight="1" outlineLevel="1" x14ac:dyDescent="0.25">
      <c r="B107" s="676"/>
      <c r="C107" s="711"/>
      <c r="D107" s="357" t="s">
        <v>888</v>
      </c>
      <c r="F107" s="336"/>
    </row>
    <row r="108" spans="2:12" s="335" customFormat="1" ht="31.5" customHeight="1" outlineLevel="1" x14ac:dyDescent="0.25">
      <c r="B108" s="677"/>
      <c r="C108" s="706"/>
      <c r="D108" s="535" t="s">
        <v>889</v>
      </c>
      <c r="F108" s="336"/>
    </row>
    <row r="109" spans="2:12" s="217" customFormat="1" ht="43.5" customHeight="1" outlineLevel="1" x14ac:dyDescent="0.25">
      <c r="B109" s="569" t="s">
        <v>283</v>
      </c>
      <c r="C109" s="572" t="s">
        <v>594</v>
      </c>
      <c r="D109" s="351" t="s">
        <v>837</v>
      </c>
    </row>
    <row r="110" spans="2:12" s="234" customFormat="1" ht="30" customHeight="1" outlineLevel="1" x14ac:dyDescent="0.25">
      <c r="B110" s="675" t="s">
        <v>596</v>
      </c>
      <c r="C110" s="681" t="s">
        <v>597</v>
      </c>
      <c r="D110" s="351" t="s">
        <v>890</v>
      </c>
    </row>
    <row r="111" spans="2:12" s="234" customFormat="1" ht="24.95" customHeight="1" outlineLevel="1" x14ac:dyDescent="0.25">
      <c r="B111" s="677"/>
      <c r="C111" s="683"/>
      <c r="D111" s="353" t="s">
        <v>837</v>
      </c>
    </row>
    <row r="112" spans="2:12" s="217" customFormat="1" ht="30" customHeight="1" outlineLevel="1" x14ac:dyDescent="0.25">
      <c r="B112" s="675" t="s">
        <v>600</v>
      </c>
      <c r="C112" s="681" t="s">
        <v>601</v>
      </c>
      <c r="D112" s="356" t="s">
        <v>890</v>
      </c>
    </row>
    <row r="113" spans="2:5" s="217" customFormat="1" ht="24.95" customHeight="1" outlineLevel="1" x14ac:dyDescent="0.25">
      <c r="B113" s="676"/>
      <c r="C113" s="682"/>
      <c r="D113" s="352" t="s">
        <v>837</v>
      </c>
    </row>
    <row r="114" spans="2:5" s="217" customFormat="1" ht="33" customHeight="1" outlineLevel="1" x14ac:dyDescent="0.25">
      <c r="B114" s="677"/>
      <c r="C114" s="683"/>
      <c r="D114" s="340" t="s">
        <v>853</v>
      </c>
    </row>
    <row r="115" spans="2:5" s="234" customFormat="1" ht="24.95" customHeight="1" outlineLevel="1" x14ac:dyDescent="0.25">
      <c r="B115" s="675" t="s">
        <v>602</v>
      </c>
      <c r="C115" s="681" t="s">
        <v>603</v>
      </c>
      <c r="D115" s="351" t="s">
        <v>891</v>
      </c>
    </row>
    <row r="116" spans="2:5" s="234" customFormat="1" ht="24.95" customHeight="1" outlineLevel="1" x14ac:dyDescent="0.25">
      <c r="B116" s="676"/>
      <c r="C116" s="682"/>
      <c r="D116" s="357" t="s">
        <v>837</v>
      </c>
    </row>
    <row r="117" spans="2:5" s="234" customFormat="1" ht="31.5" outlineLevel="1" x14ac:dyDescent="0.25">
      <c r="B117" s="677"/>
      <c r="C117" s="683"/>
      <c r="D117" s="340" t="s">
        <v>892</v>
      </c>
    </row>
    <row r="118" spans="2:5" s="234" customFormat="1" ht="24.95" customHeight="1" outlineLevel="1" x14ac:dyDescent="0.25">
      <c r="B118" s="675" t="s">
        <v>527</v>
      </c>
      <c r="C118" s="681" t="s">
        <v>893</v>
      </c>
      <c r="D118" s="351" t="s">
        <v>890</v>
      </c>
      <c r="E118" s="337"/>
    </row>
    <row r="119" spans="2:5" s="234" customFormat="1" ht="24.95" customHeight="1" outlineLevel="1" x14ac:dyDescent="0.25">
      <c r="B119" s="677"/>
      <c r="C119" s="683"/>
      <c r="D119" s="583" t="s">
        <v>837</v>
      </c>
    </row>
    <row r="120" spans="2:5" s="234" customFormat="1" ht="54.75" customHeight="1" outlineLevel="1" x14ac:dyDescent="0.25">
      <c r="B120" s="569" t="s">
        <v>604</v>
      </c>
      <c r="C120" s="572" t="s">
        <v>605</v>
      </c>
      <c r="D120" s="582" t="s">
        <v>894</v>
      </c>
      <c r="E120" s="512"/>
    </row>
    <row r="121" spans="2:5" s="338" customFormat="1" ht="24.95" customHeight="1" outlineLevel="1" x14ac:dyDescent="0.25">
      <c r="B121" s="675" t="s">
        <v>609</v>
      </c>
      <c r="C121" s="681" t="s">
        <v>610</v>
      </c>
      <c r="D121" s="356" t="s">
        <v>837</v>
      </c>
      <c r="E121" s="528"/>
    </row>
    <row r="122" spans="2:5" s="338" customFormat="1" ht="47.25" outlineLevel="1" x14ac:dyDescent="0.25">
      <c r="B122" s="677"/>
      <c r="C122" s="683"/>
      <c r="D122" s="340" t="s">
        <v>895</v>
      </c>
    </row>
    <row r="123" spans="2:5" s="338" customFormat="1" ht="24.95" customHeight="1" outlineLevel="1" x14ac:dyDescent="0.25">
      <c r="B123" s="675" t="s">
        <v>612</v>
      </c>
      <c r="C123" s="681" t="s">
        <v>613</v>
      </c>
      <c r="D123" s="356" t="s">
        <v>837</v>
      </c>
      <c r="E123" s="528"/>
    </row>
    <row r="124" spans="2:5" s="338" customFormat="1" ht="47.25" outlineLevel="1" x14ac:dyDescent="0.25">
      <c r="B124" s="677"/>
      <c r="C124" s="683"/>
      <c r="D124" s="340" t="s">
        <v>896</v>
      </c>
    </row>
    <row r="125" spans="2:5" s="338" customFormat="1" ht="24.95" customHeight="1" outlineLevel="1" x14ac:dyDescent="0.25">
      <c r="B125" s="675" t="s">
        <v>615</v>
      </c>
      <c r="C125" s="681" t="s">
        <v>616</v>
      </c>
      <c r="D125" s="356" t="s">
        <v>837</v>
      </c>
      <c r="E125" s="528"/>
    </row>
    <row r="126" spans="2:5" s="338" customFormat="1" ht="47.25" outlineLevel="1" x14ac:dyDescent="0.25">
      <c r="B126" s="677"/>
      <c r="C126" s="683"/>
      <c r="D126" s="340" t="s">
        <v>897</v>
      </c>
    </row>
    <row r="127" spans="2:5" s="234" customFormat="1" ht="39.75" customHeight="1" outlineLevel="1" x14ac:dyDescent="0.25">
      <c r="B127" s="569" t="s">
        <v>618</v>
      </c>
      <c r="C127" s="572" t="s">
        <v>586</v>
      </c>
      <c r="D127" s="356" t="s">
        <v>837</v>
      </c>
      <c r="E127" s="337"/>
    </row>
    <row r="128" spans="2:5" s="234" customFormat="1" ht="39.75" customHeight="1" outlineLevel="1" x14ac:dyDescent="0.25">
      <c r="B128" s="569" t="s">
        <v>619</v>
      </c>
      <c r="C128" s="572" t="s">
        <v>620</v>
      </c>
      <c r="D128" s="356" t="s">
        <v>837</v>
      </c>
      <c r="E128" s="337"/>
    </row>
    <row r="129" spans="1:12" s="234" customFormat="1" ht="39.75" customHeight="1" outlineLevel="1" x14ac:dyDescent="0.25">
      <c r="B129" s="569" t="s">
        <v>621</v>
      </c>
      <c r="C129" s="572" t="s">
        <v>529</v>
      </c>
      <c r="D129" s="356" t="s">
        <v>837</v>
      </c>
      <c r="E129" s="337"/>
    </row>
    <row r="130" spans="1:12" s="234" customFormat="1" ht="39.75" customHeight="1" outlineLevel="1" x14ac:dyDescent="0.25">
      <c r="B130" s="569" t="s">
        <v>622</v>
      </c>
      <c r="C130" s="572" t="s">
        <v>898</v>
      </c>
      <c r="D130" s="356" t="s">
        <v>837</v>
      </c>
      <c r="E130" s="337"/>
    </row>
    <row r="131" spans="1:12" s="234" customFormat="1" ht="39.75" customHeight="1" outlineLevel="1" x14ac:dyDescent="0.25">
      <c r="B131" s="569" t="s">
        <v>626</v>
      </c>
      <c r="C131" s="572" t="s">
        <v>627</v>
      </c>
      <c r="D131" s="356" t="s">
        <v>837</v>
      </c>
      <c r="E131" s="337"/>
    </row>
    <row r="132" spans="1:12" s="234" customFormat="1" ht="39.75" customHeight="1" outlineLevel="1" x14ac:dyDescent="0.25">
      <c r="B132" s="569" t="s">
        <v>629</v>
      </c>
      <c r="C132" s="572" t="s">
        <v>899</v>
      </c>
      <c r="D132" s="535" t="s">
        <v>900</v>
      </c>
      <c r="E132" s="337"/>
    </row>
    <row r="133" spans="1:12" ht="21.95" customHeight="1" x14ac:dyDescent="0.25">
      <c r="A133" s="218"/>
      <c r="B133" s="433" t="s">
        <v>459</v>
      </c>
      <c r="C133" s="581"/>
      <c r="D133" s="536"/>
      <c r="J133" s="149"/>
      <c r="K133" s="149"/>
      <c r="L133" s="149"/>
    </row>
    <row r="134" spans="1:12" s="234" customFormat="1" ht="54.75" customHeight="1" outlineLevel="1" x14ac:dyDescent="0.25">
      <c r="B134" s="569" t="s">
        <v>257</v>
      </c>
      <c r="C134" s="572" t="s">
        <v>633</v>
      </c>
      <c r="D134" s="358" t="s">
        <v>901</v>
      </c>
    </row>
    <row r="135" spans="1:12" s="180" customFormat="1" ht="78.75" outlineLevel="1" x14ac:dyDescent="0.25">
      <c r="B135" s="675" t="s">
        <v>260</v>
      </c>
      <c r="C135" s="678" t="s">
        <v>902</v>
      </c>
      <c r="D135" s="341" t="s">
        <v>903</v>
      </c>
    </row>
    <row r="136" spans="1:12" s="180" customFormat="1" ht="65.25" customHeight="1" outlineLevel="1" x14ac:dyDescent="0.25">
      <c r="B136" s="676"/>
      <c r="C136" s="679"/>
      <c r="D136" s="342" t="s">
        <v>904</v>
      </c>
    </row>
    <row r="137" spans="1:12" s="180" customFormat="1" ht="65.25" customHeight="1" outlineLevel="1" x14ac:dyDescent="0.25">
      <c r="B137" s="571"/>
      <c r="C137" s="680"/>
      <c r="D137" s="342" t="s">
        <v>905</v>
      </c>
    </row>
    <row r="138" spans="1:12" s="338" customFormat="1" ht="50.25" customHeight="1" outlineLevel="1" x14ac:dyDescent="0.25">
      <c r="B138" s="302" t="s">
        <v>263</v>
      </c>
      <c r="C138" s="303" t="s">
        <v>605</v>
      </c>
      <c r="D138" s="339" t="s">
        <v>906</v>
      </c>
    </row>
    <row r="139" spans="1:12" s="180" customFormat="1" ht="47.25" outlineLevel="1" x14ac:dyDescent="0.25">
      <c r="B139" s="302" t="s">
        <v>271</v>
      </c>
      <c r="C139" s="339" t="s">
        <v>313</v>
      </c>
      <c r="D139" s="347" t="s">
        <v>907</v>
      </c>
    </row>
    <row r="140" spans="1:12" s="180" customFormat="1" ht="47.25" outlineLevel="1" x14ac:dyDescent="0.25">
      <c r="B140" s="302" t="s">
        <v>281</v>
      </c>
      <c r="C140" s="350" t="s">
        <v>317</v>
      </c>
      <c r="D140" s="347" t="s">
        <v>467</v>
      </c>
    </row>
    <row r="141" spans="1:12" s="180" customFormat="1" ht="31.5" outlineLevel="1" x14ac:dyDescent="0.25">
      <c r="B141" s="676" t="s">
        <v>286</v>
      </c>
      <c r="C141" s="682" t="s">
        <v>908</v>
      </c>
      <c r="D141" s="343" t="s">
        <v>909</v>
      </c>
    </row>
    <row r="142" spans="1:12" s="180" customFormat="1" ht="39.75" customHeight="1" outlineLevel="1" x14ac:dyDescent="0.25">
      <c r="B142" s="676"/>
      <c r="C142" s="682"/>
      <c r="D142" s="334" t="s">
        <v>910</v>
      </c>
    </row>
    <row r="143" spans="1:12" s="180" customFormat="1" ht="31.5" customHeight="1" outlineLevel="1" x14ac:dyDescent="0.25">
      <c r="B143" s="676"/>
      <c r="C143" s="682"/>
      <c r="D143" s="334" t="s">
        <v>911</v>
      </c>
    </row>
    <row r="144" spans="1:12" s="180" customFormat="1" ht="31.5" outlineLevel="1" x14ac:dyDescent="0.25">
      <c r="B144" s="676"/>
      <c r="C144" s="682"/>
      <c r="D144" s="334" t="s">
        <v>912</v>
      </c>
      <c r="F144" s="304"/>
    </row>
    <row r="145" spans="2:12" s="180" customFormat="1" ht="24.95" customHeight="1" outlineLevel="1" x14ac:dyDescent="0.25">
      <c r="B145" s="675" t="s">
        <v>312</v>
      </c>
      <c r="C145" s="678" t="s">
        <v>646</v>
      </c>
      <c r="D145" s="341" t="s">
        <v>913</v>
      </c>
    </row>
    <row r="146" spans="2:12" s="180" customFormat="1" ht="24.95" customHeight="1" outlineLevel="1" x14ac:dyDescent="0.25">
      <c r="B146" s="677"/>
      <c r="C146" s="680"/>
      <c r="D146" s="342" t="s">
        <v>914</v>
      </c>
    </row>
    <row r="147" spans="2:12" s="180" customFormat="1" ht="31.5" outlineLevel="1" x14ac:dyDescent="0.25">
      <c r="B147" s="675" t="s">
        <v>316</v>
      </c>
      <c r="C147" s="678" t="s">
        <v>648</v>
      </c>
      <c r="D147" s="341" t="s">
        <v>915</v>
      </c>
    </row>
    <row r="148" spans="2:12" s="180" customFormat="1" ht="24.95" customHeight="1" outlineLevel="1" x14ac:dyDescent="0.25">
      <c r="B148" s="677"/>
      <c r="C148" s="680"/>
      <c r="D148" s="342" t="s">
        <v>914</v>
      </c>
    </row>
    <row r="149" spans="2:12" s="180" customFormat="1" ht="24.95" customHeight="1" outlineLevel="1" x14ac:dyDescent="0.25">
      <c r="B149" s="675" t="s">
        <v>319</v>
      </c>
      <c r="C149" s="705" t="s">
        <v>649</v>
      </c>
      <c r="D149" s="341" t="s">
        <v>913</v>
      </c>
    </row>
    <row r="150" spans="2:12" s="180" customFormat="1" ht="24.95" customHeight="1" outlineLevel="1" x14ac:dyDescent="0.25">
      <c r="B150" s="677"/>
      <c r="C150" s="706"/>
      <c r="D150" s="342" t="s">
        <v>914</v>
      </c>
    </row>
    <row r="151" spans="2:12" s="180" customFormat="1" ht="24.95" customHeight="1" outlineLevel="1" x14ac:dyDescent="0.25">
      <c r="B151" s="691" t="s">
        <v>323</v>
      </c>
      <c r="C151" s="688" t="s">
        <v>916</v>
      </c>
      <c r="D151" s="307" t="s">
        <v>917</v>
      </c>
    </row>
    <row r="152" spans="2:12" s="180" customFormat="1" ht="31.5" outlineLevel="1" x14ac:dyDescent="0.25">
      <c r="B152" s="692"/>
      <c r="C152" s="689"/>
      <c r="D152" s="305" t="s">
        <v>918</v>
      </c>
    </row>
    <row r="153" spans="2:12" s="180" customFormat="1" ht="24.95" customHeight="1" outlineLevel="1" x14ac:dyDescent="0.25">
      <c r="B153" s="693"/>
      <c r="C153" s="690"/>
      <c r="D153" s="342" t="s">
        <v>919</v>
      </c>
    </row>
    <row r="154" spans="2:12" s="180" customFormat="1" ht="48.75" customHeight="1" outlineLevel="1" x14ac:dyDescent="0.25">
      <c r="B154" s="578" t="s">
        <v>333</v>
      </c>
      <c r="C154" s="494" t="s">
        <v>920</v>
      </c>
      <c r="D154" s="349" t="s">
        <v>921</v>
      </c>
    </row>
    <row r="155" spans="2:12" s="180" customFormat="1" ht="30" customHeight="1" outlineLevel="1" x14ac:dyDescent="0.25">
      <c r="B155" s="578" t="s">
        <v>340</v>
      </c>
      <c r="C155" s="577" t="s">
        <v>922</v>
      </c>
      <c r="D155" s="349" t="s">
        <v>923</v>
      </c>
    </row>
    <row r="156" spans="2:12" s="180" customFormat="1" ht="30" customHeight="1" outlineLevel="1" x14ac:dyDescent="0.25">
      <c r="B156" s="434" t="s">
        <v>659</v>
      </c>
      <c r="C156" s="177" t="s">
        <v>660</v>
      </c>
      <c r="D156" s="347" t="s">
        <v>924</v>
      </c>
    </row>
    <row r="157" spans="2:12" ht="24.95" customHeight="1" outlineLevel="1" x14ac:dyDescent="0.25">
      <c r="B157" s="709" t="s">
        <v>662</v>
      </c>
      <c r="C157" s="710" t="s">
        <v>663</v>
      </c>
      <c r="D157" s="537" t="s">
        <v>925</v>
      </c>
      <c r="J157" s="149"/>
      <c r="K157" s="149"/>
      <c r="L157" s="149"/>
    </row>
    <row r="158" spans="2:12" ht="24.95" customHeight="1" outlineLevel="1" x14ac:dyDescent="0.25">
      <c r="B158" s="685"/>
      <c r="C158" s="687"/>
      <c r="D158" s="342" t="s">
        <v>926</v>
      </c>
      <c r="J158" s="149"/>
      <c r="K158" s="149"/>
      <c r="L158" s="149"/>
    </row>
    <row r="159" spans="2:12" ht="67.5" customHeight="1" outlineLevel="1" x14ac:dyDescent="0.25">
      <c r="B159" s="437" t="s">
        <v>667</v>
      </c>
      <c r="C159" s="438" t="s">
        <v>668</v>
      </c>
      <c r="D159" s="347" t="s">
        <v>927</v>
      </c>
      <c r="J159" s="149"/>
      <c r="K159" s="149"/>
      <c r="L159" s="149"/>
    </row>
    <row r="160" spans="2:12" ht="63" outlineLevel="1" x14ac:dyDescent="0.25">
      <c r="B160" s="575" t="s">
        <v>672</v>
      </c>
      <c r="C160" s="233" t="s">
        <v>928</v>
      </c>
      <c r="D160" s="349" t="s">
        <v>929</v>
      </c>
      <c r="J160" s="149"/>
      <c r="K160" s="149"/>
      <c r="L160" s="149"/>
    </row>
    <row r="161" spans="2:12" ht="50.25" customHeight="1" outlineLevel="1" x14ac:dyDescent="0.25">
      <c r="B161" s="684" t="s">
        <v>675</v>
      </c>
      <c r="C161" s="686" t="s">
        <v>676</v>
      </c>
      <c r="D161" s="307" t="s">
        <v>930</v>
      </c>
      <c r="J161" s="149"/>
      <c r="K161" s="149"/>
      <c r="L161" s="149"/>
    </row>
    <row r="162" spans="2:12" ht="33" customHeight="1" outlineLevel="1" x14ac:dyDescent="0.25">
      <c r="B162" s="685"/>
      <c r="C162" s="687"/>
      <c r="D162" s="307" t="s">
        <v>931</v>
      </c>
      <c r="J162" s="149"/>
      <c r="K162" s="149"/>
      <c r="L162" s="149"/>
    </row>
    <row r="163" spans="2:12" ht="67.5" customHeight="1" outlineLevel="1" x14ac:dyDescent="0.25">
      <c r="B163" s="437" t="s">
        <v>677</v>
      </c>
      <c r="C163" s="438" t="s">
        <v>678</v>
      </c>
      <c r="D163" s="347" t="s">
        <v>647</v>
      </c>
      <c r="J163" s="149"/>
      <c r="K163" s="149"/>
      <c r="L163" s="149"/>
    </row>
    <row r="164" spans="2:12" ht="30.75" customHeight="1" outlineLevel="1" x14ac:dyDescent="0.25">
      <c r="B164" s="684" t="s">
        <v>689</v>
      </c>
      <c r="C164" s="686" t="s">
        <v>690</v>
      </c>
      <c r="D164" s="307" t="s">
        <v>932</v>
      </c>
      <c r="J164" s="149"/>
      <c r="K164" s="149"/>
      <c r="L164" s="149"/>
    </row>
    <row r="165" spans="2:12" ht="24.95" customHeight="1" outlineLevel="1" x14ac:dyDescent="0.25">
      <c r="B165" s="685"/>
      <c r="C165" s="687"/>
      <c r="D165" s="349"/>
      <c r="J165" s="149"/>
      <c r="K165" s="149"/>
      <c r="L165" s="149"/>
    </row>
    <row r="166" spans="2:12" ht="47.25" outlineLevel="1" x14ac:dyDescent="0.25">
      <c r="B166" s="574" t="s">
        <v>683</v>
      </c>
      <c r="C166" s="576" t="s">
        <v>684</v>
      </c>
      <c r="D166" s="349" t="s">
        <v>933</v>
      </c>
      <c r="J166" s="149"/>
      <c r="K166" s="149"/>
      <c r="L166" s="149"/>
    </row>
    <row r="167" spans="2:12" ht="47.25" outlineLevel="1" x14ac:dyDescent="0.25">
      <c r="B167" s="574" t="s">
        <v>686</v>
      </c>
      <c r="C167" s="576" t="s">
        <v>934</v>
      </c>
      <c r="D167" s="349" t="s">
        <v>935</v>
      </c>
      <c r="J167" s="149"/>
      <c r="K167" s="149"/>
      <c r="L167" s="149"/>
    </row>
    <row r="168" spans="2:12" s="234" customFormat="1" ht="46.5" customHeight="1" outlineLevel="1" x14ac:dyDescent="0.25">
      <c r="B168" s="569" t="s">
        <v>705</v>
      </c>
      <c r="C168" s="572" t="s">
        <v>706</v>
      </c>
      <c r="D168" s="356" t="s">
        <v>837</v>
      </c>
      <c r="E168" s="337"/>
    </row>
    <row r="169" spans="2:12" s="234" customFormat="1" ht="46.5" customHeight="1" outlineLevel="1" x14ac:dyDescent="0.25">
      <c r="B169" s="569" t="s">
        <v>708</v>
      </c>
      <c r="C169" s="572" t="s">
        <v>709</v>
      </c>
      <c r="D169" s="356" t="s">
        <v>837</v>
      </c>
      <c r="E169" s="337"/>
    </row>
    <row r="170" spans="2:12" s="234" customFormat="1" ht="46.5" customHeight="1" outlineLevel="1" x14ac:dyDescent="0.25">
      <c r="B170" s="569" t="s">
        <v>721</v>
      </c>
      <c r="C170" s="303" t="s">
        <v>936</v>
      </c>
      <c r="D170" s="582" t="s">
        <v>937</v>
      </c>
      <c r="E170" s="337"/>
    </row>
    <row r="171" spans="2:12" s="234" customFormat="1" ht="46.5" customHeight="1" outlineLevel="1" x14ac:dyDescent="0.25">
      <c r="B171" s="569" t="s">
        <v>723</v>
      </c>
      <c r="C171" s="303" t="s">
        <v>605</v>
      </c>
      <c r="D171" s="359" t="s">
        <v>835</v>
      </c>
      <c r="E171" s="337"/>
    </row>
    <row r="172" spans="2:12" s="234" customFormat="1" ht="46.5" customHeight="1" outlineLevel="1" x14ac:dyDescent="0.25">
      <c r="B172" s="569" t="s">
        <v>724</v>
      </c>
      <c r="C172" s="303" t="s">
        <v>623</v>
      </c>
      <c r="D172" s="359" t="s">
        <v>835</v>
      </c>
      <c r="E172" s="337"/>
    </row>
    <row r="173" spans="2:12" s="234" customFormat="1" ht="46.5" customHeight="1" outlineLevel="1" x14ac:dyDescent="0.25">
      <c r="B173" s="569" t="s">
        <v>726</v>
      </c>
      <c r="C173" s="303" t="s">
        <v>727</v>
      </c>
      <c r="D173" s="535" t="s">
        <v>900</v>
      </c>
      <c r="E173" s="337"/>
    </row>
    <row r="174" spans="2:12" s="234" customFormat="1" ht="46.5" customHeight="1" outlineLevel="1" x14ac:dyDescent="0.25">
      <c r="B174" s="569" t="s">
        <v>728</v>
      </c>
      <c r="C174" s="303" t="s">
        <v>729</v>
      </c>
      <c r="D174" s="535" t="s">
        <v>900</v>
      </c>
      <c r="E174" s="337"/>
    </row>
    <row r="175" spans="2:12" s="234" customFormat="1" ht="46.5" customHeight="1" outlineLevel="1" x14ac:dyDescent="0.25">
      <c r="B175" s="569" t="s">
        <v>733</v>
      </c>
      <c r="C175" s="303" t="s">
        <v>731</v>
      </c>
      <c r="D175" s="359" t="s">
        <v>835</v>
      </c>
      <c r="E175" s="337"/>
    </row>
    <row r="176" spans="2:12" s="234" customFormat="1" ht="46.5" customHeight="1" outlineLevel="1" x14ac:dyDescent="0.25">
      <c r="B176" s="569" t="s">
        <v>735</v>
      </c>
      <c r="C176" s="303" t="s">
        <v>734</v>
      </c>
      <c r="D176" s="359" t="s">
        <v>835</v>
      </c>
      <c r="E176" s="337"/>
    </row>
    <row r="177" spans="1:12" s="234" customFormat="1" ht="46.5" customHeight="1" outlineLevel="1" x14ac:dyDescent="0.25">
      <c r="B177" s="569" t="s">
        <v>738</v>
      </c>
      <c r="C177" s="303" t="s">
        <v>736</v>
      </c>
      <c r="D177" s="359" t="s">
        <v>835</v>
      </c>
      <c r="E177" s="337"/>
    </row>
    <row r="178" spans="1:12" s="234" customFormat="1" ht="46.5" customHeight="1" outlineLevel="1" x14ac:dyDescent="0.25">
      <c r="B178" s="569" t="s">
        <v>938</v>
      </c>
      <c r="C178" s="303" t="s">
        <v>739</v>
      </c>
      <c r="D178" s="359" t="s">
        <v>835</v>
      </c>
      <c r="E178" s="337"/>
    </row>
    <row r="179" spans="1:12" ht="21.95" customHeight="1" x14ac:dyDescent="0.25">
      <c r="A179" s="218"/>
      <c r="B179" s="433" t="s">
        <v>472</v>
      </c>
      <c r="C179" s="580"/>
      <c r="D179" s="538"/>
      <c r="J179" s="149"/>
      <c r="K179" s="149"/>
      <c r="L179" s="149"/>
    </row>
    <row r="180" spans="1:12" ht="30" customHeight="1" outlineLevel="1" x14ac:dyDescent="0.25">
      <c r="B180" s="231" t="s">
        <v>347</v>
      </c>
      <c r="C180" s="232" t="s">
        <v>939</v>
      </c>
      <c r="D180" s="539" t="s">
        <v>474</v>
      </c>
      <c r="J180" s="149"/>
      <c r="K180" s="149"/>
      <c r="L180" s="149"/>
    </row>
    <row r="181" spans="1:12" ht="67.5" customHeight="1" outlineLevel="1" x14ac:dyDescent="0.25">
      <c r="B181" s="437" t="s">
        <v>350</v>
      </c>
      <c r="C181" s="438" t="s">
        <v>668</v>
      </c>
      <c r="D181" s="347" t="s">
        <v>940</v>
      </c>
      <c r="J181" s="149"/>
      <c r="K181" s="149"/>
      <c r="L181" s="149"/>
    </row>
    <row r="182" spans="1:12" ht="31.5" outlineLevel="1" x14ac:dyDescent="0.25">
      <c r="B182" s="231" t="s">
        <v>353</v>
      </c>
      <c r="C182" s="232" t="s">
        <v>690</v>
      </c>
      <c r="D182" s="539" t="s">
        <v>941</v>
      </c>
      <c r="J182" s="149"/>
      <c r="K182" s="149"/>
      <c r="L182" s="149"/>
    </row>
    <row r="183" spans="1:12" ht="47.25" customHeight="1" outlineLevel="1" x14ac:dyDescent="0.25">
      <c r="B183" s="684" t="s">
        <v>358</v>
      </c>
      <c r="C183" s="686" t="s">
        <v>942</v>
      </c>
      <c r="D183" s="537" t="s">
        <v>943</v>
      </c>
      <c r="J183" s="149"/>
      <c r="K183" s="149"/>
      <c r="L183" s="149"/>
    </row>
    <row r="184" spans="1:12" ht="35.25" customHeight="1" outlineLevel="1" x14ac:dyDescent="0.25">
      <c r="B184" s="685"/>
      <c r="C184" s="687"/>
      <c r="D184" s="349" t="s">
        <v>944</v>
      </c>
      <c r="J184" s="149"/>
      <c r="K184" s="149"/>
      <c r="L184" s="149"/>
    </row>
    <row r="185" spans="1:12" ht="67.5" customHeight="1" outlineLevel="1" x14ac:dyDescent="0.25">
      <c r="B185" s="437" t="s">
        <v>366</v>
      </c>
      <c r="C185" s="438" t="s">
        <v>945</v>
      </c>
      <c r="D185" s="347" t="s">
        <v>946</v>
      </c>
      <c r="J185" s="149"/>
      <c r="K185" s="149"/>
      <c r="L185" s="149"/>
    </row>
    <row r="186" spans="1:12" ht="67.5" customHeight="1" outlineLevel="1" x14ac:dyDescent="0.25">
      <c r="B186" s="437" t="s">
        <v>753</v>
      </c>
      <c r="C186" s="438" t="s">
        <v>656</v>
      </c>
      <c r="D186" s="347" t="s">
        <v>946</v>
      </c>
      <c r="J186" s="149"/>
      <c r="K186" s="149"/>
      <c r="L186" s="149"/>
    </row>
    <row r="187" spans="1:12" ht="67.5" customHeight="1" outlineLevel="1" x14ac:dyDescent="0.25">
      <c r="B187" s="437" t="s">
        <v>754</v>
      </c>
      <c r="C187" s="438" t="s">
        <v>702</v>
      </c>
      <c r="D187" s="347" t="s">
        <v>835</v>
      </c>
      <c r="J187" s="149"/>
      <c r="K187" s="149"/>
      <c r="L187" s="149"/>
    </row>
    <row r="188" spans="1:12" ht="67.5" customHeight="1" outlineLevel="1" x14ac:dyDescent="0.25">
      <c r="B188" s="437" t="s">
        <v>755</v>
      </c>
      <c r="C188" s="438" t="s">
        <v>709</v>
      </c>
      <c r="D188" s="347" t="s">
        <v>835</v>
      </c>
      <c r="J188" s="149"/>
      <c r="K188" s="149"/>
      <c r="L188" s="149"/>
    </row>
    <row r="189" spans="1:12" ht="67.5" customHeight="1" outlineLevel="1" x14ac:dyDescent="0.25">
      <c r="B189" s="437" t="s">
        <v>756</v>
      </c>
      <c r="C189" s="438" t="s">
        <v>712</v>
      </c>
      <c r="D189" s="347" t="s">
        <v>835</v>
      </c>
      <c r="J189" s="149"/>
      <c r="K189" s="149"/>
      <c r="L189" s="149"/>
    </row>
    <row r="190" spans="1:12" ht="67.5" customHeight="1" outlineLevel="1" x14ac:dyDescent="0.25">
      <c r="B190" s="437" t="s">
        <v>757</v>
      </c>
      <c r="C190" s="438" t="s">
        <v>727</v>
      </c>
      <c r="D190" s="347" t="s">
        <v>835</v>
      </c>
      <c r="J190" s="149"/>
      <c r="K190" s="149"/>
      <c r="L190" s="149"/>
    </row>
    <row r="191" spans="1:12" ht="79.5" customHeight="1" outlineLevel="1" x14ac:dyDescent="0.25">
      <c r="B191" s="437" t="s">
        <v>1002</v>
      </c>
      <c r="C191" s="438" t="s">
        <v>1003</v>
      </c>
      <c r="D191" s="347" t="s">
        <v>835</v>
      </c>
      <c r="J191" s="149"/>
      <c r="K191" s="149"/>
      <c r="L191" s="149"/>
    </row>
    <row r="192" spans="1:12" ht="21.95" customHeight="1" x14ac:dyDescent="0.25">
      <c r="A192" s="218"/>
      <c r="B192" s="433" t="s">
        <v>475</v>
      </c>
      <c r="C192" s="580"/>
      <c r="D192" s="538"/>
      <c r="E192" s="228"/>
      <c r="J192" s="149"/>
      <c r="K192" s="149"/>
      <c r="L192" s="149"/>
    </row>
    <row r="193" spans="1:12" ht="47.25" customHeight="1" outlineLevel="1" x14ac:dyDescent="0.25">
      <c r="B193" s="684" t="s">
        <v>372</v>
      </c>
      <c r="C193" s="686" t="s">
        <v>947</v>
      </c>
      <c r="D193" s="307" t="s">
        <v>948</v>
      </c>
      <c r="E193" s="228"/>
      <c r="J193" s="149"/>
      <c r="K193" s="149"/>
      <c r="L193" s="149"/>
    </row>
    <row r="194" spans="1:12" ht="31.5" outlineLevel="1" x14ac:dyDescent="0.25">
      <c r="B194" s="709"/>
      <c r="C194" s="710"/>
      <c r="D194" s="305" t="s">
        <v>949</v>
      </c>
      <c r="E194" s="228"/>
      <c r="J194" s="149"/>
      <c r="K194" s="149"/>
      <c r="L194" s="149"/>
    </row>
    <row r="195" spans="1:12" ht="24.95" customHeight="1" outlineLevel="1" x14ac:dyDescent="0.25">
      <c r="B195" s="685"/>
      <c r="C195" s="687"/>
      <c r="D195" s="349" t="s">
        <v>950</v>
      </c>
      <c r="E195" s="228"/>
      <c r="J195" s="149"/>
      <c r="K195" s="149"/>
      <c r="L195" s="149"/>
    </row>
    <row r="196" spans="1:12" s="230" customFormat="1" ht="47.25" outlineLevel="1" x14ac:dyDescent="0.25">
      <c r="B196" s="684" t="s">
        <v>378</v>
      </c>
      <c r="C196" s="707" t="s">
        <v>951</v>
      </c>
      <c r="D196" s="307" t="s">
        <v>952</v>
      </c>
      <c r="E196" s="228"/>
    </row>
    <row r="197" spans="1:12" s="230" customFormat="1" ht="31.5" outlineLevel="1" x14ac:dyDescent="0.25">
      <c r="B197" s="709"/>
      <c r="C197" s="708"/>
      <c r="D197" s="305" t="s">
        <v>953</v>
      </c>
      <c r="E197" s="228"/>
    </row>
    <row r="198" spans="1:12" s="230" customFormat="1" ht="24.95" customHeight="1" outlineLevel="1" x14ac:dyDescent="0.25">
      <c r="B198" s="709"/>
      <c r="C198" s="708"/>
      <c r="D198" s="334" t="s">
        <v>954</v>
      </c>
      <c r="E198" s="228"/>
    </row>
    <row r="199" spans="1:12" s="230" customFormat="1" ht="47.25" outlineLevel="1" x14ac:dyDescent="0.25">
      <c r="B199" s="344" t="s">
        <v>381</v>
      </c>
      <c r="C199" s="345" t="s">
        <v>762</v>
      </c>
      <c r="D199" s="540" t="s">
        <v>955</v>
      </c>
    </row>
    <row r="200" spans="1:12" ht="47.25" outlineLevel="1" x14ac:dyDescent="0.25">
      <c r="B200" s="709" t="s">
        <v>383</v>
      </c>
      <c r="C200" s="686" t="s">
        <v>956</v>
      </c>
      <c r="D200" s="541" t="s">
        <v>957</v>
      </c>
      <c r="J200" s="149"/>
      <c r="K200" s="149"/>
      <c r="L200" s="149"/>
    </row>
    <row r="201" spans="1:12" ht="30" customHeight="1" outlineLevel="1" x14ac:dyDescent="0.25">
      <c r="B201" s="685"/>
      <c r="C201" s="687"/>
      <c r="D201" s="542" t="s">
        <v>958</v>
      </c>
      <c r="J201" s="149"/>
      <c r="K201" s="149"/>
      <c r="L201" s="149"/>
    </row>
    <row r="202" spans="1:12" s="230" customFormat="1" ht="47.25" outlineLevel="1" x14ac:dyDescent="0.25">
      <c r="B202" s="344" t="s">
        <v>765</v>
      </c>
      <c r="C202" s="345" t="s">
        <v>766</v>
      </c>
      <c r="D202" s="347" t="s">
        <v>835</v>
      </c>
    </row>
    <row r="203" spans="1:12" s="230" customFormat="1" ht="31.5" outlineLevel="1" x14ac:dyDescent="0.25">
      <c r="B203" s="344" t="s">
        <v>768</v>
      </c>
      <c r="C203" s="345" t="s">
        <v>769</v>
      </c>
      <c r="D203" s="347" t="s">
        <v>835</v>
      </c>
    </row>
    <row r="204" spans="1:12" s="230" customFormat="1" ht="47.25" outlineLevel="1" x14ac:dyDescent="0.25">
      <c r="B204" s="344" t="s">
        <v>771</v>
      </c>
      <c r="C204" s="345" t="s">
        <v>772</v>
      </c>
      <c r="D204" s="535" t="s">
        <v>900</v>
      </c>
    </row>
    <row r="205" spans="1:12" ht="21.95" customHeight="1" x14ac:dyDescent="0.25">
      <c r="A205" s="218"/>
      <c r="B205" s="433" t="s">
        <v>482</v>
      </c>
      <c r="C205" s="580"/>
      <c r="D205" s="538"/>
      <c r="J205" s="149"/>
      <c r="K205" s="149"/>
      <c r="L205" s="149"/>
    </row>
    <row r="206" spans="1:12" s="180" customFormat="1" ht="31.5" customHeight="1" outlineLevel="1" x14ac:dyDescent="0.25">
      <c r="A206" s="368"/>
      <c r="B206" s="578" t="s">
        <v>393</v>
      </c>
      <c r="C206" s="577" t="s">
        <v>959</v>
      </c>
      <c r="D206" s="346" t="s">
        <v>960</v>
      </c>
      <c r="F206" s="327"/>
    </row>
    <row r="207" spans="1:12" ht="30" customHeight="1" outlineLevel="1" x14ac:dyDescent="0.25">
      <c r="B207" s="691" t="s">
        <v>397</v>
      </c>
      <c r="C207" s="688" t="s">
        <v>961</v>
      </c>
      <c r="D207" s="307" t="s">
        <v>962</v>
      </c>
      <c r="J207" s="149"/>
      <c r="K207" s="149"/>
      <c r="L207" s="149"/>
    </row>
    <row r="208" spans="1:12" ht="30" customHeight="1" outlineLevel="1" x14ac:dyDescent="0.25">
      <c r="B208" s="693"/>
      <c r="C208" s="690"/>
      <c r="D208" s="342" t="s">
        <v>963</v>
      </c>
      <c r="J208" s="149"/>
      <c r="K208" s="149"/>
      <c r="L208" s="149"/>
    </row>
    <row r="209" spans="1:12" ht="78.75" outlineLevel="1" x14ac:dyDescent="0.25">
      <c r="B209" s="691" t="s">
        <v>400</v>
      </c>
      <c r="C209" s="688" t="s">
        <v>779</v>
      </c>
      <c r="D209" s="307" t="s">
        <v>964</v>
      </c>
      <c r="J209" s="149"/>
      <c r="K209" s="149"/>
      <c r="L209" s="149"/>
    </row>
    <row r="210" spans="1:12" ht="47.25" outlineLevel="1" x14ac:dyDescent="0.25">
      <c r="B210" s="693"/>
      <c r="C210" s="690"/>
      <c r="D210" s="342" t="s">
        <v>965</v>
      </c>
      <c r="J210" s="149"/>
      <c r="K210" s="149"/>
      <c r="L210" s="149"/>
    </row>
    <row r="211" spans="1:12" ht="30" customHeight="1" outlineLevel="1" x14ac:dyDescent="0.25">
      <c r="B211" s="579" t="s">
        <v>404</v>
      </c>
      <c r="C211" s="348" t="s">
        <v>405</v>
      </c>
      <c r="D211" s="349" t="s">
        <v>966</v>
      </c>
      <c r="J211" s="149"/>
      <c r="K211" s="149"/>
      <c r="L211" s="149"/>
    </row>
    <row r="212" spans="1:12" s="180" customFormat="1" ht="31.5" customHeight="1" outlineLevel="1" x14ac:dyDescent="0.25">
      <c r="A212" s="368"/>
      <c r="B212" s="578" t="s">
        <v>782</v>
      </c>
      <c r="C212" s="577" t="s">
        <v>959</v>
      </c>
      <c r="D212" s="346" t="s">
        <v>783</v>
      </c>
      <c r="F212" s="327"/>
    </row>
    <row r="213" spans="1:12" s="180" customFormat="1" ht="31.5" customHeight="1" outlineLevel="1" x14ac:dyDescent="0.25">
      <c r="A213" s="368"/>
      <c r="B213" s="578" t="s">
        <v>785</v>
      </c>
      <c r="C213" s="577" t="s">
        <v>959</v>
      </c>
      <c r="D213" s="346" t="s">
        <v>967</v>
      </c>
      <c r="F213" s="327"/>
    </row>
    <row r="214" spans="1:12" s="180" customFormat="1" ht="31.5" customHeight="1" outlineLevel="1" x14ac:dyDescent="0.25">
      <c r="B214" s="691" t="s">
        <v>788</v>
      </c>
      <c r="C214" s="688" t="s">
        <v>959</v>
      </c>
      <c r="D214" s="369" t="s">
        <v>968</v>
      </c>
      <c r="F214" s="327"/>
    </row>
    <row r="215" spans="1:12" ht="31.5" customHeight="1" outlineLevel="1" x14ac:dyDescent="0.25">
      <c r="B215" s="693"/>
      <c r="C215" s="690"/>
      <c r="D215" s="342" t="s">
        <v>969</v>
      </c>
      <c r="J215" s="149"/>
      <c r="K215" s="149"/>
      <c r="L215" s="149"/>
    </row>
    <row r="216" spans="1:12" ht="30" customHeight="1" outlineLevel="1" x14ac:dyDescent="0.25">
      <c r="B216" s="691" t="s">
        <v>791</v>
      </c>
      <c r="C216" s="688" t="s">
        <v>970</v>
      </c>
      <c r="D216" s="307" t="s">
        <v>971</v>
      </c>
      <c r="J216" s="149"/>
      <c r="K216" s="149"/>
      <c r="L216" s="149"/>
    </row>
    <row r="217" spans="1:12" ht="30" customHeight="1" outlineLevel="1" x14ac:dyDescent="0.25">
      <c r="B217" s="693"/>
      <c r="C217" s="690"/>
      <c r="D217" s="342" t="s">
        <v>972</v>
      </c>
      <c r="J217" s="149"/>
      <c r="K217" s="149"/>
      <c r="L217" s="149"/>
    </row>
    <row r="218" spans="1:12" ht="30" customHeight="1" outlineLevel="1" x14ac:dyDescent="0.25">
      <c r="B218" s="691" t="s">
        <v>794</v>
      </c>
      <c r="C218" s="688" t="s">
        <v>973</v>
      </c>
      <c r="D218" s="307" t="s">
        <v>974</v>
      </c>
      <c r="J218" s="149"/>
      <c r="K218" s="149"/>
      <c r="L218" s="149"/>
    </row>
    <row r="219" spans="1:12" ht="30" customHeight="1" outlineLevel="1" x14ac:dyDescent="0.25">
      <c r="B219" s="693"/>
      <c r="C219" s="690"/>
      <c r="D219" s="342" t="s">
        <v>975</v>
      </c>
      <c r="J219" s="149"/>
      <c r="K219" s="149"/>
      <c r="L219" s="149"/>
    </row>
    <row r="220" spans="1:12" ht="72" customHeight="1" outlineLevel="1" x14ac:dyDescent="0.25">
      <c r="B220" s="691" t="s">
        <v>797</v>
      </c>
      <c r="C220" s="688" t="s">
        <v>976</v>
      </c>
      <c r="D220" s="307" t="s">
        <v>977</v>
      </c>
      <c r="J220" s="149"/>
      <c r="K220" s="149"/>
      <c r="L220" s="149"/>
    </row>
    <row r="221" spans="1:12" ht="30" customHeight="1" outlineLevel="1" x14ac:dyDescent="0.25">
      <c r="B221" s="693"/>
      <c r="C221" s="690"/>
      <c r="D221" s="342" t="s">
        <v>978</v>
      </c>
      <c r="J221" s="149"/>
      <c r="K221" s="149"/>
      <c r="L221" s="149"/>
    </row>
    <row r="222" spans="1:12" ht="30" customHeight="1" outlineLevel="1" x14ac:dyDescent="0.25">
      <c r="B222" s="691" t="s">
        <v>800</v>
      </c>
      <c r="C222" s="688" t="s">
        <v>979</v>
      </c>
      <c r="D222" s="307" t="s">
        <v>980</v>
      </c>
      <c r="J222" s="149"/>
      <c r="K222" s="149"/>
      <c r="L222" s="149"/>
    </row>
    <row r="223" spans="1:12" ht="30" customHeight="1" outlineLevel="1" x14ac:dyDescent="0.25">
      <c r="B223" s="693"/>
      <c r="C223" s="690"/>
      <c r="D223" s="342" t="s">
        <v>981</v>
      </c>
      <c r="J223" s="149"/>
      <c r="K223" s="149"/>
      <c r="L223" s="149"/>
    </row>
    <row r="224" spans="1:12" ht="30" customHeight="1" outlineLevel="1" x14ac:dyDescent="0.25">
      <c r="B224" s="691" t="s">
        <v>803</v>
      </c>
      <c r="C224" s="688" t="s">
        <v>982</v>
      </c>
      <c r="D224" s="307" t="s">
        <v>983</v>
      </c>
      <c r="J224" s="149"/>
      <c r="K224" s="149"/>
      <c r="L224" s="149"/>
    </row>
    <row r="225" spans="2:12" ht="30" customHeight="1" outlineLevel="1" x14ac:dyDescent="0.25">
      <c r="B225" s="693"/>
      <c r="C225" s="690"/>
      <c r="D225" s="342" t="s">
        <v>984</v>
      </c>
      <c r="J225" s="149"/>
      <c r="K225" s="149"/>
      <c r="L225" s="149"/>
    </row>
    <row r="226" spans="2:12" ht="30" customHeight="1" outlineLevel="1" x14ac:dyDescent="0.25">
      <c r="B226" s="691" t="s">
        <v>805</v>
      </c>
      <c r="C226" s="688" t="s">
        <v>985</v>
      </c>
      <c r="D226" s="307" t="s">
        <v>986</v>
      </c>
      <c r="J226" s="149"/>
      <c r="K226" s="149"/>
      <c r="L226" s="149"/>
    </row>
    <row r="227" spans="2:12" ht="30" customHeight="1" outlineLevel="1" x14ac:dyDescent="0.25">
      <c r="B227" s="693"/>
      <c r="C227" s="690"/>
      <c r="D227" s="342" t="s">
        <v>987</v>
      </c>
      <c r="J227" s="149"/>
      <c r="K227" s="149"/>
      <c r="L227" s="149"/>
    </row>
    <row r="228" spans="2:12" ht="30" customHeight="1" outlineLevel="1" x14ac:dyDescent="0.25">
      <c r="B228" s="691" t="s">
        <v>808</v>
      </c>
      <c r="C228" s="688" t="s">
        <v>988</v>
      </c>
      <c r="D228" s="307" t="s">
        <v>989</v>
      </c>
      <c r="J228" s="149"/>
      <c r="K228" s="149"/>
      <c r="L228" s="149"/>
    </row>
    <row r="229" spans="2:12" ht="30" customHeight="1" outlineLevel="1" x14ac:dyDescent="0.25">
      <c r="B229" s="693"/>
      <c r="C229" s="690"/>
      <c r="D229" s="307"/>
      <c r="J229" s="149"/>
      <c r="K229" s="149"/>
      <c r="L229" s="149"/>
    </row>
    <row r="230" spans="2:12" x14ac:dyDescent="0.25">
      <c r="B230" s="171"/>
      <c r="C230" s="171"/>
      <c r="D230" s="543"/>
      <c r="E230" s="367"/>
      <c r="J230" s="149"/>
      <c r="K230" s="149"/>
      <c r="L230" s="149"/>
    </row>
    <row r="231" spans="2:12" x14ac:dyDescent="0.25">
      <c r="B231" s="171"/>
      <c r="C231" s="171"/>
      <c r="D231" s="543"/>
      <c r="E231" s="367"/>
      <c r="J231" s="149"/>
      <c r="K231" s="149"/>
      <c r="L231" s="149"/>
    </row>
    <row r="232" spans="2:12" x14ac:dyDescent="0.25">
      <c r="B232" s="171"/>
      <c r="C232" s="171"/>
      <c r="D232" s="543"/>
      <c r="J232" s="149"/>
      <c r="K232" s="149"/>
      <c r="L232" s="149"/>
    </row>
    <row r="233" spans="2:12" x14ac:dyDescent="0.25">
      <c r="B233" s="171"/>
      <c r="C233" s="171"/>
      <c r="D233" s="543"/>
      <c r="J233" s="149"/>
      <c r="K233" s="149"/>
      <c r="L233" s="149"/>
    </row>
    <row r="234" spans="2:12" x14ac:dyDescent="0.25">
      <c r="B234" s="171"/>
      <c r="C234" s="171"/>
      <c r="D234" s="543"/>
      <c r="J234" s="149"/>
      <c r="K234" s="149"/>
      <c r="L234" s="149"/>
    </row>
    <row r="235" spans="2:12" x14ac:dyDescent="0.25">
      <c r="B235" s="171"/>
      <c r="C235" s="171"/>
      <c r="D235" s="543"/>
      <c r="J235" s="149"/>
      <c r="K235" s="149"/>
      <c r="L235" s="149"/>
    </row>
    <row r="236" spans="2:12" x14ac:dyDescent="0.25">
      <c r="B236" s="171"/>
      <c r="C236" s="171"/>
      <c r="D236" s="543"/>
      <c r="J236" s="149"/>
      <c r="K236" s="149"/>
      <c r="L236" s="149"/>
    </row>
    <row r="237" spans="2:12" x14ac:dyDescent="0.25">
      <c r="B237" s="171"/>
      <c r="C237" s="171"/>
      <c r="D237" s="543"/>
      <c r="J237" s="149"/>
      <c r="K237" s="149"/>
      <c r="L237" s="149"/>
    </row>
    <row r="238" spans="2:12" x14ac:dyDescent="0.25">
      <c r="B238" s="171"/>
      <c r="C238" s="171"/>
      <c r="D238" s="543"/>
      <c r="J238" s="149"/>
      <c r="K238" s="149"/>
      <c r="L238" s="149"/>
    </row>
    <row r="239" spans="2:12" x14ac:dyDescent="0.25">
      <c r="B239" s="171"/>
      <c r="C239" s="171"/>
      <c r="D239" s="543"/>
      <c r="J239" s="149"/>
      <c r="K239" s="149"/>
      <c r="L239" s="149"/>
    </row>
    <row r="240" spans="2:12" x14ac:dyDescent="0.25">
      <c r="B240" s="171"/>
      <c r="C240" s="171"/>
      <c r="D240" s="543"/>
      <c r="J240" s="149"/>
      <c r="K240" s="149"/>
      <c r="L240" s="149"/>
    </row>
    <row r="241" spans="2:12" x14ac:dyDescent="0.25">
      <c r="B241" s="171"/>
      <c r="C241" s="171"/>
      <c r="D241" s="543"/>
      <c r="J241" s="149"/>
      <c r="K241" s="149"/>
      <c r="L241" s="149"/>
    </row>
    <row r="242" spans="2:12" x14ac:dyDescent="0.25">
      <c r="B242" s="171"/>
      <c r="C242" s="171"/>
      <c r="D242" s="543"/>
      <c r="J242" s="149"/>
      <c r="K242" s="149"/>
      <c r="L242" s="149"/>
    </row>
    <row r="243" spans="2:12" x14ac:dyDescent="0.25">
      <c r="B243" s="171"/>
      <c r="C243" s="171"/>
      <c r="D243" s="543"/>
      <c r="J243" s="149"/>
      <c r="K243" s="149"/>
      <c r="L243" s="149"/>
    </row>
    <row r="244" spans="2:12" x14ac:dyDescent="0.25">
      <c r="B244" s="171"/>
      <c r="C244" s="171"/>
      <c r="D244" s="543"/>
      <c r="J244" s="149"/>
      <c r="K244" s="149"/>
      <c r="L244" s="149"/>
    </row>
    <row r="245" spans="2:12" ht="15.75" customHeight="1" x14ac:dyDescent="0.25">
      <c r="B245" s="171"/>
      <c r="C245" s="171"/>
      <c r="D245" s="543"/>
      <c r="J245" s="149"/>
      <c r="K245" s="149"/>
      <c r="L245" s="149"/>
    </row>
    <row r="246" spans="2:12" ht="15" customHeight="1" x14ac:dyDescent="0.25">
      <c r="B246" s="171"/>
      <c r="C246" s="171"/>
      <c r="D246" s="543"/>
      <c r="J246" s="149"/>
      <c r="K246" s="149"/>
      <c r="L246" s="149"/>
    </row>
    <row r="247" spans="2:12" x14ac:dyDescent="0.25">
      <c r="B247" s="171"/>
      <c r="C247" s="171"/>
      <c r="D247" s="543"/>
      <c r="J247" s="149"/>
      <c r="K247" s="149"/>
      <c r="L247" s="149"/>
    </row>
    <row r="248" spans="2:12" x14ac:dyDescent="0.25">
      <c r="B248" s="171"/>
      <c r="C248" s="171"/>
      <c r="D248" s="543"/>
      <c r="J248" s="149"/>
      <c r="K248" s="149"/>
      <c r="L248" s="149"/>
    </row>
    <row r="249" spans="2:12" x14ac:dyDescent="0.25">
      <c r="B249" s="171"/>
      <c r="C249" s="171"/>
      <c r="D249" s="543"/>
      <c r="J249" s="149"/>
      <c r="K249" s="149"/>
      <c r="L249" s="149"/>
    </row>
    <row r="250" spans="2:12" x14ac:dyDescent="0.25">
      <c r="B250" s="171"/>
      <c r="C250" s="171"/>
      <c r="D250" s="543"/>
      <c r="J250" s="149"/>
      <c r="K250" s="149"/>
      <c r="L250" s="149"/>
    </row>
    <row r="251" spans="2:12" x14ac:dyDescent="0.25">
      <c r="B251" s="171"/>
      <c r="C251" s="171"/>
      <c r="D251" s="543"/>
      <c r="J251" s="149"/>
      <c r="K251" s="149"/>
      <c r="L251" s="149"/>
    </row>
    <row r="252" spans="2:12" x14ac:dyDescent="0.25">
      <c r="B252" s="171"/>
      <c r="C252" s="171"/>
      <c r="D252" s="543"/>
      <c r="J252" s="149"/>
      <c r="K252" s="149"/>
      <c r="L252" s="149"/>
    </row>
    <row r="253" spans="2:12" x14ac:dyDescent="0.25">
      <c r="B253" s="171"/>
      <c r="C253" s="171"/>
      <c r="D253" s="543"/>
      <c r="J253" s="149"/>
      <c r="K253" s="149"/>
      <c r="L253" s="149"/>
    </row>
    <row r="254" spans="2:12" x14ac:dyDescent="0.25">
      <c r="B254" s="171"/>
      <c r="C254" s="171"/>
      <c r="D254" s="543"/>
      <c r="J254" s="149"/>
      <c r="K254" s="149"/>
      <c r="L254" s="149"/>
    </row>
    <row r="255" spans="2:12" ht="15.75" customHeight="1" x14ac:dyDescent="0.25">
      <c r="B255" s="171"/>
      <c r="C255" s="171"/>
      <c r="D255" s="543"/>
      <c r="J255" s="149"/>
      <c r="K255" s="149"/>
      <c r="L255" s="149"/>
    </row>
    <row r="256" spans="2:12" ht="15" customHeight="1" x14ac:dyDescent="0.25">
      <c r="D256" s="543"/>
      <c r="J256" s="149"/>
      <c r="K256" s="149"/>
      <c r="L256" s="149"/>
    </row>
    <row r="257" spans="10:12" ht="65.099999999999994" customHeight="1" x14ac:dyDescent="0.25">
      <c r="J257" s="149"/>
      <c r="K257" s="149"/>
      <c r="L257" s="149"/>
    </row>
    <row r="258" spans="10:12" x14ac:dyDescent="0.25">
      <c r="J258" s="149"/>
      <c r="K258" s="149"/>
      <c r="L258" s="149"/>
    </row>
    <row r="259" spans="10:12" x14ac:dyDescent="0.25">
      <c r="J259" s="149"/>
      <c r="K259" s="149"/>
      <c r="L259" s="149"/>
    </row>
    <row r="260" spans="10:12" x14ac:dyDescent="0.25">
      <c r="J260" s="149"/>
      <c r="K260" s="149"/>
      <c r="L260" s="149"/>
    </row>
    <row r="261" spans="10:12" x14ac:dyDescent="0.25">
      <c r="J261" s="149"/>
      <c r="K261" s="149"/>
      <c r="L261" s="149"/>
    </row>
    <row r="262" spans="10:12" x14ac:dyDescent="0.25">
      <c r="J262" s="149"/>
      <c r="K262" s="149"/>
      <c r="L262" s="149"/>
    </row>
    <row r="263" spans="10:12" x14ac:dyDescent="0.25">
      <c r="J263" s="149"/>
      <c r="K263" s="149"/>
      <c r="L263" s="149"/>
    </row>
    <row r="264" spans="10:12" x14ac:dyDescent="0.25">
      <c r="J264" s="149"/>
      <c r="K264" s="149"/>
      <c r="L264" s="149"/>
    </row>
    <row r="265" spans="10:12" ht="15.75" customHeight="1" x14ac:dyDescent="0.25">
      <c r="J265" s="149"/>
      <c r="K265" s="149"/>
      <c r="L265" s="149"/>
    </row>
    <row r="266" spans="10:12" ht="15" customHeight="1" x14ac:dyDescent="0.25">
      <c r="J266" s="149"/>
      <c r="K266" s="149"/>
      <c r="L266" s="149"/>
    </row>
    <row r="267" spans="10:12" x14ac:dyDescent="0.25">
      <c r="J267" s="149"/>
      <c r="K267" s="149"/>
      <c r="L267" s="149"/>
    </row>
    <row r="268" spans="10:12" x14ac:dyDescent="0.25">
      <c r="J268" s="149"/>
      <c r="K268" s="149"/>
      <c r="L268" s="149"/>
    </row>
    <row r="269" spans="10:12" x14ac:dyDescent="0.25">
      <c r="J269" s="149"/>
      <c r="K269" s="149"/>
      <c r="L269" s="149"/>
    </row>
    <row r="270" spans="10:12" x14ac:dyDescent="0.25">
      <c r="J270" s="149"/>
      <c r="K270" s="149"/>
      <c r="L270" s="149"/>
    </row>
    <row r="271" spans="10:12" x14ac:dyDescent="0.25">
      <c r="J271" s="149"/>
      <c r="K271" s="149"/>
      <c r="L271" s="149"/>
    </row>
    <row r="272" spans="10:12" x14ac:dyDescent="0.25">
      <c r="J272" s="149"/>
      <c r="K272" s="149"/>
      <c r="L272" s="149"/>
    </row>
    <row r="273" ht="15.75" customHeight="1" x14ac:dyDescent="0.25"/>
  </sheetData>
  <mergeCells count="120">
    <mergeCell ref="B228:B229"/>
    <mergeCell ref="C228:C229"/>
    <mergeCell ref="B61:B62"/>
    <mergeCell ref="C61:C62"/>
    <mergeCell ref="B149:B150"/>
    <mergeCell ref="C145:C146"/>
    <mergeCell ref="B118:B119"/>
    <mergeCell ref="C118:C119"/>
    <mergeCell ref="B70:B71"/>
    <mergeCell ref="C70:C71"/>
    <mergeCell ref="B72:B73"/>
    <mergeCell ref="C72:C73"/>
    <mergeCell ref="C80:C82"/>
    <mergeCell ref="B80:B82"/>
    <mergeCell ref="B85:B87"/>
    <mergeCell ref="C85:C87"/>
    <mergeCell ref="B123:B124"/>
    <mergeCell ref="C123:C124"/>
    <mergeCell ref="B121:B122"/>
    <mergeCell ref="C121:C122"/>
    <mergeCell ref="C105:C108"/>
    <mergeCell ref="B105:B108"/>
    <mergeCell ref="C135:C137"/>
    <mergeCell ref="B214:B215"/>
    <mergeCell ref="C214:C215"/>
    <mergeCell ref="B226:B227"/>
    <mergeCell ref="C226:C227"/>
    <mergeCell ref="B216:B217"/>
    <mergeCell ref="C216:C217"/>
    <mergeCell ref="B218:B219"/>
    <mergeCell ref="C218:C219"/>
    <mergeCell ref="B220:B221"/>
    <mergeCell ref="C220:C221"/>
    <mergeCell ref="B222:B223"/>
    <mergeCell ref="C222:C223"/>
    <mergeCell ref="B224:B225"/>
    <mergeCell ref="C224:C225"/>
    <mergeCell ref="B209:B210"/>
    <mergeCell ref="C209:C210"/>
    <mergeCell ref="C141:C144"/>
    <mergeCell ref="B141:B144"/>
    <mergeCell ref="B112:B114"/>
    <mergeCell ref="C112:C114"/>
    <mergeCell ref="B101:B103"/>
    <mergeCell ref="C101:C103"/>
    <mergeCell ref="B207:B208"/>
    <mergeCell ref="C207:C208"/>
    <mergeCell ref="C147:C148"/>
    <mergeCell ref="C149:C150"/>
    <mergeCell ref="B164:B165"/>
    <mergeCell ref="C164:C165"/>
    <mergeCell ref="C196:C198"/>
    <mergeCell ref="B196:B198"/>
    <mergeCell ref="C193:C195"/>
    <mergeCell ref="B193:B195"/>
    <mergeCell ref="C200:C201"/>
    <mergeCell ref="B200:B201"/>
    <mergeCell ref="B157:B158"/>
    <mergeCell ref="C157:C158"/>
    <mergeCell ref="B183:B184"/>
    <mergeCell ref="C183:C184"/>
    <mergeCell ref="B10:D10"/>
    <mergeCell ref="D12:D13"/>
    <mergeCell ref="B14:D14"/>
    <mergeCell ref="B35:D35"/>
    <mergeCell ref="B77:D77"/>
    <mergeCell ref="B12:C13"/>
    <mergeCell ref="C15:C17"/>
    <mergeCell ref="B15:B17"/>
    <mergeCell ref="B21:B23"/>
    <mergeCell ref="C21:C23"/>
    <mergeCell ref="B66:B68"/>
    <mergeCell ref="C66:C68"/>
    <mergeCell ref="B39:B40"/>
    <mergeCell ref="C39:C40"/>
    <mergeCell ref="B50:B52"/>
    <mergeCell ref="C50:C52"/>
    <mergeCell ref="B41:B47"/>
    <mergeCell ref="C41:C47"/>
    <mergeCell ref="C64:C65"/>
    <mergeCell ref="B64:B65"/>
    <mergeCell ref="B18:B19"/>
    <mergeCell ref="C18:C19"/>
    <mergeCell ref="B53:B54"/>
    <mergeCell ref="C53:C54"/>
    <mergeCell ref="B161:B162"/>
    <mergeCell ref="C161:C162"/>
    <mergeCell ref="B83:B84"/>
    <mergeCell ref="C83:C84"/>
    <mergeCell ref="B98:B100"/>
    <mergeCell ref="C98:C100"/>
    <mergeCell ref="B88:B90"/>
    <mergeCell ref="C88:C90"/>
    <mergeCell ref="B91:B93"/>
    <mergeCell ref="C91:C93"/>
    <mergeCell ref="B110:B111"/>
    <mergeCell ref="C110:C111"/>
    <mergeCell ref="B115:B117"/>
    <mergeCell ref="C115:C117"/>
    <mergeCell ref="C151:C153"/>
    <mergeCell ref="B151:B153"/>
    <mergeCell ref="B145:B146"/>
    <mergeCell ref="B147:B148"/>
    <mergeCell ref="B135:B136"/>
    <mergeCell ref="B125:B126"/>
    <mergeCell ref="C125:C126"/>
    <mergeCell ref="B94:B96"/>
    <mergeCell ref="C94:C96"/>
    <mergeCell ref="B24:B27"/>
    <mergeCell ref="C24:C27"/>
    <mergeCell ref="B36:B38"/>
    <mergeCell ref="C36:C38"/>
    <mergeCell ref="B56:B57"/>
    <mergeCell ref="C56:C57"/>
    <mergeCell ref="C58:C59"/>
    <mergeCell ref="B58:B59"/>
    <mergeCell ref="B48:B49"/>
    <mergeCell ref="C48:C49"/>
    <mergeCell ref="B28:B30"/>
    <mergeCell ref="C28:C30"/>
  </mergeCells>
  <pageMargins left="0.35433070866141736" right="0.27559055118110237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X37"/>
  <sheetViews>
    <sheetView topLeftCell="A7" zoomScale="80" zoomScaleNormal="80" workbookViewId="0">
      <selection activeCell="Q15" sqref="Q15"/>
    </sheetView>
  </sheetViews>
  <sheetFormatPr defaultRowHeight="15" x14ac:dyDescent="0.25"/>
  <cols>
    <col min="1" max="1" width="4.5703125" customWidth="1"/>
    <col min="2" max="2" width="39.42578125" customWidth="1"/>
    <col min="3" max="3" width="17.42578125" customWidth="1"/>
    <col min="4" max="4" width="18.140625" customWidth="1"/>
    <col min="5" max="5" width="18.85546875" customWidth="1"/>
    <col min="14" max="14" width="7.5703125" customWidth="1"/>
  </cols>
  <sheetData>
    <row r="1" spans="1:24" s="2" customFormat="1" x14ac:dyDescent="0.25"/>
    <row r="2" spans="1:24" s="2" customFormat="1" ht="15.75" x14ac:dyDescent="0.25">
      <c r="A2" s="46"/>
      <c r="B2" s="42" t="s">
        <v>105</v>
      </c>
      <c r="C2" s="43"/>
      <c r="D2" s="43"/>
      <c r="E2" s="43"/>
      <c r="J2" s="13"/>
      <c r="K2" s="14"/>
      <c r="L2" s="14"/>
      <c r="M2" s="14"/>
      <c r="U2" s="216"/>
      <c r="V2" s="215"/>
      <c r="X2" s="219"/>
    </row>
    <row r="3" spans="1:24" s="2" customFormat="1" ht="15.75" x14ac:dyDescent="0.25">
      <c r="A3" s="46"/>
      <c r="B3" s="44" t="s">
        <v>106</v>
      </c>
      <c r="C3" s="43"/>
      <c r="D3" s="43"/>
      <c r="E3" s="43"/>
      <c r="J3" s="13"/>
      <c r="K3" s="14"/>
      <c r="L3" s="14"/>
      <c r="M3" s="14"/>
      <c r="U3" s="216"/>
      <c r="V3" s="215"/>
      <c r="X3" s="219"/>
    </row>
    <row r="4" spans="1:24" s="2" customFormat="1" ht="15.75" x14ac:dyDescent="0.25">
      <c r="A4" s="46"/>
      <c r="B4" s="44" t="s">
        <v>107</v>
      </c>
      <c r="C4" s="43"/>
      <c r="D4" s="43"/>
      <c r="E4" s="43"/>
      <c r="J4" s="13"/>
      <c r="K4" s="14"/>
      <c r="L4" s="14"/>
      <c r="M4" s="14"/>
      <c r="U4" s="216"/>
      <c r="V4" s="215"/>
      <c r="X4" s="219"/>
    </row>
    <row r="5" spans="1:24" s="2" customFormat="1" ht="15.75" x14ac:dyDescent="0.25">
      <c r="A5" s="46"/>
      <c r="B5" s="44" t="s">
        <v>990</v>
      </c>
      <c r="C5" s="43"/>
      <c r="D5" s="43"/>
      <c r="E5" s="43"/>
      <c r="F5" s="48"/>
      <c r="G5" s="2" t="s">
        <v>109</v>
      </c>
      <c r="J5" s="13"/>
      <c r="K5" s="14"/>
      <c r="L5" s="14"/>
      <c r="M5" s="14"/>
      <c r="U5" s="216"/>
      <c r="V5" s="215"/>
      <c r="X5" s="219"/>
    </row>
    <row r="6" spans="1:24" s="2" customFormat="1" ht="15.75" x14ac:dyDescent="0.25">
      <c r="A6" s="46"/>
      <c r="B6" s="19"/>
      <c r="J6" s="13"/>
      <c r="K6" s="14"/>
      <c r="L6" s="14"/>
      <c r="M6" s="14"/>
      <c r="U6" s="216"/>
      <c r="V6" s="215"/>
      <c r="X6" s="219"/>
    </row>
    <row r="7" spans="1:24" ht="15.75" x14ac:dyDescent="0.25">
      <c r="A7" s="2"/>
      <c r="B7" s="44" t="s">
        <v>991</v>
      </c>
      <c r="C7" s="220" t="s">
        <v>992</v>
      </c>
      <c r="D7" s="220" t="s">
        <v>993</v>
      </c>
      <c r="E7" s="47" t="s">
        <v>994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2"/>
      <c r="B8" s="2" t="str">
        <f>'Detalhe PA  US$ - 18 meses'!B11</f>
        <v>OBRAS</v>
      </c>
      <c r="C8" s="222">
        <f>'Detalhe PA  US$ - 18 meses'!L28</f>
        <v>43511461.630000003</v>
      </c>
      <c r="D8" s="222">
        <f t="shared" ref="D8:D14" si="0">E8-C8</f>
        <v>34029774.82</v>
      </c>
      <c r="E8" s="227">
        <f>'Detalhe PA  US$ - 18 meses'!J28</f>
        <v>77541236.450000003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/>
      <c r="B9" s="2" t="str">
        <f>'Detalhe PA  US$ - 18 meses'!B30</f>
        <v>BENS</v>
      </c>
      <c r="C9" s="222">
        <f>'Detalhe PA  US$ - 18 meses'!L53</f>
        <v>479392.66359756445</v>
      </c>
      <c r="D9" s="222">
        <f t="shared" si="0"/>
        <v>628573.11999999988</v>
      </c>
      <c r="E9" s="227">
        <f>'Detalhe PA  US$ - 18 meses'!J53</f>
        <v>1107965.7835975643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2"/>
      <c r="B10" s="2" t="str">
        <f>'Detalhe PA  US$ - 18 meses'!B55</f>
        <v>SERVIÇOS QUE NÃO SÃO DE CONSULTORIA</v>
      </c>
      <c r="C10" s="222">
        <f>'Detalhe PA  US$ - 18 meses'!L86</f>
        <v>2565366.8799477285</v>
      </c>
      <c r="D10" s="222">
        <f t="shared" si="0"/>
        <v>-304096.90684645902</v>
      </c>
      <c r="E10" s="227">
        <f>'Detalhe PA  US$ - 18 meses'!J86</f>
        <v>2261269.9731012695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/>
      <c r="B11" s="2" t="str">
        <f>'Detalhe PA  US$ - 18 meses'!B88</f>
        <v>CONSULTORIAS FIRMAS</v>
      </c>
      <c r="C11" s="222">
        <f>'Detalhe PA  US$ - 18 meses'!L138</f>
        <v>12157519.08</v>
      </c>
      <c r="D11" s="222">
        <f t="shared" si="0"/>
        <v>11738687.21805503</v>
      </c>
      <c r="E11" s="227">
        <f>'Detalhe PA  US$ - 18 meses'!J138</f>
        <v>23896206.29805503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2"/>
      <c r="B12" s="2" t="str">
        <f>'Detalhe PA  US$ - 18 meses'!B140</f>
        <v>CONSULTORIAS INDIVIDUAL</v>
      </c>
      <c r="C12" s="222">
        <f>'Detalhe PA  US$ - 18 meses'!L152</f>
        <v>20940.310000000001</v>
      </c>
      <c r="D12" s="222">
        <f t="shared" si="0"/>
        <v>83761.279999999999</v>
      </c>
      <c r="E12" s="227">
        <f>'Detalhe PA  US$ - 18 meses'!J152</f>
        <v>104701.59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/>
      <c r="B13" s="2" t="str">
        <f>'Detalhe PA  US$ - 18 meses'!B157</f>
        <v>CAPACITAÇÃO</v>
      </c>
      <c r="C13" s="222">
        <f>'Detalhe PA  US$ - 18 meses'!L167</f>
        <v>83313.19</v>
      </c>
      <c r="D13" s="222">
        <f t="shared" si="0"/>
        <v>426001.2</v>
      </c>
      <c r="E13" s="227">
        <f>'Detalhe PA  US$ - 18 meses'!J167</f>
        <v>509314.39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2" t="str">
        <f>'Detalhe PA  US$ - 18 meses'!B169</f>
        <v xml:space="preserve">SUBPROJETOS </v>
      </c>
      <c r="C14" s="222">
        <f>'Detalhe PA  US$ - 18 meses'!L186</f>
        <v>2939584.08</v>
      </c>
      <c r="D14" s="222">
        <f t="shared" si="0"/>
        <v>25112451.910000004</v>
      </c>
      <c r="E14" s="227">
        <f>'Detalhe PA  US$ - 18 meses'!J186</f>
        <v>28052035.990000002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2"/>
      <c r="B15" s="221" t="s">
        <v>995</v>
      </c>
      <c r="C15" s="223">
        <f>SUM(C8:C14)</f>
        <v>61757577.83354529</v>
      </c>
      <c r="D15" s="223">
        <f>SUM(D8:D14)</f>
        <v>71715152.641208589</v>
      </c>
      <c r="E15" s="223">
        <f>SUM(E8:E14)</f>
        <v>133472730.47475386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7" spans="2:5" ht="15.75" x14ac:dyDescent="0.25">
      <c r="B17" s="44" t="s">
        <v>991</v>
      </c>
      <c r="C17" s="220" t="s">
        <v>996</v>
      </c>
      <c r="D17" s="220" t="s">
        <v>997</v>
      </c>
      <c r="E17" s="220" t="s">
        <v>998</v>
      </c>
    </row>
    <row r="18" spans="2:5" x14ac:dyDescent="0.25">
      <c r="B18" s="2" t="s">
        <v>115</v>
      </c>
      <c r="C18" s="226">
        <f>C8/E8</f>
        <v>0.56113964159002006</v>
      </c>
      <c r="D18" s="226">
        <f>D8/E8</f>
        <v>0.43886035840997994</v>
      </c>
      <c r="E18" s="224">
        <f>C18+D18</f>
        <v>1</v>
      </c>
    </row>
    <row r="19" spans="2:5" x14ac:dyDescent="0.25">
      <c r="B19" s="2" t="s">
        <v>188</v>
      </c>
      <c r="C19" s="226">
        <f t="shared" ref="C19:C24" si="1">C9/E9</f>
        <v>0.43267822047805188</v>
      </c>
      <c r="D19" s="226">
        <f t="shared" ref="D19:D24" si="2">D9/E9</f>
        <v>0.56732177952194818</v>
      </c>
      <c r="E19" s="224">
        <f t="shared" ref="E19:E25" si="3">C19+D19</f>
        <v>1</v>
      </c>
    </row>
    <row r="20" spans="2:5" x14ac:dyDescent="0.25">
      <c r="B20" s="2" t="s">
        <v>242</v>
      </c>
      <c r="C20" s="226">
        <f t="shared" si="1"/>
        <v>1.1344805841247689</v>
      </c>
      <c r="D20" s="226">
        <f t="shared" si="2"/>
        <v>-0.13448058412476882</v>
      </c>
      <c r="E20" s="224">
        <f t="shared" si="3"/>
        <v>1</v>
      </c>
    </row>
    <row r="21" spans="2:5" x14ac:dyDescent="0.25">
      <c r="B21" s="2" t="s">
        <v>288</v>
      </c>
      <c r="C21" s="226">
        <f t="shared" si="1"/>
        <v>0.50876356390468258</v>
      </c>
      <c r="D21" s="226">
        <f t="shared" si="2"/>
        <v>0.49123643609531736</v>
      </c>
      <c r="E21" s="224">
        <f t="shared" si="3"/>
        <v>1</v>
      </c>
    </row>
    <row r="22" spans="2:5" x14ac:dyDescent="0.25">
      <c r="B22" s="2" t="s">
        <v>344</v>
      </c>
      <c r="C22" s="226">
        <f t="shared" si="1"/>
        <v>0.19999992359237334</v>
      </c>
      <c r="D22" s="226">
        <f t="shared" si="2"/>
        <v>0.80000007640762671</v>
      </c>
      <c r="E22" s="224">
        <f t="shared" si="3"/>
        <v>1</v>
      </c>
    </row>
    <row r="23" spans="2:5" x14ac:dyDescent="0.25">
      <c r="B23" s="2" t="s">
        <v>370</v>
      </c>
      <c r="C23" s="226">
        <f t="shared" si="1"/>
        <v>0.16357910091643002</v>
      </c>
      <c r="D23" s="226">
        <f t="shared" si="2"/>
        <v>0.83642089908356998</v>
      </c>
      <c r="E23" s="224">
        <f t="shared" si="3"/>
        <v>1</v>
      </c>
    </row>
    <row r="24" spans="2:5" x14ac:dyDescent="0.25">
      <c r="B24" s="2" t="s">
        <v>387</v>
      </c>
      <c r="C24" s="226">
        <f t="shared" si="1"/>
        <v>0.1047904002778231</v>
      </c>
      <c r="D24" s="226">
        <f t="shared" si="2"/>
        <v>0.89520959972217695</v>
      </c>
      <c r="E24" s="224">
        <f t="shared" si="3"/>
        <v>1</v>
      </c>
    </row>
    <row r="25" spans="2:5" x14ac:dyDescent="0.25">
      <c r="B25" s="221" t="s">
        <v>995</v>
      </c>
      <c r="C25" s="225">
        <f>C15/$E$15</f>
        <v>0.46269809281549562</v>
      </c>
      <c r="D25" s="225">
        <f>D15/$E$15</f>
        <v>0.53730190718450455</v>
      </c>
      <c r="E25" s="225">
        <f t="shared" si="3"/>
        <v>1.0000000000000002</v>
      </c>
    </row>
    <row r="37" ht="18.75" customHeight="1" x14ac:dyDescent="0.25"/>
  </sheetData>
  <conditionalFormatting sqref="P2:Q6">
    <cfRule type="cellIs" dxfId="2" priority="1" operator="between">
      <formula>42736</formula>
      <formula>43100</formula>
    </cfRule>
  </conditionalFormatting>
  <conditionalFormatting sqref="P2:Q6">
    <cfRule type="timePeriod" dxfId="1" priority="2" timePeriod="nextMonth">
      <formula>AND(MONTH(P2)=MONTH(EDATE(TODAY(),0+1)),YEAR(P2)=YEAR(EDATE(TODAY(),0+1)))</formula>
    </cfRule>
    <cfRule type="timePeriod" dxfId="0" priority="3" timePeriod="thisMonth">
      <formula>AND(MONTH(P2)=MONTH(TODAY()),YEAR(P2)=YEAR(TODAY()))</formula>
    </cfRule>
  </conditionalFormatting>
  <pageMargins left="0.35433070866141736" right="0.31496062992125984" top="0.78740157480314965" bottom="0.59055118110236227" header="0.31496062992125984" footer="0.31496062992125984"/>
  <pageSetup paperSize="9" scale="80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B64ABF3CA6FE94AB719BDAE59EE3FE4" ma:contentTypeVersion="2563" ma:contentTypeDescription="A content type to manage public (operations) IDB documents" ma:contentTypeScope="" ma:versionID="48b42e3721bd5f80edf45f869df7813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9a40354dfce16ad2e00ddfb9680a66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6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>I-CSC/CBR-4436/2018-A</SISCOR_x0020_Number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3303/OC-BR;</Approval_x0020_Number>
    <Phase xmlns="cdc7663a-08f0-4737-9e8c-148ce897a09c">ACTIVE</Phase>
    <Document_x0020_Author xmlns="cdc7663a-08f0-4737-9e8c-148ce897a09c">de Sousa,Fernanda Oliveira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DRAINAGE</TermName>
          <TermId xmlns="http://schemas.microsoft.com/office/infopath/2007/PartnerControls">964c1b90-5458-4183-9107-4c24aba140dd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251</Value>
      <Value>33</Value>
      <Value>30</Value>
      <Value>36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BR-L1369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 xsi:nil="true"/>
    <_dlc_DocId xmlns="cdc7663a-08f0-4737-9e8c-148ce897a09c">EZSHARE-1636768393-118</_dlc_DocId>
    <_dlc_DocIdUrl xmlns="cdc7663a-08f0-4737-9e8c-148ce897a09c">
      <Url>https://idbg.sharepoint.com/teams/EZ-BR-LON/BR-L1369/_layouts/15/DocIdRedir.aspx?ID=EZSHARE-1636768393-118</Url>
      <Description>EZSHARE-1636768393-118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FAE9CC72-43FB-4FFF-881A-A9A4F4707D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3D505E-7945-4E32-A4EE-698F36BA6D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B490F-3B61-4E19-ADE9-1581AF04ECB8}"/>
</file>

<file path=customXml/itemProps4.xml><?xml version="1.0" encoding="utf-8"?>
<ds:datastoreItem xmlns:ds="http://schemas.openxmlformats.org/officeDocument/2006/customXml" ds:itemID="{89541260-0676-4257-8407-FA3D365D03C9}"/>
</file>

<file path=customXml/itemProps5.xml><?xml version="1.0" encoding="utf-8"?>
<ds:datastoreItem xmlns:ds="http://schemas.openxmlformats.org/officeDocument/2006/customXml" ds:itemID="{C9F0B7FC-C8A1-4206-A421-818E4A539220}">
  <ds:schemaRefs>
    <ds:schemaRef ds:uri="http://purl.org/dc/elements/1.1/"/>
    <ds:schemaRef ds:uri="http://purl.org/dc/dcmitype/"/>
    <ds:schemaRef ds:uri="cdc7663a-08f0-4737-9e8c-148ce897a09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94DC0C2F-BCE2-4A86-9EA1-5AF8D525C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Instruções</vt:lpstr>
      <vt:lpstr>Estructura del Proyecto</vt:lpstr>
      <vt:lpstr>Plan de Adquisiciones 5anos</vt:lpstr>
      <vt:lpstr>Detalhe PA US$ - 5 anos</vt:lpstr>
      <vt:lpstr>Folha de Comentários 5anos</vt:lpstr>
      <vt:lpstr>Plan de Adquisiciones 18 mese</vt:lpstr>
      <vt:lpstr>Detalhe PA  US$ - 18 meses</vt:lpstr>
      <vt:lpstr>Folha de Comentários 18m</vt:lpstr>
      <vt:lpstr>Gráfico</vt:lpstr>
      <vt:lpstr>'Detalhe PA  US$ - 18 meses'!Area_de_impressao</vt:lpstr>
      <vt:lpstr>'Detalhe PA US$ - 5 anos'!Area_de_impressao</vt:lpstr>
      <vt:lpstr>'Folha de Comentários 18m'!Area_de_impressao</vt:lpstr>
      <vt:lpstr>Gráfico!Area_de_impressao</vt:lpstr>
    </vt:vector>
  </TitlesOfParts>
  <Company>Inter-American Development Bank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Cylene Cordeiro</cp:lastModifiedBy>
  <cp:revision/>
  <cp:lastPrinted>2019-01-18T15:55:34Z</cp:lastPrinted>
  <dcterms:created xsi:type="dcterms:W3CDTF">2011-03-30T14:45:37Z</dcterms:created>
  <dcterms:modified xsi:type="dcterms:W3CDTF">2019-01-18T20:07:56Z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251;#URBAN DRAINAGE|964c1b90-5458-4183-9107-4c24aba140dd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36;#WATER AND SANITATION|ba6b63cd-e402-47cb-9357-08149f7ce046</vt:lpwstr>
  </property>
  <property fmtid="{D5CDD505-2E9C-101B-9397-08002B2CF9AE}" pid="10" name="Function Operations IDB">
    <vt:lpwstr>7;#Goods and Services|5bfebf1b-9f1f-4411-b1dd-4c19b807b799</vt:lpwstr>
  </property>
  <property fmtid="{D5CDD505-2E9C-101B-9397-08002B2CF9AE}" pid="11" name="_dlc_DocIdItemGuid">
    <vt:lpwstr>05923d5b-c018-4499-815d-82ed75f88030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0x0101001A458A224826124E8B45B1D613300CFC008B64ABF3CA6FE94AB719BDAE59EE3FE4</vt:lpwstr>
  </property>
</Properties>
</file>