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69" firstSheet="1" activeTab="1"/>
  </bookViews>
  <sheets>
    <sheet name="Task Usage" sheetId="1" state="hidden" r:id="rId1"/>
    <sheet name="PA Revisado Jan18" sheetId="2" r:id="rId2"/>
    <sheet name="PEP MENSAL REAL" sheetId="3" state="hidden" r:id="rId3"/>
    <sheet name="Cronograma" sheetId="4" state="hidden" r:id="rId4"/>
    <sheet name="COORDENADAS" sheetId="5" state="hidden" r:id="rId5"/>
  </sheets>
  <externalReferences>
    <externalReference r:id="rId8"/>
    <externalReference r:id="rId9"/>
  </externalReferences>
  <definedNames>
    <definedName name="_xlnm.Print_Area" localSheetId="4">'COORDENADAS'!$A$5:$T$142</definedName>
    <definedName name="_xlnm.Print_Area" localSheetId="1">'PA Revisado Jan18'!$A$1:$N$322</definedName>
    <definedName name="_xlnm.Print_Area" localSheetId="2">'PEP MENSAL REAL'!$B$5:$AM$151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M18" authorId="0">
      <text>
        <r>
          <rPr>
            <b/>
            <sz val="9"/>
            <color indexed="8"/>
            <rFont val="Segoe UI"/>
            <family val="2"/>
          </rPr>
          <t xml:space="preserve">Rafael Ribeiro Medeiros Teixeira:
</t>
        </r>
        <r>
          <rPr>
            <sz val="9"/>
            <color indexed="8"/>
            <rFont val="Segoe UI"/>
            <family val="2"/>
          </rPr>
          <t>Dividi o valor de US$118.082,04 igualitariamente para os anos de 2017, 2018 e 2019</t>
        </r>
      </text>
    </comment>
  </commentList>
</comments>
</file>

<file path=xl/sharedStrings.xml><?xml version="1.0" encoding="utf-8"?>
<sst xmlns="http://schemas.openxmlformats.org/spreadsheetml/2006/main" count="2634" uniqueCount="1007">
  <si>
    <t>Cost</t>
  </si>
  <si>
    <t>Year</t>
  </si>
  <si>
    <t>Task</t>
  </si>
  <si>
    <t>Task  1</t>
  </si>
  <si>
    <t>Task  2</t>
  </si>
  <si>
    <t>Task  3</t>
  </si>
  <si>
    <t>Task  4</t>
  </si>
  <si>
    <t>Task  5</t>
  </si>
  <si>
    <t>Task  6</t>
  </si>
  <si>
    <t>2015</t>
  </si>
  <si>
    <t>2016</t>
  </si>
  <si>
    <t>2017</t>
  </si>
  <si>
    <t>2018</t>
  </si>
  <si>
    <t>2019</t>
  </si>
  <si>
    <t>Total Geral</t>
  </si>
  <si>
    <t>EAP_270515_luiz</t>
  </si>
  <si>
    <t>PROSUS</t>
  </si>
  <si>
    <t>COMPONENTE 1 - APOIO À MELHORIA DA GESTÃO DA REDE SUS NA RMS</t>
  </si>
  <si>
    <t>MODULOS DO SISTEMA DE INFORMAÇÕES DA SESAB INSTALADOS E EM FUNCIONAMENTO</t>
  </si>
  <si>
    <t>Contratação de consultoria para apoio do planejamento e acompanhamento do sistema de informação - SQC (1)</t>
  </si>
  <si>
    <t>Aquisição de Infraestrutura de teconologia de informação e comunicação para as unidades de saúde em rede (centros de referências de média complexidade e CIAS - 31 estabelecimentos no total)</t>
  </si>
  <si>
    <t>Aquisição de equipamentos para Sistema de informação da SESAB (datacenter principal e de contigência)</t>
  </si>
  <si>
    <t>Aquisição de Softwares para o sistema de informação em saúde (gerenciamento hospitalar, história clínica eletrônica, classificação de risco, produção de serviços, sistemas de custos e regulação do sistema)</t>
  </si>
  <si>
    <t>Aquisição de Softwares para Sistema de informação da SESAB (datacenter principal e de contigência)</t>
  </si>
  <si>
    <t>Contratação de serviços para Infraestrutura de tecnologia de informação e comunicação para as unidades de saúde em rede (centros de referências de média complexidade e CIAS - 31 estabelecimentos no total)</t>
  </si>
  <si>
    <t>Contratação de serviços (q não de consultoria) para sistema de informação em saúde (gerenciamento hospitalar, história clínica eletrônica, classificação de risco, produção de serviços, sistemas de custos e regulação do sistema)</t>
  </si>
  <si>
    <t>Contratação de serviços (q não de consultoria) para Integração das bases de dados existentes e das centrais de regulação (interoperabilidade)</t>
  </si>
  <si>
    <t>Contratação de serviços (q não de consultoria) para Sistema de informação da SESAB (datacenter principal e de contigência)</t>
  </si>
  <si>
    <t>MODULOS DO SISTEMA DE INFORMAÇÕES DA SESAB INSTALADOS E EM FUNCIONAMENTO Total</t>
  </si>
  <si>
    <t>MODELAGEM DA REDE DE ATENÇÃO À SAÚDE NA RMS</t>
  </si>
  <si>
    <t>Contratação de consultoria para definição e alcance das diferentes linhas de cuidado no marco das redes de atenção (serviços, protocolos e guias de prática clínica -&gt;&gt; hipertensão e diabetes) e Modelagem das Redes de Saúde da RMS - SQC(2)</t>
  </si>
  <si>
    <t>MODELAGEM DA REDE DE ATENÇÃO À SAÚDE NA RMS Total</t>
  </si>
  <si>
    <t>EQUIPAMENTO PARA A REDE DE ATENÇÃO</t>
  </si>
  <si>
    <t>Aquisição de equipamentos para o Fortalecimento do observatório da violência e de acidentes</t>
  </si>
  <si>
    <t>Aquisição de Equipamentos para COMPLEXO REGULADOR REGIONAL e MACRORREGIONAL DO ESTADO - CP(9)</t>
  </si>
  <si>
    <t>EQUIPAMENTO PARA A REDE DE ATENÇÃO Total</t>
  </si>
  <si>
    <t>OBRAS E EQUIPAMENTOS PARA A SEDE</t>
  </si>
  <si>
    <t>Contratar Empreiteira para Reforma do Edifício SEDE DA SESAB</t>
  </si>
  <si>
    <t>Contratar Empreiteira para Construção do Edifício Anexo</t>
  </si>
  <si>
    <t>Aquisição de Equipamentos para o Edifício Sede SESAB e Anexo</t>
  </si>
  <si>
    <t>OBRAS E EQUIPAMENTOS PARA A SEDE Total</t>
  </si>
  <si>
    <t>MODELO ASSISTENCIAL DO HOSPITAL METROPOLITANO ELABORADO E VALIDADO</t>
  </si>
  <si>
    <t>Estudos para definição de Modelo de atenção para atenção intermediária e de longo prazo no Hospital Metropolitano - COOPERAÇÃO TÉCNICA BID</t>
  </si>
  <si>
    <t>MODELO ASSISTENCIAL DO HOSPITAL METROPOLITANO ELABORADO E VALIDADO Total</t>
  </si>
  <si>
    <t>PROFISSIONAIS DO SUS CAPACITADOS</t>
  </si>
  <si>
    <t>Plano Geral de Capacitação</t>
  </si>
  <si>
    <t>Contratar Capacitações para o Fortalecimento da UNASUS</t>
  </si>
  <si>
    <t>Contratar Empresa para Implementação do Programa de Pós Graduação</t>
  </si>
  <si>
    <t>Contratar Capacitação para Formação de técnicos das Unidades Municipais e Hospital Metropolitano</t>
  </si>
  <si>
    <t>Contratar Capacitação da equipe SESAB</t>
  </si>
  <si>
    <t>PROFISSIONAIS DO SUS CAPACITADOS Total</t>
  </si>
  <si>
    <t>GESTÃO NÃO CLÍNICA DO INSTITUTO COUTO MAIA</t>
  </si>
  <si>
    <t>APORTES DA CONTRAPARTIDA LOCAL</t>
  </si>
  <si>
    <t>GESTÃO NÃO CLÍNICA DO INSTITUTO COUTO MAIA Total</t>
  </si>
  <si>
    <t>COMPONENTE 1 - APOIO À MELHORIA DA GESTÃO DA REDE SUS NA RMS Total</t>
  </si>
  <si>
    <t>COMPONENTE 2 - FORTALECIMENTO DAS REDES INTEGRADAS DE SAÚDE NA RMS</t>
  </si>
  <si>
    <t>LIBERAÇÃO FÍSICA E LEGAL DE TERRENOS</t>
  </si>
  <si>
    <t>Ano 01 - Aceleração</t>
  </si>
  <si>
    <t>Contratar Serviços de Topografia - CP(7)</t>
  </si>
  <si>
    <t>Ano 02 - Continuidade</t>
  </si>
  <si>
    <t>LIBERAÇÃO FÍSICA E LEGAL DE TERRENOS Total</t>
  </si>
  <si>
    <t>PROJETOS EXECUTIVOS</t>
  </si>
  <si>
    <t>Contratar Projetos Executivos e complementares - SBQC (5)</t>
  </si>
  <si>
    <t>PROJETOS EXECUTIVOS Total</t>
  </si>
  <si>
    <t>OBRAS</t>
  </si>
  <si>
    <t>UNIDADES BÁSICAS DE SAÚDE CONSTRUÍDAS E EQUIPADAS</t>
  </si>
  <si>
    <t>SALVADOR / UBS URUGUAI (DISTRITO ITAPAGIPE) PORTE IV</t>
  </si>
  <si>
    <t>SALVADOR / UBS PIRAJÁ I(DISTRITO SÃO CAETANO/VALÉRIA) PORTE III</t>
  </si>
  <si>
    <t>SALVADOR / UBS PIRAJÁ II (DISTRITO SÃO CAETANO/VALERIA) PORTE III</t>
  </si>
  <si>
    <t>SALVADOR / UBS IAPI(DISTRITO LIBERDADE) PORTE IV</t>
  </si>
  <si>
    <t>SALVADOR / UBS VIVER MELHOR (DISTRITO BROTAS) PORTE III</t>
  </si>
  <si>
    <t>SALVADOR / UBS ALTO DE ONDINA(DISTRITO BARRA/RIO VERMELHO) PORTE III</t>
  </si>
  <si>
    <t>CAMAÇARI / UBS – PORTE II - VERDE HORIZONTE</t>
  </si>
  <si>
    <t>CAMAÇARI / UBS – PORTE II - ESTIVAS DE BURIS DE ABRANTES</t>
  </si>
  <si>
    <t>CANDEIAS / UBS – PORTE II</t>
  </si>
  <si>
    <t>DIAS D'AVILA / UBS – PORTE II</t>
  </si>
  <si>
    <t>SÃO SEBASTIÃO DO PASSÉ / UBS – PORTE II</t>
  </si>
  <si>
    <t>Aquisição de Equipamentos para as UBS</t>
  </si>
  <si>
    <t>UNIDADES BÁSICAS DE SAÚDE CONSTRUÍDAS E EQUIPADAS Total</t>
  </si>
  <si>
    <t>CENTROS DE ATENÇÃO PSICOSSOCIAL e UAIJ</t>
  </si>
  <si>
    <t>SALVADOR / CAPS ADIII ( )</t>
  </si>
  <si>
    <t>SÃO SEBASTIÃO DO PASSÉ / CAPS I ( )</t>
  </si>
  <si>
    <t>MADRE DE DEUS / CAPS I ( )</t>
  </si>
  <si>
    <t>SÃO FRANCISCO DO CONDE / CAPS I ( )</t>
  </si>
  <si>
    <t>CANDEIAS / CAPS AD ( )</t>
  </si>
  <si>
    <t>CAMAÇARI / CAPS III ( RUA DAS BEGÔNIAS - GLEBA C)</t>
  </si>
  <si>
    <t>SIMÕES FILHO / CAPS AD ( )</t>
  </si>
  <si>
    <t>ITAPARICA / CAPS I ( )</t>
  </si>
  <si>
    <t>LAURO DE FREITAS / UA IJ ( )</t>
  </si>
  <si>
    <t>Aquisição de Equipamentos para os Centros de Atenção Psicossocial</t>
  </si>
  <si>
    <t>CENTROS DE ATENÇÃO PSICOSSOCIAL e UAIJ Total</t>
  </si>
  <si>
    <t>CIAS (POLICLÍNICAS) E CEREST EQUIPADOS E CONSTRUÍDOS</t>
  </si>
  <si>
    <t>LAURO DE FREITAS / CIAS ( )</t>
  </si>
  <si>
    <t>SALVADOR / CIAS ( ) 1</t>
  </si>
  <si>
    <t>SALVADOR / CIAS ( ) 2</t>
  </si>
  <si>
    <t>SALVADOR / CIAS ( ) 3</t>
  </si>
  <si>
    <t>SALVADOR / CIAS ( ) 4</t>
  </si>
  <si>
    <t>SALVADOR / CIAS 5</t>
  </si>
  <si>
    <t>CAMAÇARI / CEREST (TRAVESSA DA NATIVIDADE)</t>
  </si>
  <si>
    <t>CAMAÇARI / CIAS (ÁREA PRÓXIMA DO CENTRO)</t>
  </si>
  <si>
    <t>Aquisição de Equipamentos para os Centros Integrados de Atenção a Saúde e CEREST</t>
  </si>
  <si>
    <t>Desenhar os processos quando for fazer estas aquisições</t>
  </si>
  <si>
    <t>CIAS (POLICLÍNICAS) E CEREST EQUIPADOS E CONSTRUÍDOS Total</t>
  </si>
  <si>
    <t>ACADEMIAS DA SAÚDE CONSTRUÍDAS E EQUIPADAS</t>
  </si>
  <si>
    <t>Contratar empreiteira(s) para implantação de obras (UBS; CAPS; UAIJ; POLICLÍNICAS; CEREST; ACADEMIAS DA SAÚDE)</t>
  </si>
  <si>
    <t>AQUISIÇÕES DE EQUIPAMENTOS PARA ACADEMIAS DE SAÚDE</t>
  </si>
  <si>
    <t>ACADEMIAS DA SAÚDE CONSTRUÍDAS E EQUIPADAS Total</t>
  </si>
  <si>
    <t>HOSPITAIS - CONSTRUÇÃO E REFORMA</t>
  </si>
  <si>
    <t>Obras Novas</t>
  </si>
  <si>
    <t>HOSPITAL METROPOLITANO</t>
  </si>
  <si>
    <t>UNIDADE DE COLETA DA REDE HEMOTERÁPICA/ Salvador (01) - ano 2</t>
  </si>
  <si>
    <t>Obras Novas Total</t>
  </si>
  <si>
    <t>Reformas</t>
  </si>
  <si>
    <t>HOSPITAL JOÃO BATISTA CARIBÉ (REFORMA E AMPLIAÇÃO) - ano 2 ou 3</t>
  </si>
  <si>
    <t>HOSPITAL ROBERTO SANTOS (REFORMA E AMPLIAÇÃO) - ano 2 ou 3???</t>
  </si>
  <si>
    <t>UNIDADES HOSP DA REDE DE URGÊNCIA/HOSP SÃO JORGE (REFORMA E AMPLIAÇÃO) (ano 2 ou 3)</t>
  </si>
  <si>
    <t>Reformas Total</t>
  </si>
  <si>
    <t>Aquisição de Equipamentos para os Hospitais</t>
  </si>
  <si>
    <t>Aquisição de 2 Unidades Moveis para Rede Hemoterápica - PE/ATA(8)</t>
  </si>
  <si>
    <t>HOSPITAIS - CONSTRUÇÃO E REFORMA Total</t>
  </si>
  <si>
    <t>OBRAS Total</t>
  </si>
  <si>
    <t>COMPONENTE 2 - FORTALECIMENTO DAS REDES INTEGRADAS DE SAÚDE NA RMS Total</t>
  </si>
  <si>
    <t>COMPONENTE 3 - MONITORAMENTO, AVALIAÇÃO E GESTÃO DO PROGRAMA</t>
  </si>
  <si>
    <t>APOIO À GESTÃO</t>
  </si>
  <si>
    <t>Contratar Empresa de Apoio ao Gerenciamento das ações do Programa e Supervisão das Obras Contratadas - SBQC(4)</t>
  </si>
  <si>
    <t>Contratação de Consultoria para Avaliação de Impacto do Programa - SQC(6)</t>
  </si>
  <si>
    <t>Contratação de consultoria para Avaliação do Programa</t>
  </si>
  <si>
    <t>Administração e instalação da UGP</t>
  </si>
  <si>
    <t>APOIO À GESTÃO Total</t>
  </si>
  <si>
    <t>COMPONENTE 3 - MONITORAMENTO, AVALIAÇÃO E GESTÃO DO PROGRAMA Total</t>
  </si>
  <si>
    <t>PROSUS Total</t>
  </si>
  <si>
    <t>EAP_270515_luiz Total</t>
  </si>
  <si>
    <t>Nome do Projeto: Programa de Fortalecimento do Sistema Único de Saúde na Região Metropolitana de Salvador</t>
  </si>
  <si>
    <t>Empréstimo: 3262/OC-BR</t>
  </si>
  <si>
    <t>Descrição</t>
  </si>
  <si>
    <t>Identificador</t>
  </si>
  <si>
    <t>Estado</t>
  </si>
  <si>
    <t>E/R</t>
  </si>
  <si>
    <t>Montante em u$s</t>
  </si>
  <si>
    <t>No Objeção Documentos</t>
  </si>
  <si>
    <t>Publicação / Convite</t>
  </si>
  <si>
    <t>Abertura</t>
  </si>
  <si>
    <t>Avaliação</t>
  </si>
  <si>
    <t>No Objeção Avaliação</t>
  </si>
  <si>
    <t>Assinatura do Contrato</t>
  </si>
  <si>
    <t>Total dias de Processo</t>
  </si>
  <si>
    <t>Fim do Contrato (Completo)</t>
  </si>
  <si>
    <t>Observação</t>
  </si>
  <si>
    <t>Correspondência com o PEP</t>
  </si>
  <si>
    <t>(Entre Abertura y Assinatura do Contrato)</t>
  </si>
  <si>
    <t>Unidade Básica de Saúde /Porte IV / Salvador</t>
  </si>
  <si>
    <t>PROSUS-1-LPN-O-1.1</t>
  </si>
  <si>
    <t>BAHIA</t>
  </si>
  <si>
    <t>Est.</t>
  </si>
  <si>
    <t>04/12/2017</t>
  </si>
  <si>
    <t>10/10/2018</t>
  </si>
  <si>
    <t xml:space="preserve">2.1.3 </t>
  </si>
  <si>
    <t>Construção</t>
  </si>
  <si>
    <t>Previsto</t>
  </si>
  <si>
    <t>Real</t>
  </si>
  <si>
    <t>Revisão Ex-Ante</t>
  </si>
  <si>
    <t>Unidade Básica de Saúde/ Porte III/ Salvador</t>
  </si>
  <si>
    <t>PROSUS-2-LPN-O-1.1</t>
  </si>
  <si>
    <t>2.1.5</t>
  </si>
  <si>
    <t>Unidade Básica de Saúde / Porte III/ Salvador</t>
  </si>
  <si>
    <t>PROSUS-3-LPN-O-1.1</t>
  </si>
  <si>
    <t>12/07/17</t>
  </si>
  <si>
    <t>05/12/2017</t>
  </si>
  <si>
    <t>05/02/2018</t>
  </si>
  <si>
    <t>19/02/2018</t>
  </si>
  <si>
    <t>20/10/2018</t>
  </si>
  <si>
    <t>2.1.4</t>
  </si>
  <si>
    <t>Unidade Básica de Saúde/ Porte IV / Salvador</t>
  </si>
  <si>
    <t>PROSUS-4-LPN-O-1.1</t>
  </si>
  <si>
    <t>2.1.6</t>
  </si>
  <si>
    <t>PROSUS-5-LPN-O-1.1</t>
  </si>
  <si>
    <t>2.1.8</t>
  </si>
  <si>
    <t>PROSUS-6-LPN-O-1.1</t>
  </si>
  <si>
    <t>09/02/2018</t>
  </si>
  <si>
    <t>21/03/2018</t>
  </si>
  <si>
    <t>13/04/2018</t>
  </si>
  <si>
    <t>20/04/2018</t>
  </si>
  <si>
    <t>04/05/2018</t>
  </si>
  <si>
    <t>04/10/2019</t>
  </si>
  <si>
    <t>Re-estimativa de datas em 21/11/2017.</t>
  </si>
  <si>
    <t>2.1.7</t>
  </si>
  <si>
    <t>Unidade Básica de Saúde / Porte II / Camaçari</t>
  </si>
  <si>
    <t>PROSUS-7-LPN-O-1.1</t>
  </si>
  <si>
    <t>29/06/17</t>
  </si>
  <si>
    <t>2.1.9</t>
  </si>
  <si>
    <t>Unidade Básica de Saúde /Porte II /Camaçari</t>
  </si>
  <si>
    <t>PROSUS-8-LPN-O-1.1</t>
  </si>
  <si>
    <t>08/06/17</t>
  </si>
  <si>
    <t>2.1.10</t>
  </si>
  <si>
    <t>Unidade Básica de Saúde / Porte II / Candeias</t>
  </si>
  <si>
    <t>PROSUS-9-LPN-O-1.1</t>
  </si>
  <si>
    <t>2.1.11</t>
  </si>
  <si>
    <t>Unidade Básica de Saúde / Porte II/ São Sebastião do Passé</t>
  </si>
  <si>
    <t>PROSUS-10-LPN-O-1.1</t>
  </si>
  <si>
    <t>18/12/2017</t>
  </si>
  <si>
    <t>21/12/2017</t>
  </si>
  <si>
    <t>23/02/2018</t>
  </si>
  <si>
    <t>02/03/2018</t>
  </si>
  <si>
    <t>16/03/2018</t>
  </si>
  <si>
    <t>20/11/2018</t>
  </si>
  <si>
    <t>2.1.12</t>
  </si>
  <si>
    <t>Dias DÁvila / UBS / Porte II</t>
  </si>
  <si>
    <t>21/07/17</t>
  </si>
  <si>
    <t>11/01/2018</t>
  </si>
  <si>
    <t>11/02/2018</t>
  </si>
  <si>
    <t>02/04/2018</t>
  </si>
  <si>
    <t>2.1.13</t>
  </si>
  <si>
    <t>TOTAL UBS US$</t>
  </si>
  <si>
    <t>Salvador CAPS AD III</t>
  </si>
  <si>
    <t>PROSUS-11-LPN-O-1.2</t>
  </si>
  <si>
    <t>2.1.15</t>
  </si>
  <si>
    <t>São Sebastião do Passé / CAPS I</t>
  </si>
  <si>
    <t>PROSUS-12-LPN-O-1.2</t>
  </si>
  <si>
    <t>2.1.16</t>
  </si>
  <si>
    <t>Madre de Deus / CAPS I</t>
  </si>
  <si>
    <t>PROSUS-13-LPN-O-1.2</t>
  </si>
  <si>
    <t>11/12/2017</t>
  </si>
  <si>
    <t>16/02/2018</t>
  </si>
  <si>
    <t>03/11/2018</t>
  </si>
  <si>
    <t>2.1.17</t>
  </si>
  <si>
    <t>São Francisco do Conde / CAPS I</t>
  </si>
  <si>
    <t>PROSUS-14-LPN-O-1.2</t>
  </si>
  <si>
    <t>2.1.18</t>
  </si>
  <si>
    <t>Candeias/CAPS AD</t>
  </si>
  <si>
    <t>PROSUS-15-LPN-O-1.2</t>
  </si>
  <si>
    <t>2.1.19</t>
  </si>
  <si>
    <t>Camaçari/CAPS III</t>
  </si>
  <si>
    <t>PROSUS-16-LPN-O-1.2</t>
  </si>
  <si>
    <t>01/08/17</t>
  </si>
  <si>
    <t>2.1.20</t>
  </si>
  <si>
    <t>Simões Filho / CAPS AD</t>
  </si>
  <si>
    <t>PROSUS-17-LPN-O-1.2</t>
  </si>
  <si>
    <t>2.1.21</t>
  </si>
  <si>
    <t>Itaparica / CAPS I</t>
  </si>
  <si>
    <t>PROSUS-18-LPN-O-1.2</t>
  </si>
  <si>
    <t>2.1.22</t>
  </si>
  <si>
    <t>Lauro de Freitas / UAIJ</t>
  </si>
  <si>
    <t>PROSUS-19-LPN-O-1.2</t>
  </si>
  <si>
    <t>2.1.24</t>
  </si>
  <si>
    <t>TOTAL CAPS/UAIJ US$</t>
  </si>
  <si>
    <t>Simões Filho / CIAS (Policlínicas)</t>
  </si>
  <si>
    <t>PROSUS-21-LPN-O-1.3</t>
  </si>
  <si>
    <t>28/07/17</t>
  </si>
  <si>
    <t>04/08/17</t>
  </si>
  <si>
    <t>10/01/2018</t>
  </si>
  <si>
    <t>27/01/2018</t>
  </si>
  <si>
    <t>03/02/2018</t>
  </si>
  <si>
    <t>03/03/2018</t>
  </si>
  <si>
    <t>06/03/2019</t>
  </si>
  <si>
    <t>2.1.25</t>
  </si>
  <si>
    <t>Contrato de Execução</t>
  </si>
  <si>
    <t>Feira de Santana / CIAS (Policlínicas)</t>
  </si>
  <si>
    <t>PROSUS-22-LPN-O-1.3</t>
  </si>
  <si>
    <t>30/12/16</t>
  </si>
  <si>
    <t>23/01/17</t>
  </si>
  <si>
    <t>22/02/17</t>
  </si>
  <si>
    <t>08/03/17</t>
  </si>
  <si>
    <t>13/03/17</t>
  </si>
  <si>
    <t>18/04/17</t>
  </si>
  <si>
    <t>18/04/18</t>
  </si>
  <si>
    <t>2.1.26</t>
  </si>
  <si>
    <t>20/01/17</t>
  </si>
  <si>
    <t>23/02/17</t>
  </si>
  <si>
    <t>15/03/17</t>
  </si>
  <si>
    <t>10/04/17</t>
  </si>
  <si>
    <t>Santo Antonio de Jesus / CIAS (Policlínicas)</t>
  </si>
  <si>
    <t>PROSUS-23-LPN-O-1.3</t>
  </si>
  <si>
    <t>12/01/17</t>
  </si>
  <si>
    <t>16/02/17</t>
  </si>
  <si>
    <t>11/04/17</t>
  </si>
  <si>
    <t>11/04/18</t>
  </si>
  <si>
    <t>2.1.29</t>
  </si>
  <si>
    <t>10/03/17</t>
  </si>
  <si>
    <t>14/03/17</t>
  </si>
  <si>
    <t>17/04/17</t>
  </si>
  <si>
    <t>Valença / CIAS (Policlínicas)</t>
  </si>
  <si>
    <t>PROSUS-24-LPN-O-1.3</t>
  </si>
  <si>
    <t>2.1.30</t>
  </si>
  <si>
    <t>Alagoinhas / CIAS (Policlínicas)</t>
  </si>
  <si>
    <t>PROSUS-25-LPN-O-1.3</t>
  </si>
  <si>
    <t>2.1.31</t>
  </si>
  <si>
    <t>Salvador 1 - CIAS (Policlínica)</t>
  </si>
  <si>
    <t>PROSUS-26-LPN-O-1.3</t>
  </si>
  <si>
    <t>12/06/17</t>
  </si>
  <si>
    <t>2.1.27</t>
  </si>
  <si>
    <t>Salvador II/ CIAS (Policlínicas)</t>
  </si>
  <si>
    <t>PROSUS-27-LPN-O-1.3</t>
  </si>
  <si>
    <t>15/03/2018</t>
  </si>
  <si>
    <t>20/03/2018</t>
  </si>
  <si>
    <t>19/05/2018</t>
  </si>
  <si>
    <t>26/05/2018</t>
  </si>
  <si>
    <t>09/06/2018</t>
  </si>
  <si>
    <t>09/06/2019</t>
  </si>
  <si>
    <t>2.1.28</t>
  </si>
  <si>
    <t>Camaçari / CEREST</t>
  </si>
  <si>
    <t>PROSUS-28-LPN-O-1.3</t>
  </si>
  <si>
    <t>24/07/17</t>
  </si>
  <si>
    <t>27/07/17</t>
  </si>
  <si>
    <t>15/12/2017</t>
  </si>
  <si>
    <t>2.1.32</t>
  </si>
  <si>
    <t>TOTAL POLICLÍNICAS/CEREST</t>
  </si>
  <si>
    <t>Camaçari / Academia da Saúde</t>
  </si>
  <si>
    <t>PROSUS-29-LPN-O-1.4</t>
  </si>
  <si>
    <t>06/09/17</t>
  </si>
  <si>
    <t>11/09/17</t>
  </si>
  <si>
    <t>2.1.34</t>
  </si>
  <si>
    <t>Dias DÁvila / Academia da Saúde</t>
  </si>
  <si>
    <t>PROSUS-30-LPN-O-1.4</t>
  </si>
  <si>
    <t>2.1.36</t>
  </si>
  <si>
    <t>Mata de São João / Academia da Saúde</t>
  </si>
  <si>
    <t>PROSUS-31-LPN-O-1.4</t>
  </si>
  <si>
    <t>2.1.40</t>
  </si>
  <si>
    <t>Pojuca / Academia da Saúde</t>
  </si>
  <si>
    <t>PROSUS-32-LPN-O-1.4</t>
  </si>
  <si>
    <t>2.1.41</t>
  </si>
  <si>
    <t>Simões Filho / Academia da Saúde</t>
  </si>
  <si>
    <t>PROSUS-33-LPN-O-1.4</t>
  </si>
  <si>
    <t>2.1.45</t>
  </si>
  <si>
    <t>São Sebastião do Passé / Academia da Saúde</t>
  </si>
  <si>
    <t>PROSUS-34-LPN-O-1.4</t>
  </si>
  <si>
    <t>2.1.44</t>
  </si>
  <si>
    <t>Candeias / Academia da Saúde</t>
  </si>
  <si>
    <t>PROSUS-35-LPN-O-1.4</t>
  </si>
  <si>
    <t>06/09/2017</t>
  </si>
  <si>
    <t>30/11/2018</t>
  </si>
  <si>
    <t>2.1.35</t>
  </si>
  <si>
    <t>Itaparica / Academia da Saúde</t>
  </si>
  <si>
    <t>PROSUS-36-LPN-O-1.4</t>
  </si>
  <si>
    <t>2.1.37</t>
  </si>
  <si>
    <t>Lauro de Freitas / Academia da Saúde</t>
  </si>
  <si>
    <t>PROSUS-37-LPN-O-1.4</t>
  </si>
  <si>
    <t>2.1.38</t>
  </si>
  <si>
    <t>Madre de Deus / Academia da Saúde</t>
  </si>
  <si>
    <t>PROSUS-38-LPN-O-1.4</t>
  </si>
  <si>
    <t>2.1.39</t>
  </si>
  <si>
    <t>Salvador / Academia da Saúde</t>
  </si>
  <si>
    <t>PROSUS-39-LPN-O-1.4</t>
  </si>
  <si>
    <t>2.1.42</t>
  </si>
  <si>
    <t>São Francisco do Conde / Academia da Saúde</t>
  </si>
  <si>
    <t>PROSUS-40-LPN-O-1.4</t>
  </si>
  <si>
    <t>2.1.43</t>
  </si>
  <si>
    <t>Vera Cruz / Academia da Saúde</t>
  </si>
  <si>
    <t>PROSUS-41-LPN-O-1.4</t>
  </si>
  <si>
    <t>2.1.46</t>
  </si>
  <si>
    <t>TOTAL ACADEMIAS US$</t>
  </si>
  <si>
    <t>Hospital João Batista Caribé</t>
  </si>
  <si>
    <t>PROSUS-43-LPN-O-1.6</t>
  </si>
  <si>
    <t>08/12/2017</t>
  </si>
  <si>
    <t>2.2.2</t>
  </si>
  <si>
    <t>Ampliação e Reforma</t>
  </si>
  <si>
    <t>Hospital Roberto Santos</t>
  </si>
  <si>
    <t>PROSUS-44-LPN-O-1.7</t>
  </si>
  <si>
    <t>09/03/2018</t>
  </si>
  <si>
    <t>23/03/2018</t>
  </si>
  <si>
    <t>2.2.3</t>
  </si>
  <si>
    <t>Edifício Sede da SESAB</t>
  </si>
  <si>
    <t>PROSUS-45-LPN-O-1.8</t>
  </si>
  <si>
    <t>1.1.12</t>
  </si>
  <si>
    <t>Reforma</t>
  </si>
  <si>
    <t>Edifício Anexo à SESAB</t>
  </si>
  <si>
    <t>PROSUS-46-LPN-O-1.9</t>
  </si>
  <si>
    <t>21/05/2018</t>
  </si>
  <si>
    <t>06/06/2018</t>
  </si>
  <si>
    <t>1.1.13</t>
  </si>
  <si>
    <t>Construção da Unidade de Coleta da Rede Hemoterápica</t>
  </si>
  <si>
    <t>PROSUS-79-LPN-O-1.10</t>
  </si>
  <si>
    <t>22/06/2018</t>
  </si>
  <si>
    <t>23/07/2018</t>
  </si>
  <si>
    <t>10/08/2018</t>
  </si>
  <si>
    <t>17/08/2018</t>
  </si>
  <si>
    <t>31/08/2018</t>
  </si>
  <si>
    <t>2.1.47</t>
  </si>
  <si>
    <t>Método: LPI (Licitação Pública Internacional)</t>
  </si>
  <si>
    <t>Hospital Metropolitano / Lauro de Freitas</t>
  </si>
  <si>
    <t>PROSUS-42-LPI-O-1.5</t>
  </si>
  <si>
    <t>02/05/17</t>
  </si>
  <si>
    <t>04/05/17</t>
  </si>
  <si>
    <t>20/06/17</t>
  </si>
  <si>
    <t>05/07/17</t>
  </si>
  <si>
    <t>04/02/19</t>
  </si>
  <si>
    <t>2.2.1</t>
  </si>
  <si>
    <t>08/05/17</t>
  </si>
  <si>
    <t>TOTAL OBRAS US$</t>
  </si>
  <si>
    <t>PROSUS-74-LOC-B-2.10</t>
  </si>
  <si>
    <t>29/04/2017</t>
  </si>
  <si>
    <t>16/05/2018</t>
  </si>
  <si>
    <t>30/05/2018</t>
  </si>
  <si>
    <t>27/06/2018</t>
  </si>
  <si>
    <t>27/10/2018</t>
  </si>
  <si>
    <t>Aquisição de Equipamentos para o Edifício sede SESAB e Anexo</t>
  </si>
  <si>
    <t>PROSUS-75-LOC-B-2.11</t>
  </si>
  <si>
    <t>22/09/18</t>
  </si>
  <si>
    <t>27/09/18</t>
  </si>
  <si>
    <t>13/10/18</t>
  </si>
  <si>
    <t>27/10/18</t>
  </si>
  <si>
    <t>06/11/18</t>
  </si>
  <si>
    <t>30/11/18</t>
  </si>
  <si>
    <t>30/10519</t>
  </si>
  <si>
    <t>1.1.14</t>
  </si>
  <si>
    <t>PROSUS-76-LOC-B-2.12</t>
  </si>
  <si>
    <t>11/02/18</t>
  </si>
  <si>
    <t>13/02/18</t>
  </si>
  <si>
    <t>26/02/18</t>
  </si>
  <si>
    <t>10/03/18</t>
  </si>
  <si>
    <t>16/03/18</t>
  </si>
  <si>
    <t>13/04/18</t>
  </si>
  <si>
    <t>13/04/19</t>
  </si>
  <si>
    <t>2.2.4</t>
  </si>
  <si>
    <t>Equipamentos para o Hospital Metropolitano</t>
  </si>
  <si>
    <t>PROSUS-77-LOC-B-2.13</t>
  </si>
  <si>
    <t>08/04/18</t>
  </si>
  <si>
    <t>29/04/18</t>
  </si>
  <si>
    <t>19/05/18</t>
  </si>
  <si>
    <t>31/05/18</t>
  </si>
  <si>
    <t>28/06/18</t>
  </si>
  <si>
    <t>28/06/19</t>
  </si>
  <si>
    <t>2.2.5</t>
  </si>
  <si>
    <t>Aquisição de Equipamentos para Unidades Básicas de Saúde</t>
  </si>
  <si>
    <t>PROSUS-86-LOC-B-2.14</t>
  </si>
  <si>
    <t>06/02/18</t>
  </si>
  <si>
    <t>15/02/18</t>
  </si>
  <si>
    <t>01/03/18</t>
  </si>
  <si>
    <t>06/03/18</t>
  </si>
  <si>
    <t>13/03/18</t>
  </si>
  <si>
    <t>06/04/18</t>
  </si>
  <si>
    <t>26/10/18</t>
  </si>
  <si>
    <t>2.1.14</t>
  </si>
  <si>
    <t>Aquisição de Equipamentos para o Fortalecimento do Observatório da Violência e de Acidentes</t>
  </si>
  <si>
    <t>PROSUS-88-LOC-B-2.15</t>
  </si>
  <si>
    <t>1.1.10</t>
  </si>
  <si>
    <t>Aquisição de Equipamentos para o Complexo Regulador Regional e Macrorregional do Estado</t>
  </si>
  <si>
    <t>PROSUS-89-LOC-B-2.16</t>
  </si>
  <si>
    <t>1.1.11</t>
  </si>
  <si>
    <t>Aquisição de 02 (duas) Unidades Móveis para Coleta de Sangue / HEMOBA</t>
  </si>
  <si>
    <t>PROSUS-95-LOC-B-2.1</t>
  </si>
  <si>
    <t>25/05/16</t>
  </si>
  <si>
    <t>10/09/16</t>
  </si>
  <si>
    <t>27/09/16</t>
  </si>
  <si>
    <t>17/11/16</t>
  </si>
  <si>
    <t>N/A</t>
  </si>
  <si>
    <t>16/12/16</t>
  </si>
  <si>
    <t>15/04/17</t>
  </si>
  <si>
    <t>2.1.48</t>
  </si>
  <si>
    <t>Pregão Eletrônico</t>
  </si>
  <si>
    <t>Aquisição de 01 (um) Aparelho de Raio X, com Mesa Telecomandada para o HGRS</t>
  </si>
  <si>
    <t>PROSUS-96-LOC-B-2.2</t>
  </si>
  <si>
    <t>16/07/16</t>
  </si>
  <si>
    <t>17/08/16</t>
  </si>
  <si>
    <t>03/09/16</t>
  </si>
  <si>
    <t>06/09/16</t>
  </si>
  <si>
    <t>25/02/17</t>
  </si>
  <si>
    <t>2.2.8</t>
  </si>
  <si>
    <t>Aquisição de Equipamentos para os CIAS (Policlínicas) e CEREST</t>
  </si>
  <si>
    <t>PROSUS-97-LOC-B-2.9</t>
  </si>
  <si>
    <t>19/12/17</t>
  </si>
  <si>
    <t>29/12/17</t>
  </si>
  <si>
    <t>08/01/18</t>
  </si>
  <si>
    <t>16/01/18</t>
  </si>
  <si>
    <t>21/01/18</t>
  </si>
  <si>
    <t>30/01/18</t>
  </si>
  <si>
    <t>30/04/18</t>
  </si>
  <si>
    <t>2.1.33</t>
  </si>
  <si>
    <t>Aquisição de Equipamentos Médicos para o HGRS</t>
  </si>
  <si>
    <t>PROSUS-98-LOC-B-2.6</t>
  </si>
  <si>
    <t>19/04/18</t>
  </si>
  <si>
    <t>24/04/18</t>
  </si>
  <si>
    <t>08/05/18</t>
  </si>
  <si>
    <t>22/05/18</t>
  </si>
  <si>
    <t>05/06/18</t>
  </si>
  <si>
    <t>05/12/18</t>
  </si>
  <si>
    <t>2.2.6</t>
  </si>
  <si>
    <t>Aquisição de Aparelho de Hemodinâmica para o HGRS</t>
  </si>
  <si>
    <t>PROSUS-99-LOC-B-2.3</t>
  </si>
  <si>
    <t>27/05/16</t>
  </si>
  <si>
    <t>31/08/16</t>
  </si>
  <si>
    <t>28/09/16</t>
  </si>
  <si>
    <t>15/10/16</t>
  </si>
  <si>
    <t>18/10/16</t>
  </si>
  <si>
    <t>16/06/17</t>
  </si>
  <si>
    <t>2.2.9</t>
  </si>
  <si>
    <t>Aquisição de Equipamentos para Sistema de Informação da SESAB (Datacenter Principal e de Contigência)</t>
  </si>
  <si>
    <t>PROSUS-100-LOC-B-2.4</t>
  </si>
  <si>
    <t>07/11/16</t>
  </si>
  <si>
    <t>20/12/16</t>
  </si>
  <si>
    <t>1.1.3</t>
  </si>
  <si>
    <t>Aquisição de 1.420 Microcomputadores</t>
  </si>
  <si>
    <t>Contrato Terminado</t>
  </si>
  <si>
    <t>Aquisição de Equipamentos para o Hospital São Jorge (Hospital da Mulher)</t>
  </si>
  <si>
    <t>PROSUS-101-LOC-B-2.7</t>
  </si>
  <si>
    <t>2.2.7</t>
  </si>
  <si>
    <t>Pregão Eeltrônico</t>
  </si>
  <si>
    <t>PROSUS-102-LOC-B-2.17</t>
  </si>
  <si>
    <t>07/04/17</t>
  </si>
  <si>
    <t>07/08/17</t>
  </si>
  <si>
    <t>1.1.1</t>
  </si>
  <si>
    <t>Aquisição de Super Cluster M7 High Capacity - Oracle Servidor</t>
  </si>
  <si>
    <t>26/04/17</t>
  </si>
  <si>
    <t>PROSUS-103-LOC-B-2.7.2</t>
  </si>
  <si>
    <t>16/08/16</t>
  </si>
  <si>
    <t>26/09/16</t>
  </si>
  <si>
    <t>21/10/16</t>
  </si>
  <si>
    <t>10/11/16</t>
  </si>
  <si>
    <t>08/07/17</t>
  </si>
  <si>
    <t>2.2.10</t>
  </si>
  <si>
    <t>Aquisição de Elevadores / Pregão Eletrônico</t>
  </si>
  <si>
    <t>Aquisição de Equipamentos para o Hospital São Jorge (Hospital da Mulher) / Geradores</t>
  </si>
  <si>
    <t>PROSUS-104-LOC-B-2.7.1</t>
  </si>
  <si>
    <t>29/08/16</t>
  </si>
  <si>
    <t>24/11/16</t>
  </si>
  <si>
    <t>18/02/17</t>
  </si>
  <si>
    <t>Aquisição de Geradores / Pregão Eletrônico</t>
  </si>
  <si>
    <t>11/03/17</t>
  </si>
  <si>
    <t>Aquisição de Equipamentos Médicos para o Hospital São Jorge (Hospital da Mulher)</t>
  </si>
  <si>
    <t>22/09/16</t>
  </si>
  <si>
    <t>04/11/16</t>
  </si>
  <si>
    <t>22/11/16</t>
  </si>
  <si>
    <t>05/12/16</t>
  </si>
  <si>
    <t>19/01/17</t>
  </si>
  <si>
    <t>PROSUS-106-LOC-B-2.8.1</t>
  </si>
  <si>
    <t>21/12/16</t>
  </si>
  <si>
    <t>30/01/17</t>
  </si>
  <si>
    <t>30/04/17</t>
  </si>
  <si>
    <t>Aquisição de Histeroscópio / Pregão Eletrônico</t>
  </si>
  <si>
    <t>Aquisição de Equipamentos Médicos para o Hospital São Jorge (Hospital da Mulher) / USG com Doppler e Sonda Intravaginal</t>
  </si>
  <si>
    <t>PROSUS-107-LOC-B-2.8.2</t>
  </si>
  <si>
    <t>22/12/16</t>
  </si>
  <si>
    <t>21/01/17</t>
  </si>
  <si>
    <t>Aquisição de Equipamentos Médicos para o Hospital São Jorge (Hospital da Mulher) / Videocolposcópio</t>
  </si>
  <si>
    <t>PROSUS-108-LOC-B-2.8.3</t>
  </si>
  <si>
    <t>07/10/16</t>
  </si>
  <si>
    <t>03/11/16</t>
  </si>
  <si>
    <t>11/11/16</t>
  </si>
  <si>
    <t>21/11/16</t>
  </si>
  <si>
    <t>Aquisição de Mamógrafo com Extereotaxia para o HGRS</t>
  </si>
  <si>
    <t>PROSUS-109-LOC-B-2.6.1</t>
  </si>
  <si>
    <t>26/01/17</t>
  </si>
  <si>
    <t>Aquisição de Infraestrutura de Tecnologia da Informação e Comunicação para as Unidades de Saúde em Rede (Centros de Referência de Média Complexidade , Hospitais e Policlínicas (CIAS) - 31 Estabelecimentos no total)</t>
  </si>
  <si>
    <t>PROSUS-110-LOC-B-3.1</t>
  </si>
  <si>
    <t>28/02/18</t>
  </si>
  <si>
    <t>04/03/18</t>
  </si>
  <si>
    <t>17/03/18</t>
  </si>
  <si>
    <t>31/03/18</t>
  </si>
  <si>
    <t>04/04/18</t>
  </si>
  <si>
    <t>18/05/18</t>
  </si>
  <si>
    <t>18/05/19</t>
  </si>
  <si>
    <t>1.1.2</t>
  </si>
  <si>
    <t>Aquisição de Softwares para Sistema de Informação da SESAB (datacenter principal e de contigência)</t>
  </si>
  <si>
    <t>PROSUS-111-LOC-B-3.2</t>
  </si>
  <si>
    <t>06/06/17</t>
  </si>
  <si>
    <t>09/06/17</t>
  </si>
  <si>
    <t>26/06/17</t>
  </si>
  <si>
    <t>10/07/17</t>
  </si>
  <si>
    <t>14/07/17</t>
  </si>
  <si>
    <t>31/07/17</t>
  </si>
  <si>
    <t>31/07/18</t>
  </si>
  <si>
    <t>1.1.5</t>
  </si>
  <si>
    <t>11/05/17</t>
  </si>
  <si>
    <t>18/05/17</t>
  </si>
  <si>
    <t>Aquisição de softwares para o sistema de informações em saúde</t>
  </si>
  <si>
    <t>PROSUS-112-LOC-B-3.7</t>
  </si>
  <si>
    <t>1.1.4</t>
  </si>
  <si>
    <t>TOTAL DE BENS US$</t>
  </si>
  <si>
    <t>Contratação de Serviços para Infraestrutura de Tecnologia de Informação e Comunicação para as Unidades de Saúde em Rede (Centros de referência, Hospitais e Policlínicas (CIAS) - 31 Estabelecimentos no total</t>
  </si>
  <si>
    <t>PROSUS-82-LOC-S-3.3</t>
  </si>
  <si>
    <t>1.1.6</t>
  </si>
  <si>
    <t>Contratação de Serviços (q não consultoria) para Sistema de Informação em Saúde (Gerenciamento hospitalar, história clínica eletrônica, classificação de risco, produção de serviços, sistemas de custos e regulação do sistema)</t>
  </si>
  <si>
    <t>PROSUS-83-LOC-S-3.4</t>
  </si>
  <si>
    <t>1.1.7</t>
  </si>
  <si>
    <t>Contratação de Serviços (q não consultoria) para integração das bases de dados existentes e das centrais de regulação (interoperabilidade)</t>
  </si>
  <si>
    <t>PROSUS-84-LOC-S-3.5</t>
  </si>
  <si>
    <t>1.1.8</t>
  </si>
  <si>
    <t>Contratação de serviços (q não consultoria) para Sistema de Informação da SESAB (datacenter principal e de contingência)</t>
  </si>
  <si>
    <t>PROSUS-85-LOC-S-3.6</t>
  </si>
  <si>
    <t>1.1.9</t>
  </si>
  <si>
    <t>Contratação de Serviços Topográficos</t>
  </si>
  <si>
    <t>PROSUS-51-CP-S-3.8</t>
  </si>
  <si>
    <t>28/07/15</t>
  </si>
  <si>
    <t>09/09/15</t>
  </si>
  <si>
    <t>23/10/15</t>
  </si>
  <si>
    <t>27/10/15</t>
  </si>
  <si>
    <t>07/01/16</t>
  </si>
  <si>
    <t>05/02/17</t>
  </si>
  <si>
    <t>2.1.2</t>
  </si>
  <si>
    <t>Não Objecção a PAF</t>
  </si>
  <si>
    <t>Fim de Actividade</t>
  </si>
  <si>
    <t>Capacitações para Fortalecimento da UNASUS</t>
  </si>
  <si>
    <t>PROSUS-70-LOC-SC-4.1</t>
  </si>
  <si>
    <t>09/05/18</t>
  </si>
  <si>
    <t>31/10/19</t>
  </si>
  <si>
    <t>1.2.5</t>
  </si>
  <si>
    <t>Capacitações via UNASUS</t>
  </si>
  <si>
    <t>Capacitação para formação de Técnicos</t>
  </si>
  <si>
    <t>PROSUS-72-LOC-SC-4.2</t>
  </si>
  <si>
    <t>1.2.7</t>
  </si>
  <si>
    <t>Método: AD (Contratação Direta)</t>
  </si>
  <si>
    <t>Implementação do Programa de Pós Graduação</t>
  </si>
  <si>
    <t>PROSUS-71-AD-SC-4.3</t>
  </si>
  <si>
    <t>1.2.6</t>
  </si>
  <si>
    <t>Capacitação da Equipe da SESAB</t>
  </si>
  <si>
    <t>PROSUS-73-AD-SC-4.4</t>
  </si>
  <si>
    <t>09/05/2018</t>
  </si>
  <si>
    <t>1.2.8</t>
  </si>
  <si>
    <t>PP e Lista Corta</t>
  </si>
  <si>
    <t>Não Objeção ao PP e Lista Curta</t>
  </si>
  <si>
    <t>Emissão do PP</t>
  </si>
  <si>
    <t>Avaliação Técnica</t>
  </si>
  <si>
    <t>Não Objeção Avaliação Técnica</t>
  </si>
  <si>
    <t>Não Objeção ao Contrato</t>
  </si>
  <si>
    <t>Contratação de Projetos Executivos, Complementares e Estudos Geo - Técnicos para Obras</t>
  </si>
  <si>
    <t>PROSUS-62-SBCC-CF-5.1</t>
  </si>
  <si>
    <t>26/02/16</t>
  </si>
  <si>
    <t>07/03/16</t>
  </si>
  <si>
    <t>08/03/16</t>
  </si>
  <si>
    <t>27/07/16</t>
  </si>
  <si>
    <t>08/08/16</t>
  </si>
  <si>
    <t>27/10/16</t>
  </si>
  <si>
    <t>29/11/19</t>
  </si>
  <si>
    <t>2.1.1</t>
  </si>
  <si>
    <t>Contratação de Empresa de Apoio ao Gerenciamento das Ações do Programa e Supervisão de Obras Contratadas</t>
  </si>
  <si>
    <t>PROSUS-63-SBCC-CF-5.2</t>
  </si>
  <si>
    <t>09/03/16</t>
  </si>
  <si>
    <t>19/08/16</t>
  </si>
  <si>
    <t>14/12/19</t>
  </si>
  <si>
    <t>3.1</t>
  </si>
  <si>
    <t>Método: SQC (Seleção baseada nas qualificações dos consultores)</t>
  </si>
  <si>
    <t>Contratação de Consultoria para Avaliação de Impacto</t>
  </si>
  <si>
    <t>PROSUS-64-SCC-CF-5.3</t>
  </si>
  <si>
    <t>27/12/16</t>
  </si>
  <si>
    <t>11/01/17</t>
  </si>
  <si>
    <t>13/01/17</t>
  </si>
  <si>
    <t>19/04/17</t>
  </si>
  <si>
    <t>05/05/17</t>
  </si>
  <si>
    <t>19/05/17</t>
  </si>
  <si>
    <t>31/12/19</t>
  </si>
  <si>
    <t>3.2</t>
  </si>
  <si>
    <t>27/04/17</t>
  </si>
  <si>
    <t>Diagnóstico e Avaliação da Rede de Assistência na região Metropolitana de Salvador</t>
  </si>
  <si>
    <t>PROSUS-65-SCC-CF-5.4</t>
  </si>
  <si>
    <t>14/12/16</t>
  </si>
  <si>
    <t>10/02/17</t>
  </si>
  <si>
    <t>17/02/17</t>
  </si>
  <si>
    <t>30/06/18</t>
  </si>
  <si>
    <t>1.2.1</t>
  </si>
  <si>
    <t>Atualização das Linhas de Cuidado e Manuais Clínicos em Hipertensão Arterial e Diabetes</t>
  </si>
  <si>
    <t>PROSUS-66-SCC-CF-5.5</t>
  </si>
  <si>
    <t>13/11/18</t>
  </si>
  <si>
    <t>1.2.2</t>
  </si>
  <si>
    <t>Contratação de Consultoria para Modelagem das Redes de Atenção à Saúde da RMS</t>
  </si>
  <si>
    <t>PROSUS-67-SCC-CF-5.6</t>
  </si>
  <si>
    <t>21/03/19</t>
  </si>
  <si>
    <t>1.2.3</t>
  </si>
  <si>
    <t>Consultoria para Avaliação do Programa</t>
  </si>
  <si>
    <t>PROSUS-90-SCC-CF-5.7</t>
  </si>
  <si>
    <t>18/02/19</t>
  </si>
  <si>
    <t>20/02/19</t>
  </si>
  <si>
    <t>20/03/19</t>
  </si>
  <si>
    <t>12/12/19</t>
  </si>
  <si>
    <t>3.3</t>
  </si>
  <si>
    <t>Não Objeção aos TDR</t>
  </si>
  <si>
    <t>Data de Fim da Atividade</t>
  </si>
  <si>
    <t>Contratação de Consultoria individual para elaboração de Relatórios Técnicos, Elaboração e Revisão de TDR</t>
  </si>
  <si>
    <t>PROSUS-68-3CV-CI-6.1</t>
  </si>
  <si>
    <t>10/08/18</t>
  </si>
  <si>
    <t>10/12/18</t>
  </si>
  <si>
    <t>PROSUS - BA</t>
  </si>
  <si>
    <t>CATEGORIA</t>
  </si>
  <si>
    <t>Nº</t>
  </si>
  <si>
    <t>COMPONENTE / AÇÃO PROPOSTA</t>
  </si>
  <si>
    <t>CUSTO ESTIMADO 
R$</t>
  </si>
  <si>
    <t>CUSTO ESTIMADO
US$</t>
  </si>
  <si>
    <t>REVISÃO JUNHO/17 CUSTOS R$</t>
  </si>
  <si>
    <t>AJUSTES                 CUSTOS R$</t>
  </si>
  <si>
    <t>REVISÃO MAIO/17  CUSTOS US$</t>
  </si>
  <si>
    <t>AJUSTES              CUSTOS US$</t>
  </si>
  <si>
    <t>FONTE</t>
  </si>
  <si>
    <t>ANO R$</t>
  </si>
  <si>
    <t>BID</t>
  </si>
  <si>
    <t>Local</t>
  </si>
  <si>
    <t>PREVISTO 2016</t>
  </si>
  <si>
    <t>REALIZADO 2016</t>
  </si>
  <si>
    <t>PREVISTO 2017</t>
  </si>
  <si>
    <t>REALIZADO 2017</t>
  </si>
  <si>
    <t>A REALIZAR 2017</t>
  </si>
  <si>
    <t>PREVISTO 2018</t>
  </si>
  <si>
    <t>REALIZADO 2018</t>
  </si>
  <si>
    <t>PREVISTO 2019</t>
  </si>
  <si>
    <t>REALIZADO 2019</t>
  </si>
  <si>
    <t>REALIZADO TOTAL</t>
  </si>
  <si>
    <t>1.1</t>
  </si>
  <si>
    <t>FORTALECIMENTO DA CAPACIDADE INSTITUCIONAL DA SESAB</t>
  </si>
  <si>
    <t>OK</t>
  </si>
  <si>
    <t>Aquisição de Equipamentos para o Complexo Regulador Regional e Macrorregional do Estado - CP(9)</t>
  </si>
  <si>
    <t>1.2</t>
  </si>
  <si>
    <t>MODELO DE GESTÃO DE SAÚDE EM REDE</t>
  </si>
  <si>
    <t>Diagnóstico e Avaliação da Rede de Assistência na RMS</t>
  </si>
  <si>
    <t>1.2.4</t>
  </si>
  <si>
    <t>Estudos para definição de Modelo de atenção para atenção intermediária e de longo prazo no Hospital Metropolitano (COOPERAÇÃO TÉCNICA BID)</t>
  </si>
  <si>
    <t>O valor era</t>
  </si>
  <si>
    <t>no PEP original</t>
  </si>
  <si>
    <t>. Isso sem contar a contrapartida do Couto Maia que passou para o componente 2</t>
  </si>
  <si>
    <t>2.1</t>
  </si>
  <si>
    <t>EXPANSÃO DO ACESSO E MELHORIA DA RESOLUTIVIDADE DOS SERVIÇOS DA REDE PRIMÁRIA</t>
  </si>
  <si>
    <t xml:space="preserve">PROJETOS EXECUTIVOS </t>
  </si>
  <si>
    <t>Contratar Projetos Executivos - SBQC (5)</t>
  </si>
  <si>
    <t>PROJETOS EXECUTIVOS TOTAL</t>
  </si>
  <si>
    <t>TOPOGRAFIA</t>
  </si>
  <si>
    <t>Contratar Serviços de Topografia</t>
  </si>
  <si>
    <t>ok</t>
  </si>
  <si>
    <t>TOPOGRAFIA TOTAL</t>
  </si>
  <si>
    <t>no PEP original, somando topografia e projetos executivos</t>
  </si>
  <si>
    <t>2.1.3</t>
  </si>
  <si>
    <t>UBS - SALVADOR - ITAPUÃ  - PORTE IV</t>
  </si>
  <si>
    <t xml:space="preserve">UBS - SALVADOR - PIRAJÁ I (DISTRITO SÃO CAETANO/VALÉRIA) - PORTE III </t>
  </si>
  <si>
    <t>UBS - SALVADOR - SAN MARTIN - PORTE III</t>
  </si>
  <si>
    <t xml:space="preserve">UBS - SALVADOR - IMBUÍ - PORTE IV </t>
  </si>
  <si>
    <t>UBS - VIVER MELHOR - SALVADOR - DISTRITO BROTAS - PORTE III</t>
  </si>
  <si>
    <t xml:space="preserve">UBS - SALVADOR - PAU MIÚDO - PORTE III </t>
  </si>
  <si>
    <t>UBS - CAMAÇARI I - BARRA DO JACUIPE - PORTE II</t>
  </si>
  <si>
    <t xml:space="preserve">UBS - CAMAÇARI II - VERDE HORIZONTE - PORTE II </t>
  </si>
  <si>
    <t>UBS - CANDEIAS - PORTE II</t>
  </si>
  <si>
    <t>UBS - SÃO SEBASTIÃO DO PASSÉ - PORTE II</t>
  </si>
  <si>
    <t>AQUISIÇÃO DE EQUIPAMENTOS PARA AS UBS</t>
  </si>
  <si>
    <t>CAPS III - SALVADOR - BOCA DO RIO (ESSE CAPS FOI CRIADO JUNTAMENTE COM O CAPS DE PAU DA LIMA A PARTIR DO CAPS ADIII SALVADOR - FALTA SOLICITAR NÃO OBJEÇÃO AO BID)</t>
  </si>
  <si>
    <t>CAPS III - SALVADOR - PAU DA LIMA (ESSE CAPS FOI CRIADO JUNTAMENTE COM O CAPS DE PAU DA LIMA A PARTIR DO CAPS ADIII SALVADOR - FALTA SOLICITAR NÃO OBJEÇÃO AO BID)</t>
  </si>
  <si>
    <t xml:space="preserve">CAPS I - SÃO SEBASTIÃO DO PASSÉ </t>
  </si>
  <si>
    <t>CAPS I - MADRE DE DEUS</t>
  </si>
  <si>
    <t>CAPS I - SÃO FRANCISCO DO CONDE</t>
  </si>
  <si>
    <t xml:space="preserve">CAPS AD - CANDEIAS </t>
  </si>
  <si>
    <t>CAPS III - CAMAÇARI - GLEBA C (RUA DAS BEGÔNIAS)</t>
  </si>
  <si>
    <t>CAPS AD - SIMÕES FILHO</t>
  </si>
  <si>
    <t xml:space="preserve">CAPS I - ITAPARICA </t>
  </si>
  <si>
    <t>2.1.23</t>
  </si>
  <si>
    <t>CAPS I - DIAS D'ÁVILA (ERA UBS - FALTA SOLICITAR NÃO OBJEÇÃO DO BID)</t>
  </si>
  <si>
    <t xml:space="preserve">UAIJ - LAURO DE FREITAS </t>
  </si>
  <si>
    <t>AQUISIÇÃO DE EQUIPAMENTOS PARA OS CENTROS DE ATENÇÃO PSICOSSOCIAL</t>
  </si>
  <si>
    <t xml:space="preserve">CIAS - SIMÕES FILHO </t>
  </si>
  <si>
    <t xml:space="preserve">CIAS - FEIRA DE SANTANA </t>
  </si>
  <si>
    <t>CIAS - SALVADOR - ESCADA</t>
  </si>
  <si>
    <t>CIAS - SALVADOR - TANCREDO NEVES</t>
  </si>
  <si>
    <t xml:space="preserve">CIAS - SANTO ANTÔNIO DE JESUS </t>
  </si>
  <si>
    <t xml:space="preserve">CIAS - VALENÇA </t>
  </si>
  <si>
    <t xml:space="preserve">CIAS - ALAGOINHAS </t>
  </si>
  <si>
    <t>CEREST - CAMAÇARI - (TRAVESSA DA NATIVIDADE)</t>
  </si>
  <si>
    <t>AQUISIÇÃO DE EQUIPAMENTOS PARA OS CENTROS INTEGRADOS DE ATENÇÃO À SAÚDE E CEREST</t>
  </si>
  <si>
    <t>ACADEMIAS DE SAÚDE - CAMAÇARI</t>
  </si>
  <si>
    <t>ACADEMIAS DE SAÚDE - CANDEIAS</t>
  </si>
  <si>
    <t xml:space="preserve">ACADEMIAS DE SAÚDE - DIAS D'AVILA </t>
  </si>
  <si>
    <t xml:space="preserve">ACADEMIAS DE SAÚDE - ITAPARICA </t>
  </si>
  <si>
    <t xml:space="preserve">ACADEMIAS DE SAÚDE - LAURO DE FREITAS </t>
  </si>
  <si>
    <t>ACADEMIAS DE SAÚDE - MADRE DE DEUS</t>
  </si>
  <si>
    <t>ACADEMIAS DE SAÚDE - MATA DE SÃO JOÃO</t>
  </si>
  <si>
    <t>ACADEMIAS DE SAÚDE - POJUCA</t>
  </si>
  <si>
    <t>ACADEMIAS DE SAÚDE - SALVADOR</t>
  </si>
  <si>
    <t xml:space="preserve">ACADEMIAS DE SAÚDE - SÃO FRANCISCO DO CONDE </t>
  </si>
  <si>
    <t>ACADEMIAS DE SAÚDE - SÃO SEBASTIÃO DO PASSÉ</t>
  </si>
  <si>
    <t>ACADEMIAS DE SAÚDE - SIMÕES FILHO</t>
  </si>
  <si>
    <t>ACADEMIAS DE SAÚDE - VERA CRUZ</t>
  </si>
  <si>
    <t>REDE HEMOTERÁPICA</t>
  </si>
  <si>
    <t>UNIDADE DE COLETA DA REDE HEMOTERÁPICA</t>
  </si>
  <si>
    <t>2.1.49</t>
  </si>
  <si>
    <t>AQUISIÇÃO DE 2 UNIDADES MÓVEIS PARA REDE HEMOTERÁPICA - PE/ATA(8)</t>
  </si>
  <si>
    <t>REDE HEMOTERÁPICA Total</t>
  </si>
  <si>
    <t>2.1.50</t>
  </si>
  <si>
    <t>CONSULTORIA INDIVIDUAL PARA RELATÓRIOS TÉCNICOS, ELABORAÇÃO E REVISÃO DE TDR</t>
  </si>
  <si>
    <t>CONSULTORIA INDIVIDUAL PARA RELATÓRIOS TÉCNICOS, ELABORAÇÃO E REVISÃO DE TDR TOTAL</t>
  </si>
  <si>
    <t>2.2</t>
  </si>
  <si>
    <t>EXPANSÃO E INOVAÇÃO DOS SERVIÇOS DE ATENÇÃO HOSPITALAR</t>
  </si>
  <si>
    <t>OBRAS NOVAS</t>
  </si>
  <si>
    <t>OBRAS NOVAS Total</t>
  </si>
  <si>
    <t>REFORMAS</t>
  </si>
  <si>
    <t xml:space="preserve">REFORMA E AMPLIAÇÃO HOSPITAL JOÃO BATISTA CARIBÉ </t>
  </si>
  <si>
    <t>REFORMA E AMPLIAÇÃO HOSPITAL ROBERTO SANTOS</t>
  </si>
  <si>
    <t>REFORMA Total</t>
  </si>
  <si>
    <t>EQUIPAMENTOS</t>
  </si>
  <si>
    <t xml:space="preserve">HOSPITAIS (A DEFINIR) - AQUISIÇÃO DE EQUIPAMENTOS </t>
  </si>
  <si>
    <t xml:space="preserve">HOSPITAL METROPOLITANO - AQUISIÇÃO DE EQUIPAMENTOS </t>
  </si>
  <si>
    <t>HOSPITAL GERAL ROBERTO SANTOS (HGRS) - AQUISIÇÃO DE EQUIPAMENTOS</t>
  </si>
  <si>
    <t xml:space="preserve">HOSPITAL DA MULHER (HM) - AQUISIÇÃO DE EQUIPAMENTOS </t>
  </si>
  <si>
    <t xml:space="preserve">HOSPITAL GERAL ROBERTO SANTOS (HGRS) - AQUISIÇÃO DE RAIO-X COM MESA TELECOMANDADA </t>
  </si>
  <si>
    <t xml:space="preserve">HOSPITAL GERAL ROBERTO SANTOS (HGRS) - AQUISIÇÃO DE HEMODINÂMICA </t>
  </si>
  <si>
    <t xml:space="preserve">HOSPITAL DA MULHER (HM) - AQUISIÇÃO DE ELEVADORES </t>
  </si>
  <si>
    <t>2.2.11</t>
  </si>
  <si>
    <t xml:space="preserve">HOSPITAL DA MULHER (HM) - AQUISIÇÃO DE GERADORES </t>
  </si>
  <si>
    <t>2.2.12</t>
  </si>
  <si>
    <t xml:space="preserve">HOSPITAL DA MULHER (HM) - AQUISIÇÃO DE VÍDEO HISTEROSCÓPICO </t>
  </si>
  <si>
    <t>2.2.13</t>
  </si>
  <si>
    <t>HOSPITAL DA MULHER (HM) - AQUISIÇÃO DE USG COM DOOPLER E SONDA INTRAVAGINAL</t>
  </si>
  <si>
    <t>2.2.14</t>
  </si>
  <si>
    <t xml:space="preserve">HOSPITAL DA MULHER (HM) - AQUISIÇÃO DE VÍDEOCOLPOSCÓPICO </t>
  </si>
  <si>
    <t>2.2.15</t>
  </si>
  <si>
    <t>HOSPITAL DA MULHER (HM) - AQUISIÇÃO DE MAMÓGRAFO COM ESTEREOTAXIA</t>
  </si>
  <si>
    <t>EQUIPAMENTOS Total</t>
  </si>
  <si>
    <t>2.2.16</t>
  </si>
  <si>
    <t>Era componente 1</t>
  </si>
  <si>
    <t>O consórcio foi contratado por um valor bem inferior, sendo assim o desembolso será menor ao apresentado na planilha.</t>
  </si>
  <si>
    <t>3.4</t>
  </si>
  <si>
    <t>Obras</t>
  </si>
  <si>
    <t>Bens</t>
  </si>
  <si>
    <t>Consultoria</t>
  </si>
  <si>
    <t>Serviços</t>
  </si>
  <si>
    <t>Elaboração e aprovação de projeto/Tr, inclusive NO do BID</t>
  </si>
  <si>
    <t>Período de contratação/licitação</t>
  </si>
  <si>
    <t>Execução do contrato/obra</t>
  </si>
  <si>
    <t>Código PA</t>
  </si>
  <si>
    <t>Aquisição de Infraestrutura de teconologia de informação e comunicação para as unidades de saúde em rede (31 estabelecimentos no total)</t>
  </si>
  <si>
    <t xml:space="preserve">Aquisição de Softwares para o sistema de informação em saúde </t>
  </si>
  <si>
    <t xml:space="preserve">Contratação de serviços para Infraestrutura de tecnologia de informação e comunicação para as unidades de saúde em rede </t>
  </si>
  <si>
    <t xml:space="preserve">Contratação de serviços (q não de consultoria) para sistema de informação em saúde </t>
  </si>
  <si>
    <t>Contratação de consultoria para definição e alcance das diferentes linhas de cuidado no marco das redes de atenção (serviços, protocolos e guias de prática clínica - hipertensão e diabetes) e Modelagem das Redes de Saúde da RMS - SQC(2)</t>
  </si>
  <si>
    <t xml:space="preserve">Estudos para definição de Modelo de atenção para atenção intermediária e de longo prazo no Hospital Metropolitano </t>
  </si>
  <si>
    <t xml:space="preserve">Contratar Projetos Executivos e serviços complementares </t>
  </si>
  <si>
    <t xml:space="preserve">SALVADOR / CAPS ADIII </t>
  </si>
  <si>
    <t xml:space="preserve">SÃO SEBASTIÃO DO PASSÉ / CAPS I </t>
  </si>
  <si>
    <t xml:space="preserve">MADRE DE DEUS / CAPS I </t>
  </si>
  <si>
    <t>SÃO FRANCISCO DO CONDE / CAPS I</t>
  </si>
  <si>
    <t xml:space="preserve">CANDEIAS / CAPS AD </t>
  </si>
  <si>
    <t xml:space="preserve">SIMÕES FILHO / CAPS AD </t>
  </si>
  <si>
    <t xml:space="preserve">ITAPARICA / CAPS I </t>
  </si>
  <si>
    <t xml:space="preserve">LAURO DE FREITAS / UA IJ </t>
  </si>
  <si>
    <t xml:space="preserve">SIMÕES FILHO / CIAS </t>
  </si>
  <si>
    <t>FEIRA DE SANTANA</t>
  </si>
  <si>
    <t>SALVADOR / CIAS (Escada)</t>
  </si>
  <si>
    <t>SALVADOR / CIAS (Tancredo Neves)</t>
  </si>
  <si>
    <t>SANTO ANTÔNIO DE JESUS</t>
  </si>
  <si>
    <t>VALENÇA</t>
  </si>
  <si>
    <t>ALAGOINHAS</t>
  </si>
  <si>
    <t>CAMAÇARI</t>
  </si>
  <si>
    <t>CANDEIAS</t>
  </si>
  <si>
    <t xml:space="preserve">DIAS D'AVILA </t>
  </si>
  <si>
    <t xml:space="preserve">ITAPARICA </t>
  </si>
  <si>
    <t xml:space="preserve">LAURO DE FREITAS </t>
  </si>
  <si>
    <t>MADRE DE DEUS</t>
  </si>
  <si>
    <t>MATA DE SÃO JOÃO</t>
  </si>
  <si>
    <t>POJUCA</t>
  </si>
  <si>
    <t>SALVADOR</t>
  </si>
  <si>
    <t xml:space="preserve">SÃO FRANCISCO DO CONDE </t>
  </si>
  <si>
    <t>SÃO SEBASTIÃO DO PASSÉ</t>
  </si>
  <si>
    <t>SIMÕES FILHO</t>
  </si>
  <si>
    <t>VERA CRUZ</t>
  </si>
  <si>
    <t>HOSPITAL JOÃO BATISTA CARIBÉ (REFORMA E AMPLIAÇÃO)</t>
  </si>
  <si>
    <t>HOSPITAL ROBERTO SANTOS (REFORMA E AMPLIAÇÃO)</t>
  </si>
  <si>
    <t xml:space="preserve">UNIDADES HOSP DA REDE DE URGÊNCIA/HOSP SÃO JORGE (REFORMA E AMPLIAÇÃO) </t>
  </si>
  <si>
    <t>3.1.1</t>
  </si>
  <si>
    <t>3.1.2</t>
  </si>
  <si>
    <t>3.1.3</t>
  </si>
  <si>
    <t>REVISÃO ABR/17 CUSTOS R$</t>
  </si>
  <si>
    <t>REVISÃO ABR/17  CUSTOS US$</t>
  </si>
  <si>
    <t>ANO US$</t>
  </si>
  <si>
    <t>Coordenadas</t>
  </si>
  <si>
    <t>s</t>
  </si>
  <si>
    <t>w</t>
  </si>
  <si>
    <t>12°56'41.6''</t>
  </si>
  <si>
    <t>38°25'43.3''</t>
  </si>
  <si>
    <t>12°56'44.0''</t>
  </si>
  <si>
    <t>38°25'42.9''</t>
  </si>
  <si>
    <t>1.1.15</t>
  </si>
  <si>
    <t>Aquisição de Equipamentos para o Edifício Anexo SESAB</t>
  </si>
  <si>
    <t xml:space="preserve">Contratar Projetos Executivos </t>
  </si>
  <si>
    <t>SALVADOR / UBS ITAPUAN PORTE IV</t>
  </si>
  <si>
    <t>12°56'46.3''</t>
  </si>
  <si>
    <t>38°22'08.5''</t>
  </si>
  <si>
    <t>12°53'53.2''</t>
  </si>
  <si>
    <t>38°27'36.2''</t>
  </si>
  <si>
    <t>SALVADOR / UBS SAN MARTIN PORTE III</t>
  </si>
  <si>
    <t>12°56'58.6''</t>
  </si>
  <si>
    <t>38°28'44.0''</t>
  </si>
  <si>
    <t>SALVADOR / UBS IMBUÍ PORTE IV</t>
  </si>
  <si>
    <t>12°57'47.7''</t>
  </si>
  <si>
    <t>38°25'46.9''</t>
  </si>
  <si>
    <t>12°59'24.8''</t>
  </si>
  <si>
    <t>38°29'49.5''</t>
  </si>
  <si>
    <t>SALVADOR / UBS PAU MIÚDO PORTE III</t>
  </si>
  <si>
    <t>12°57'30''</t>
  </si>
  <si>
    <t>38°28'51.7''</t>
  </si>
  <si>
    <t>CAMAÇARI I / UBS – PORTE II - BARRA DO JACUIPE</t>
  </si>
  <si>
    <t>12°41'46.9''</t>
  </si>
  <si>
    <t>38°07'39.4''</t>
  </si>
  <si>
    <t>CAMAÇARI II / UBS – PORTE II - VERDE HORIZONTE</t>
  </si>
  <si>
    <t>12°43'49.4''</t>
  </si>
  <si>
    <t>38°19'03.9''</t>
  </si>
  <si>
    <t>12°38'18.8''</t>
  </si>
  <si>
    <t>38°31'57.6''</t>
  </si>
  <si>
    <t>12°36'27.5''</t>
  </si>
  <si>
    <t>38°18'54.8''</t>
  </si>
  <si>
    <t>12°30'53.7''</t>
  </si>
  <si>
    <t>38°29'32.8''</t>
  </si>
  <si>
    <t>SALVADOR / CAPS ADIII (BOCA DO RIO)</t>
  </si>
  <si>
    <t>12°59'18.1''</t>
  </si>
  <si>
    <t>38°26'13.4''</t>
  </si>
  <si>
    <t>12°30'33.3''</t>
  </si>
  <si>
    <t>38°29'23.6''</t>
  </si>
  <si>
    <t>12°44'02.9''</t>
  </si>
  <si>
    <t>38°36'32.7''</t>
  </si>
  <si>
    <t>12°36'40.9''</t>
  </si>
  <si>
    <t>38°40'52.8''</t>
  </si>
  <si>
    <t>12°39'50.2''</t>
  </si>
  <si>
    <t>38°32'43.9''</t>
  </si>
  <si>
    <t>12°42'51.4''</t>
  </si>
  <si>
    <t>38°20'01.4''</t>
  </si>
  <si>
    <t>12°48'44.2''</t>
  </si>
  <si>
    <t>38°23'29.3''</t>
  </si>
  <si>
    <t>DIAS D'ÁVILA / CAPS</t>
  </si>
  <si>
    <t>12°49'46.0''</t>
  </si>
  <si>
    <t>38°23'53.3''</t>
  </si>
  <si>
    <t>FEIRA DE SANTANA / CIAS</t>
  </si>
  <si>
    <t>SALVADOR / CIAS (ESCADA)</t>
  </si>
  <si>
    <t>SALVADOR / CIAS (TANCREDO NEVES)</t>
  </si>
  <si>
    <t>12°56'40.5''</t>
  </si>
  <si>
    <t>38°27'05.6''</t>
  </si>
  <si>
    <t>SANTO ANTÔNIO DE JESUS / CIAS</t>
  </si>
  <si>
    <t>VALENÇA / CIAS</t>
  </si>
  <si>
    <t>ALAGOINHAS / CIAS</t>
  </si>
  <si>
    <t>12°43'08.6''</t>
  </si>
  <si>
    <t>38°18'44.4''</t>
  </si>
  <si>
    <t>12°46'05.2''</t>
  </si>
  <si>
    <t>38°11'05.3</t>
  </si>
  <si>
    <t>12°40'51.7''</t>
  </si>
  <si>
    <t>38°31'45.5''</t>
  </si>
  <si>
    <t>12°44'28.8''</t>
  </si>
  <si>
    <t>38°36'40.9''</t>
  </si>
  <si>
    <t>12°32'51.3''</t>
  </si>
  <si>
    <t>38°17'41.8''</t>
  </si>
  <si>
    <t>12°25'37.2''</t>
  </si>
  <si>
    <t>38°19'44.6''</t>
  </si>
  <si>
    <t>12°29'13.9''</t>
  </si>
  <si>
    <t>38°37'38.1''</t>
  </si>
  <si>
    <t>12°51'13.7''</t>
  </si>
  <si>
    <t>38°20'59.3''</t>
  </si>
  <si>
    <t xml:space="preserve">REFORMA HOSPITAL JOÃO BATISTA CARIBÉ </t>
  </si>
  <si>
    <t>12°50'55.7''</t>
  </si>
  <si>
    <t>38°28'24.2''</t>
  </si>
  <si>
    <t xml:space="preserve">AMPLIAÇÃO HOSPITAL JOÃO BATISTA CARIBÉ </t>
  </si>
  <si>
    <t>REFORMA HOSPITAL ROBERTO SANTOS</t>
  </si>
  <si>
    <t>12°57'17.0''</t>
  </si>
  <si>
    <t>38°27'00.3''</t>
  </si>
  <si>
    <t>AMPLIAÇÃO HOSPITAL ROBERTO SANTOS</t>
  </si>
  <si>
    <t>AQUISIÇÃO DE EQUIPAMENTOS PARA OS HOSPITAIS</t>
  </si>
  <si>
    <t>Em processo</t>
  </si>
  <si>
    <t>Revisão Ex-Post</t>
  </si>
  <si>
    <t>Montante em US$</t>
  </si>
  <si>
    <t>20/07/2017</t>
  </si>
  <si>
    <t>17/01/2018</t>
  </si>
  <si>
    <t>07/08/2017</t>
  </si>
  <si>
    <t>18/01/2018</t>
  </si>
  <si>
    <t>06/02/2018</t>
  </si>
  <si>
    <t>12/02/2018</t>
  </si>
  <si>
    <t>22/02/2018</t>
  </si>
  <si>
    <t>Dias D'Ávila / CAPS I</t>
  </si>
  <si>
    <t>Remanejado para CAPS</t>
  </si>
  <si>
    <t>30/11/2017</t>
  </si>
  <si>
    <t>19/01/2018</t>
  </si>
  <si>
    <t>20/02/2018</t>
  </si>
  <si>
    <t>28/02/2018</t>
  </si>
  <si>
    <t>21/02/2018</t>
  </si>
  <si>
    <t>18/02/2018</t>
  </si>
  <si>
    <t>16/04/2018</t>
  </si>
  <si>
    <t>20/12/2018</t>
  </si>
  <si>
    <t>Salvador CAPS III</t>
  </si>
  <si>
    <t>01/03/2018</t>
  </si>
  <si>
    <t>27/02/2018</t>
  </si>
  <si>
    <t>14/02/2018</t>
  </si>
  <si>
    <t>16/09/2018</t>
  </si>
  <si>
    <t>14/09/2018</t>
  </si>
  <si>
    <t>09/12/2018</t>
  </si>
  <si>
    <t>08/03/2018</t>
  </si>
  <si>
    <t>10/09/2018</t>
  </si>
  <si>
    <t>Categoria Obras</t>
  </si>
  <si>
    <t>Categoria Consultoria - Empresas</t>
  </si>
  <si>
    <t>Categoria Consultoria - Indivíduos </t>
  </si>
  <si>
    <t>Categoria Capacitação</t>
  </si>
  <si>
    <t>Categoria Serviços de Não Consultoria</t>
  </si>
  <si>
    <t>Categoria Bens</t>
  </si>
  <si>
    <t>NO Objeção Documentos</t>
  </si>
  <si>
    <t>NO Objeção Avaliação</t>
  </si>
  <si>
    <t>P.A. - Unidade Executora: 2016-2-SESAB - SESAB</t>
  </si>
  <si>
    <t>Sistema Nacional</t>
  </si>
  <si>
    <t>Contrato Cancelado</t>
  </si>
  <si>
    <t>Versão do Plano de Aquisições: 2018.1</t>
  </si>
  <si>
    <t>04/07/2018</t>
  </si>
  <si>
    <t>17/08/18</t>
  </si>
  <si>
    <t>21/09/18</t>
  </si>
  <si>
    <t>25/09/18</t>
  </si>
  <si>
    <t>06/01/18</t>
  </si>
  <si>
    <t xml:space="preserve"> </t>
  </si>
  <si>
    <t>24/08/2018</t>
  </si>
  <si>
    <t>24/09/2019</t>
  </si>
  <si>
    <t>24/09/2018</t>
  </si>
  <si>
    <t>16/07/2018</t>
  </si>
  <si>
    <t>23/08/2018</t>
  </si>
  <si>
    <t>23/08/2019</t>
  </si>
  <si>
    <t>31/01/2019</t>
  </si>
  <si>
    <t>07/02/2018</t>
  </si>
  <si>
    <t>30/03/02018</t>
  </si>
  <si>
    <t>03/04/2018</t>
  </si>
  <si>
    <t>03/05/2018</t>
  </si>
  <si>
    <t>03/05/2019</t>
  </si>
  <si>
    <t>05/03/2018</t>
  </si>
  <si>
    <t>27/04/2018</t>
  </si>
  <si>
    <t>02/05/2018</t>
  </si>
  <si>
    <t>02/06/2018</t>
  </si>
  <si>
    <t>02/06/2019</t>
  </si>
  <si>
    <t>Data da Última Alteração de Status: 08/02/2018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</si>
</sst>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mm/yy"/>
    <numFmt numFmtId="167" formatCode="#,##0.0000"/>
    <numFmt numFmtId="168" formatCode="_-* #,##0.00_-;\-* #,##0.00_-;_-* \-??_-;_-@_-"/>
    <numFmt numFmtId="169" formatCode="0.000"/>
    <numFmt numFmtId="170" formatCode="_-* #,##0.0000_-;\-* #,##0.0000_-;_-* \-??_-;_-@_-"/>
    <numFmt numFmtId="171" formatCode="_(* #,##0.0000_);_(* \(#,##0.0000\);_(* \-??_);_(@_)"/>
    <numFmt numFmtId="172" formatCode="_(* #,##0.000000000000_);_(* \(#,##0.000000000000\);_(* \-??_);_(@_)"/>
  </numFmts>
  <fonts count="7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53"/>
      <name val="Arial"/>
      <family val="2"/>
    </font>
    <font>
      <sz val="10"/>
      <color indexed="53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u val="single"/>
      <sz val="14"/>
      <color indexed="6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1"/>
      <color indexed="54"/>
      <name val="Calibri"/>
      <family val="2"/>
    </font>
    <font>
      <sz val="10"/>
      <color indexed="53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u val="single"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13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u val="single"/>
      <sz val="11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31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31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0" borderId="3" applyNumberFormat="0" applyFill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3" borderId="1" applyNumberFormat="0" applyAlignment="0" applyProtection="0"/>
    <xf numFmtId="0" fontId="9" fillId="34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6" borderId="0" applyNumberFormat="0" applyBorder="0" applyAlignment="0" applyProtection="0"/>
    <xf numFmtId="0" fontId="66" fillId="37" borderId="0" applyNumberFormat="0" applyBorder="0" applyAlignment="0" applyProtection="0"/>
    <xf numFmtId="0" fontId="0" fillId="38" borderId="4" applyNumberFormat="0" applyFont="0" applyAlignment="0" applyProtection="0"/>
    <xf numFmtId="0" fontId="4" fillId="36" borderId="5" applyNumberFormat="0" applyAlignment="0" applyProtection="0"/>
    <xf numFmtId="9" fontId="0" fillId="0" borderId="0" applyBorder="0" applyProtection="0">
      <alignment/>
    </xf>
    <xf numFmtId="0" fontId="67" fillId="39" borderId="0" applyNumberFormat="0" applyBorder="0" applyAlignment="0" applyProtection="0"/>
    <xf numFmtId="0" fontId="68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164" fontId="0" fillId="0" borderId="0" applyBorder="0" applyProtection="0">
      <alignment/>
    </xf>
    <xf numFmtId="0" fontId="8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76" applyBorder="1" applyProtection="1">
      <alignment/>
      <protection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vertical="top" wrapText="1"/>
    </xf>
    <xf numFmtId="165" fontId="0" fillId="0" borderId="1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165" fontId="0" fillId="0" borderId="17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top" wrapText="1"/>
    </xf>
    <xf numFmtId="165" fontId="0" fillId="0" borderId="19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76" applyNumberFormat="1" applyFont="1" applyBorder="1" applyAlignment="1" applyProtection="1">
      <alignment horizontal="center" vertical="center"/>
      <protection/>
    </xf>
    <xf numFmtId="164" fontId="20" fillId="0" borderId="0" xfId="76" applyFont="1" applyBorder="1" applyProtection="1">
      <alignment/>
      <protection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40" borderId="23" xfId="50" applyNumberFormat="1" applyFont="1" applyFill="1" applyBorder="1" applyAlignment="1" applyProtection="1">
      <alignment horizontal="center" vertical="center" wrapText="1"/>
      <protection/>
    </xf>
    <xf numFmtId="0" fontId="22" fillId="40" borderId="0" xfId="50" applyFont="1" applyFill="1" applyBorder="1" applyAlignment="1" applyProtection="1">
      <alignment horizontal="center" vertical="center" wrapText="1"/>
      <protection/>
    </xf>
    <xf numFmtId="0" fontId="22" fillId="40" borderId="24" xfId="50" applyFont="1" applyFill="1" applyBorder="1" applyAlignment="1" applyProtection="1">
      <alignment horizontal="center" vertical="center" wrapText="1"/>
      <protection/>
    </xf>
    <xf numFmtId="166" fontId="22" fillId="40" borderId="24" xfId="50" applyNumberFormat="1" applyFont="1" applyFill="1" applyBorder="1" applyAlignment="1" applyProtection="1">
      <alignment horizontal="center" vertical="center" wrapText="1"/>
      <protection/>
    </xf>
    <xf numFmtId="0" fontId="19" fillId="40" borderId="25" xfId="0" applyNumberFormat="1" applyFont="1" applyFill="1" applyBorder="1" applyAlignment="1">
      <alignment horizontal="center" vertical="center" wrapText="1"/>
    </xf>
    <xf numFmtId="0" fontId="20" fillId="40" borderId="25" xfId="0" applyFont="1" applyFill="1" applyBorder="1" applyAlignment="1">
      <alignment vertical="top" wrapText="1"/>
    </xf>
    <xf numFmtId="2" fontId="20" fillId="40" borderId="25" xfId="0" applyNumberFormat="1" applyFont="1" applyFill="1" applyBorder="1" applyAlignment="1">
      <alignment vertical="top" wrapText="1"/>
    </xf>
    <xf numFmtId="165" fontId="20" fillId="40" borderId="25" xfId="0" applyNumberFormat="1" applyFont="1" applyFill="1" applyBorder="1" applyAlignment="1">
      <alignment/>
    </xf>
    <xf numFmtId="165" fontId="20" fillId="40" borderId="0" xfId="0" applyNumberFormat="1" applyFont="1" applyFill="1" applyBorder="1" applyAlignment="1">
      <alignment/>
    </xf>
    <xf numFmtId="0" fontId="19" fillId="40" borderId="26" xfId="0" applyNumberFormat="1" applyFont="1" applyFill="1" applyBorder="1" applyAlignment="1">
      <alignment horizontal="center" vertical="center" wrapText="1"/>
    </xf>
    <xf numFmtId="0" fontId="20" fillId="40" borderId="26" xfId="0" applyFont="1" applyFill="1" applyBorder="1" applyAlignment="1">
      <alignment vertical="top" wrapText="1"/>
    </xf>
    <xf numFmtId="165" fontId="20" fillId="40" borderId="26" xfId="0" applyNumberFormat="1" applyFont="1" applyFill="1" applyBorder="1" applyAlignment="1">
      <alignment/>
    </xf>
    <xf numFmtId="0" fontId="22" fillId="40" borderId="23" xfId="50" applyFont="1" applyFill="1" applyBorder="1" applyAlignment="1" applyProtection="1">
      <alignment vertical="center" wrapText="1"/>
      <protection/>
    </xf>
    <xf numFmtId="0" fontId="23" fillId="40" borderId="23" xfId="50" applyFont="1" applyFill="1" applyBorder="1" applyAlignment="1" applyProtection="1">
      <alignment horizontal="center" vertical="center" wrapText="1"/>
      <protection/>
    </xf>
    <xf numFmtId="4" fontId="23" fillId="40" borderId="23" xfId="50" applyNumberFormat="1" applyFont="1" applyFill="1" applyBorder="1" applyAlignment="1" applyProtection="1">
      <alignment horizontal="center" vertical="center" wrapText="1"/>
      <protection/>
    </xf>
    <xf numFmtId="0" fontId="23" fillId="40" borderId="0" xfId="50" applyFont="1" applyFill="1" applyBorder="1" applyAlignment="1" applyProtection="1">
      <alignment horizontal="center" vertical="center" wrapText="1"/>
      <protection/>
    </xf>
    <xf numFmtId="9" fontId="15" fillId="41" borderId="23" xfId="62" applyFont="1" applyFill="1" applyBorder="1" applyAlignment="1" applyProtection="1">
      <alignment horizontal="center" vertical="center"/>
      <protection/>
    </xf>
    <xf numFmtId="4" fontId="19" fillId="42" borderId="0" xfId="0" applyNumberFormat="1" applyFont="1" applyFill="1" applyBorder="1" applyAlignment="1">
      <alignment horizontal="center" vertical="center"/>
    </xf>
    <xf numFmtId="0" fontId="22" fillId="40" borderId="25" xfId="0" applyNumberFormat="1" applyFont="1" applyFill="1" applyBorder="1" applyAlignment="1">
      <alignment horizontal="center" vertical="center" wrapText="1"/>
    </xf>
    <xf numFmtId="0" fontId="22" fillId="40" borderId="25" xfId="0" applyFont="1" applyFill="1" applyBorder="1" applyAlignment="1">
      <alignment horizontal="left" vertical="center" wrapText="1"/>
    </xf>
    <xf numFmtId="0" fontId="20" fillId="40" borderId="25" xfId="0" applyFont="1" applyFill="1" applyBorder="1" applyAlignment="1">
      <alignment vertical="center" wrapText="1"/>
    </xf>
    <xf numFmtId="165" fontId="20" fillId="40" borderId="25" xfId="76" applyNumberFormat="1" applyFont="1" applyFill="1" applyBorder="1" applyAlignment="1" applyProtection="1">
      <alignment vertical="center"/>
      <protection/>
    </xf>
    <xf numFmtId="164" fontId="20" fillId="40" borderId="25" xfId="76" applyNumberFormat="1" applyFont="1" applyFill="1" applyBorder="1" applyAlignment="1" applyProtection="1">
      <alignment vertical="center"/>
      <protection/>
    </xf>
    <xf numFmtId="165" fontId="20" fillId="40" borderId="0" xfId="76" applyNumberFormat="1" applyFont="1" applyFill="1" applyBorder="1" applyAlignment="1" applyProtection="1">
      <alignment vertical="center"/>
      <protection/>
    </xf>
    <xf numFmtId="0" fontId="19" fillId="40" borderId="27" xfId="0" applyNumberFormat="1" applyFont="1" applyFill="1" applyBorder="1" applyAlignment="1">
      <alignment horizontal="center" vertical="center" wrapText="1"/>
    </xf>
    <xf numFmtId="0" fontId="19" fillId="40" borderId="27" xfId="0" applyFont="1" applyFill="1" applyBorder="1" applyAlignment="1">
      <alignment horizontal="left" vertical="center" wrapText="1"/>
    </xf>
    <xf numFmtId="4" fontId="19" fillId="40" borderId="27" xfId="76" applyNumberFormat="1" applyFont="1" applyFill="1" applyBorder="1" applyAlignment="1" applyProtection="1">
      <alignment horizontal="center" vertical="center"/>
      <protection/>
    </xf>
    <xf numFmtId="9" fontId="19" fillId="40" borderId="27" xfId="62" applyFont="1" applyFill="1" applyBorder="1" applyAlignment="1" applyProtection="1">
      <alignment horizontal="center" vertical="center"/>
      <protection/>
    </xf>
    <xf numFmtId="4" fontId="19" fillId="40" borderId="27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19" fillId="0" borderId="27" xfId="76" applyNumberFormat="1" applyFont="1" applyFill="1" applyBorder="1" applyAlignment="1" applyProtection="1">
      <alignment horizontal="center" vertical="center"/>
      <protection/>
    </xf>
    <xf numFmtId="4" fontId="19" fillId="0" borderId="25" xfId="0" applyNumberFormat="1" applyFont="1" applyFill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4" fontId="19" fillId="0" borderId="27" xfId="76" applyNumberFormat="1" applyFont="1" applyBorder="1" applyAlignment="1" applyProtection="1">
      <alignment horizontal="center" vertical="center"/>
      <protection/>
    </xf>
    <xf numFmtId="9" fontId="19" fillId="0" borderId="27" xfId="62" applyFont="1" applyBorder="1" applyAlignment="1" applyProtection="1">
      <alignment horizontal="center" vertical="center"/>
      <protection/>
    </xf>
    <xf numFmtId="4" fontId="19" fillId="0" borderId="27" xfId="0" applyNumberFormat="1" applyFont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0" fontId="22" fillId="40" borderId="27" xfId="0" applyNumberFormat="1" applyFont="1" applyFill="1" applyBorder="1" applyAlignment="1">
      <alignment horizontal="center" vertical="center" wrapText="1"/>
    </xf>
    <xf numFmtId="0" fontId="22" fillId="40" borderId="27" xfId="0" applyFont="1" applyFill="1" applyBorder="1" applyAlignment="1">
      <alignment horizontal="right" vertical="center" wrapText="1"/>
    </xf>
    <xf numFmtId="4" fontId="22" fillId="40" borderId="27" xfId="76" applyNumberFormat="1" applyFont="1" applyFill="1" applyBorder="1" applyAlignment="1" applyProtection="1">
      <alignment horizontal="center" vertical="center"/>
      <protection/>
    </xf>
    <xf numFmtId="9" fontId="22" fillId="40" borderId="27" xfId="62" applyFont="1" applyFill="1" applyBorder="1" applyAlignment="1" applyProtection="1">
      <alignment horizontal="center" vertical="center"/>
      <protection/>
    </xf>
    <xf numFmtId="0" fontId="22" fillId="40" borderId="27" xfId="0" applyFont="1" applyFill="1" applyBorder="1" applyAlignment="1">
      <alignment vertical="center" wrapText="1"/>
    </xf>
    <xf numFmtId="0" fontId="20" fillId="40" borderId="27" xfId="0" applyFont="1" applyFill="1" applyBorder="1" applyAlignment="1">
      <alignment vertical="center" wrapText="1"/>
    </xf>
    <xf numFmtId="165" fontId="20" fillId="40" borderId="27" xfId="76" applyNumberFormat="1" applyFont="1" applyFill="1" applyBorder="1" applyAlignment="1" applyProtection="1">
      <alignment vertical="center"/>
      <protection/>
    </xf>
    <xf numFmtId="0" fontId="22" fillId="40" borderId="26" xfId="0" applyNumberFormat="1" applyFont="1" applyFill="1" applyBorder="1" applyAlignment="1">
      <alignment horizontal="center" vertical="center" wrapText="1"/>
    </xf>
    <xf numFmtId="0" fontId="22" fillId="40" borderId="26" xfId="0" applyFont="1" applyFill="1" applyBorder="1" applyAlignment="1">
      <alignment horizontal="right" vertical="center" wrapText="1"/>
    </xf>
    <xf numFmtId="4" fontId="22" fillId="40" borderId="26" xfId="76" applyNumberFormat="1" applyFont="1" applyFill="1" applyBorder="1" applyAlignment="1" applyProtection="1">
      <alignment horizontal="center" vertical="center"/>
      <protection/>
    </xf>
    <xf numFmtId="9" fontId="22" fillId="40" borderId="26" xfId="62" applyFont="1" applyFill="1" applyBorder="1" applyAlignment="1" applyProtection="1">
      <alignment horizontal="center" vertical="center"/>
      <protection/>
    </xf>
    <xf numFmtId="0" fontId="22" fillId="40" borderId="28" xfId="0" applyNumberFormat="1" applyFont="1" applyFill="1" applyBorder="1" applyAlignment="1">
      <alignment horizontal="center" vertical="center" wrapText="1"/>
    </xf>
    <xf numFmtId="0" fontId="22" fillId="40" borderId="29" xfId="0" applyNumberFormat="1" applyFont="1" applyFill="1" applyBorder="1" applyAlignment="1">
      <alignment horizontal="center" vertical="center" wrapText="1"/>
    </xf>
    <xf numFmtId="0" fontId="22" fillId="40" borderId="23" xfId="0" applyFont="1" applyFill="1" applyBorder="1" applyAlignment="1">
      <alignment vertical="center" wrapText="1"/>
    </xf>
    <xf numFmtId="9" fontId="22" fillId="40" borderId="23" xfId="62" applyFont="1" applyFill="1" applyBorder="1" applyAlignment="1" applyProtection="1">
      <alignment horizontal="center" vertical="center"/>
      <protection/>
    </xf>
    <xf numFmtId="4" fontId="23" fillId="40" borderId="30" xfId="76" applyNumberFormat="1" applyFont="1" applyFill="1" applyBorder="1" applyAlignment="1" applyProtection="1">
      <alignment horizontal="center" vertical="center"/>
      <protection/>
    </xf>
    <xf numFmtId="0" fontId="22" fillId="40" borderId="25" xfId="0" applyFont="1" applyFill="1" applyBorder="1" applyAlignment="1">
      <alignment vertical="center" wrapText="1"/>
    </xf>
    <xf numFmtId="4" fontId="20" fillId="40" borderId="25" xfId="76" applyNumberFormat="1" applyFont="1" applyFill="1" applyBorder="1" applyAlignment="1" applyProtection="1">
      <alignment horizontal="center" vertical="center"/>
      <protection/>
    </xf>
    <xf numFmtId="167" fontId="20" fillId="40" borderId="25" xfId="76" applyNumberFormat="1" applyFont="1" applyFill="1" applyBorder="1" applyAlignment="1" applyProtection="1">
      <alignment horizontal="center" vertical="center"/>
      <protection/>
    </xf>
    <xf numFmtId="0" fontId="19" fillId="40" borderId="27" xfId="0" applyFont="1" applyFill="1" applyBorder="1" applyAlignment="1">
      <alignment vertical="center" wrapText="1"/>
    </xf>
    <xf numFmtId="165" fontId="19" fillId="40" borderId="27" xfId="76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5" fillId="42" borderId="0" xfId="0" applyFont="1" applyFill="1" applyAlignment="1">
      <alignment/>
    </xf>
    <xf numFmtId="4" fontId="25" fillId="42" borderId="0" xfId="0" applyNumberFormat="1" applyFont="1" applyFill="1" applyAlignment="1">
      <alignment/>
    </xf>
    <xf numFmtId="4" fontId="22" fillId="40" borderId="23" xfId="76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2" fillId="40" borderId="31" xfId="50" applyNumberFormat="1" applyFont="1" applyFill="1" applyBorder="1" applyAlignment="1" applyProtection="1">
      <alignment horizontal="center" vertical="center" wrapText="1"/>
      <protection/>
    </xf>
    <xf numFmtId="0" fontId="22" fillId="40" borderId="29" xfId="50" applyNumberFormat="1" applyFont="1" applyFill="1" applyBorder="1" applyAlignment="1" applyProtection="1">
      <alignment horizontal="center" vertical="center" wrapText="1"/>
      <protection/>
    </xf>
    <xf numFmtId="4" fontId="23" fillId="40" borderId="30" xfId="50" applyNumberFormat="1" applyFont="1" applyFill="1" applyBorder="1" applyAlignment="1" applyProtection="1">
      <alignment horizontal="center" vertical="center" wrapText="1"/>
      <protection/>
    </xf>
    <xf numFmtId="168" fontId="20" fillId="0" borderId="0" xfId="0" applyNumberFormat="1" applyFont="1" applyAlignment="1">
      <alignment/>
    </xf>
    <xf numFmtId="0" fontId="22" fillId="40" borderId="32" xfId="50" applyNumberFormat="1" applyFont="1" applyFill="1" applyBorder="1" applyAlignment="1" applyProtection="1">
      <alignment horizontal="center" vertical="center" wrapText="1"/>
      <protection/>
    </xf>
    <xf numFmtId="0" fontId="22" fillId="40" borderId="32" xfId="50" applyFont="1" applyFill="1" applyBorder="1" applyAlignment="1" applyProtection="1">
      <alignment vertical="center" wrapText="1"/>
      <protection/>
    </xf>
    <xf numFmtId="0" fontId="23" fillId="40" borderId="32" xfId="50" applyFont="1" applyFill="1" applyBorder="1" applyAlignment="1" applyProtection="1">
      <alignment horizontal="center" vertical="center" wrapText="1"/>
      <protection/>
    </xf>
    <xf numFmtId="4" fontId="23" fillId="40" borderId="32" xfId="50" applyNumberFormat="1" applyFont="1" applyFill="1" applyBorder="1" applyAlignment="1" applyProtection="1">
      <alignment horizontal="center" vertical="center" wrapText="1"/>
      <protection/>
    </xf>
    <xf numFmtId="0" fontId="19" fillId="40" borderId="25" xfId="0" applyFont="1" applyFill="1" applyBorder="1" applyAlignment="1">
      <alignment horizontal="left" vertical="center" wrapText="1"/>
    </xf>
    <xf numFmtId="4" fontId="19" fillId="0" borderId="25" xfId="76" applyNumberFormat="1" applyFont="1" applyBorder="1" applyAlignment="1" applyProtection="1">
      <alignment horizontal="center" vertical="center"/>
      <protection/>
    </xf>
    <xf numFmtId="4" fontId="19" fillId="42" borderId="27" xfId="76" applyNumberFormat="1" applyFont="1" applyFill="1" applyBorder="1" applyAlignment="1" applyProtection="1">
      <alignment horizontal="center" vertical="center"/>
      <protection/>
    </xf>
    <xf numFmtId="9" fontId="19" fillId="0" borderId="25" xfId="62" applyFont="1" applyFill="1" applyBorder="1" applyAlignment="1" applyProtection="1">
      <alignment horizontal="center" vertical="center"/>
      <protection/>
    </xf>
    <xf numFmtId="9" fontId="19" fillId="0" borderId="25" xfId="62" applyFont="1" applyBorder="1" applyAlignment="1" applyProtection="1">
      <alignment horizontal="center" vertical="center"/>
      <protection/>
    </xf>
    <xf numFmtId="0" fontId="19" fillId="41" borderId="25" xfId="0" applyNumberFormat="1" applyFont="1" applyFill="1" applyBorder="1" applyAlignment="1">
      <alignment horizontal="center" vertical="center" wrapText="1"/>
    </xf>
    <xf numFmtId="0" fontId="22" fillId="41" borderId="27" xfId="0" applyFont="1" applyFill="1" applyBorder="1" applyAlignment="1">
      <alignment horizontal="right" vertical="center" wrapText="1"/>
    </xf>
    <xf numFmtId="4" fontId="22" fillId="41" borderId="25" xfId="76" applyNumberFormat="1" applyFont="1" applyFill="1" applyBorder="1" applyAlignment="1" applyProtection="1">
      <alignment horizontal="center" vertical="center"/>
      <protection/>
    </xf>
    <xf numFmtId="9" fontId="19" fillId="41" borderId="25" xfId="62" applyFont="1" applyFill="1" applyBorder="1" applyAlignment="1" applyProtection="1">
      <alignment horizontal="center" vertical="center"/>
      <protection/>
    </xf>
    <xf numFmtId="169" fontId="23" fillId="40" borderId="32" xfId="50" applyNumberFormat="1" applyFont="1" applyFill="1" applyBorder="1" applyAlignment="1" applyProtection="1">
      <alignment horizontal="center" vertical="center" wrapText="1"/>
      <protection/>
    </xf>
    <xf numFmtId="0" fontId="22" fillId="41" borderId="27" xfId="0" applyNumberFormat="1" applyFont="1" applyFill="1" applyBorder="1" applyAlignment="1">
      <alignment horizontal="center" vertical="center" wrapText="1"/>
    </xf>
    <xf numFmtId="4" fontId="22" fillId="41" borderId="27" xfId="76" applyNumberFormat="1" applyFont="1" applyFill="1" applyBorder="1" applyAlignment="1" applyProtection="1">
      <alignment horizontal="center" vertical="center"/>
      <protection/>
    </xf>
    <xf numFmtId="9" fontId="22" fillId="41" borderId="27" xfId="62" applyFont="1" applyFill="1" applyBorder="1" applyAlignment="1" applyProtection="1">
      <alignment horizontal="center" vertical="center"/>
      <protection/>
    </xf>
    <xf numFmtId="0" fontId="22" fillId="41" borderId="27" xfId="0" applyFont="1" applyFill="1" applyBorder="1" applyAlignment="1">
      <alignment horizontal="left" vertical="center" wrapText="1"/>
    </xf>
    <xf numFmtId="0" fontId="19" fillId="41" borderId="27" xfId="0" applyFont="1" applyFill="1" applyBorder="1" applyAlignment="1">
      <alignment vertical="center" wrapText="1"/>
    </xf>
    <xf numFmtId="165" fontId="19" fillId="41" borderId="27" xfId="76" applyNumberFormat="1" applyFont="1" applyFill="1" applyBorder="1" applyAlignment="1" applyProtection="1">
      <alignment vertical="center"/>
      <protection/>
    </xf>
    <xf numFmtId="0" fontId="19" fillId="42" borderId="27" xfId="0" applyFont="1" applyFill="1" applyBorder="1" applyAlignment="1">
      <alignment horizontal="left" vertical="center" wrapText="1"/>
    </xf>
    <xf numFmtId="170" fontId="20" fillId="0" borderId="0" xfId="0" applyNumberFormat="1" applyFont="1" applyAlignment="1">
      <alignment/>
    </xf>
    <xf numFmtId="3" fontId="19" fillId="0" borderId="27" xfId="0" applyNumberFormat="1" applyFont="1" applyBorder="1" applyAlignment="1">
      <alignment horizontal="center" vertical="center" wrapText="1"/>
    </xf>
    <xf numFmtId="0" fontId="22" fillId="41" borderId="25" xfId="0" applyNumberFormat="1" applyFont="1" applyFill="1" applyBorder="1" applyAlignment="1">
      <alignment horizontal="center" vertical="center" wrapText="1"/>
    </xf>
    <xf numFmtId="9" fontId="22" fillId="41" borderId="25" xfId="62" applyFont="1" applyFill="1" applyBorder="1" applyAlignment="1" applyProtection="1">
      <alignment horizontal="center" vertical="center"/>
      <protection/>
    </xf>
    <xf numFmtId="9" fontId="15" fillId="40" borderId="23" xfId="62" applyFont="1" applyFill="1" applyBorder="1" applyAlignment="1" applyProtection="1">
      <alignment horizontal="center" vertical="center"/>
      <protection/>
    </xf>
    <xf numFmtId="9" fontId="15" fillId="40" borderId="23" xfId="62" applyNumberFormat="1" applyFont="1" applyFill="1" applyBorder="1" applyAlignment="1" applyProtection="1">
      <alignment horizontal="center" vertical="center"/>
      <protection/>
    </xf>
    <xf numFmtId="0" fontId="22" fillId="41" borderId="25" xfId="0" applyFont="1" applyFill="1" applyBorder="1" applyAlignment="1">
      <alignment horizontal="left" vertical="center" wrapText="1"/>
    </xf>
    <xf numFmtId="0" fontId="19" fillId="41" borderId="25" xfId="0" applyFont="1" applyFill="1" applyBorder="1" applyAlignment="1">
      <alignment vertical="center" wrapText="1"/>
    </xf>
    <xf numFmtId="165" fontId="19" fillId="41" borderId="25" xfId="76" applyNumberFormat="1" applyFont="1" applyFill="1" applyBorder="1" applyAlignment="1" applyProtection="1">
      <alignment vertical="center"/>
      <protection/>
    </xf>
    <xf numFmtId="164" fontId="19" fillId="41" borderId="25" xfId="76" applyNumberFormat="1" applyFont="1" applyFill="1" applyBorder="1" applyAlignment="1" applyProtection="1">
      <alignment vertical="center"/>
      <protection/>
    </xf>
    <xf numFmtId="164" fontId="19" fillId="41" borderId="27" xfId="76" applyNumberFormat="1" applyFont="1" applyFill="1" applyBorder="1" applyAlignment="1" applyProtection="1">
      <alignment vertical="center"/>
      <protection/>
    </xf>
    <xf numFmtId="0" fontId="19" fillId="0" borderId="27" xfId="0" applyFont="1" applyFill="1" applyBorder="1" applyAlignment="1">
      <alignment horizontal="left" vertical="center" wrapText="1"/>
    </xf>
    <xf numFmtId="3" fontId="22" fillId="41" borderId="27" xfId="76" applyNumberFormat="1" applyFont="1" applyFill="1" applyBorder="1" applyAlignment="1" applyProtection="1">
      <alignment horizontal="center" vertical="center"/>
      <protection/>
    </xf>
    <xf numFmtId="9" fontId="19" fillId="41" borderId="27" xfId="62" applyFont="1" applyFill="1" applyBorder="1" applyAlignment="1" applyProtection="1">
      <alignment horizontal="center" vertical="center"/>
      <protection/>
    </xf>
    <xf numFmtId="0" fontId="22" fillId="41" borderId="26" xfId="0" applyFont="1" applyFill="1" applyBorder="1" applyAlignment="1">
      <alignment horizontal="right" vertical="center" wrapText="1"/>
    </xf>
    <xf numFmtId="0" fontId="22" fillId="41" borderId="24" xfId="0" applyFont="1" applyFill="1" applyBorder="1" applyAlignment="1">
      <alignment horizontal="left" vertical="center" wrapText="1"/>
    </xf>
    <xf numFmtId="9" fontId="22" fillId="41" borderId="24" xfId="62" applyFont="1" applyFill="1" applyBorder="1" applyAlignment="1" applyProtection="1">
      <alignment horizontal="center" vertical="center"/>
      <protection/>
    </xf>
    <xf numFmtId="9" fontId="22" fillId="41" borderId="24" xfId="62" applyNumberFormat="1" applyFont="1" applyFill="1" applyBorder="1" applyAlignment="1" applyProtection="1">
      <alignment horizontal="center" vertical="center"/>
      <protection/>
    </xf>
    <xf numFmtId="4" fontId="22" fillId="41" borderId="24" xfId="76" applyNumberFormat="1" applyFont="1" applyFill="1" applyBorder="1" applyAlignment="1" applyProtection="1">
      <alignment horizontal="center" vertical="center"/>
      <protection/>
    </xf>
    <xf numFmtId="0" fontId="22" fillId="41" borderId="23" xfId="50" applyNumberFormat="1" applyFont="1" applyFill="1" applyBorder="1" applyAlignment="1" applyProtection="1">
      <alignment horizontal="center" vertical="center" wrapText="1"/>
      <protection/>
    </xf>
    <xf numFmtId="0" fontId="22" fillId="41" borderId="23" xfId="50" applyFont="1" applyFill="1" applyBorder="1" applyAlignment="1" applyProtection="1">
      <alignment vertical="center" wrapText="1"/>
      <protection/>
    </xf>
    <xf numFmtId="0" fontId="23" fillId="41" borderId="23" xfId="50" applyFont="1" applyFill="1" applyBorder="1" applyAlignment="1" applyProtection="1">
      <alignment horizontal="center" vertical="center" wrapText="1"/>
      <protection/>
    </xf>
    <xf numFmtId="4" fontId="23" fillId="41" borderId="23" xfId="50" applyNumberFormat="1" applyFont="1" applyFill="1" applyBorder="1" applyAlignment="1" applyProtection="1">
      <alignment horizontal="center" vertical="center" wrapText="1"/>
      <protection/>
    </xf>
    <xf numFmtId="0" fontId="22" fillId="41" borderId="32" xfId="0" applyNumberFormat="1" applyFont="1" applyFill="1" applyBorder="1" applyAlignment="1">
      <alignment horizontal="center" vertical="center" wrapText="1"/>
    </xf>
    <xf numFmtId="0" fontId="22" fillId="41" borderId="32" xfId="0" applyFont="1" applyFill="1" applyBorder="1" applyAlignment="1">
      <alignment horizontal="left" vertical="center" wrapText="1"/>
    </xf>
    <xf numFmtId="3" fontId="22" fillId="41" borderId="32" xfId="76" applyNumberFormat="1" applyFont="1" applyFill="1" applyBorder="1" applyAlignment="1" applyProtection="1">
      <alignment horizontal="center" vertical="center"/>
      <protection/>
    </xf>
    <xf numFmtId="4" fontId="22" fillId="41" borderId="32" xfId="76" applyNumberFormat="1" applyFont="1" applyFill="1" applyBorder="1" applyAlignment="1" applyProtection="1">
      <alignment horizontal="center" vertical="center"/>
      <protection/>
    </xf>
    <xf numFmtId="9" fontId="22" fillId="41" borderId="32" xfId="62" applyFont="1" applyFill="1" applyBorder="1" applyAlignment="1" applyProtection="1">
      <alignment horizontal="center" vertical="center"/>
      <protection/>
    </xf>
    <xf numFmtId="9" fontId="19" fillId="41" borderId="32" xfId="62" applyFont="1" applyFill="1" applyBorder="1" applyAlignment="1" applyProtection="1">
      <alignment horizontal="center" vertical="center"/>
      <protection/>
    </xf>
    <xf numFmtId="0" fontId="22" fillId="41" borderId="24" xfId="0" applyFont="1" applyFill="1" applyBorder="1" applyAlignment="1">
      <alignment vertical="center" wrapText="1"/>
    </xf>
    <xf numFmtId="4" fontId="22" fillId="42" borderId="24" xfId="76" applyNumberFormat="1" applyFont="1" applyFill="1" applyBorder="1" applyAlignment="1" applyProtection="1">
      <alignment horizontal="center" vertical="center"/>
      <protection/>
    </xf>
    <xf numFmtId="0" fontId="22" fillId="41" borderId="32" xfId="50" applyNumberFormat="1" applyFont="1" applyFill="1" applyBorder="1" applyAlignment="1" applyProtection="1">
      <alignment horizontal="center" vertical="center" wrapText="1"/>
      <protection/>
    </xf>
    <xf numFmtId="0" fontId="22" fillId="41" borderId="32" xfId="50" applyFont="1" applyFill="1" applyBorder="1" applyAlignment="1" applyProtection="1">
      <alignment vertical="center" wrapText="1"/>
      <protection/>
    </xf>
    <xf numFmtId="4" fontId="22" fillId="41" borderId="32" xfId="50" applyNumberFormat="1" applyFont="1" applyFill="1" applyBorder="1" applyAlignment="1" applyProtection="1">
      <alignment horizontal="center" vertical="center" wrapText="1"/>
      <protection/>
    </xf>
    <xf numFmtId="4" fontId="22" fillId="42" borderId="32" xfId="50" applyNumberFormat="1" applyFont="1" applyFill="1" applyBorder="1" applyAlignment="1" applyProtection="1">
      <alignment horizontal="center" vertical="center" wrapText="1"/>
      <protection/>
    </xf>
    <xf numFmtId="1" fontId="18" fillId="0" borderId="27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vertical="center"/>
    </xf>
    <xf numFmtId="4" fontId="20" fillId="0" borderId="27" xfId="0" applyNumberFormat="1" applyFont="1" applyBorder="1" applyAlignment="1">
      <alignment/>
    </xf>
    <xf numFmtId="164" fontId="26" fillId="0" borderId="0" xfId="76" applyFont="1" applyBorder="1" applyProtection="1">
      <alignment/>
      <protection/>
    </xf>
    <xf numFmtId="171" fontId="20" fillId="0" borderId="0" xfId="76" applyNumberFormat="1" applyFont="1" applyBorder="1" applyProtection="1">
      <alignment/>
      <protection/>
    </xf>
    <xf numFmtId="172" fontId="20" fillId="0" borderId="0" xfId="76" applyNumberFormat="1" applyFont="1" applyBorder="1" applyProtection="1">
      <alignment/>
      <protection/>
    </xf>
    <xf numFmtId="4" fontId="18" fillId="0" borderId="27" xfId="76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0" fontId="27" fillId="0" borderId="0" xfId="76" applyNumberFormat="1" applyFont="1" applyBorder="1" applyAlignment="1" applyProtection="1">
      <alignment horizontal="center" vertical="center"/>
      <protection/>
    </xf>
    <xf numFmtId="164" fontId="27" fillId="0" borderId="0" xfId="76" applyFont="1" applyBorder="1" applyAlignment="1" applyProtection="1">
      <alignment horizontal="left"/>
      <protection/>
    </xf>
    <xf numFmtId="0" fontId="28" fillId="0" borderId="0" xfId="0" applyFont="1" applyFill="1" applyBorder="1" applyAlignment="1">
      <alignment vertical="center" wrapText="1"/>
    </xf>
    <xf numFmtId="0" fontId="28" fillId="43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42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44" borderId="33" xfId="0" applyFont="1" applyFill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30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7" fillId="40" borderId="25" xfId="0" applyNumberFormat="1" applyFont="1" applyFill="1" applyBorder="1" applyAlignment="1">
      <alignment horizontal="center" vertical="center" wrapText="1"/>
    </xf>
    <xf numFmtId="0" fontId="27" fillId="40" borderId="38" xfId="0" applyFont="1" applyFill="1" applyBorder="1" applyAlignment="1">
      <alignment horizontal="left" vertical="top" wrapText="1"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7" fillId="40" borderId="26" xfId="0" applyNumberFormat="1" applyFont="1" applyFill="1" applyBorder="1" applyAlignment="1">
      <alignment horizontal="center" vertical="center" wrapText="1"/>
    </xf>
    <xf numFmtId="0" fontId="27" fillId="40" borderId="39" xfId="0" applyFont="1" applyFill="1" applyBorder="1" applyAlignment="1">
      <alignment horizontal="left" vertical="top" wrapText="1"/>
    </xf>
    <xf numFmtId="0" fontId="22" fillId="40" borderId="40" xfId="50" applyFont="1" applyFill="1" applyBorder="1" applyAlignment="1" applyProtection="1">
      <alignment horizontal="left" vertical="center" wrapText="1"/>
      <protection/>
    </xf>
    <xf numFmtId="0" fontId="22" fillId="40" borderId="41" xfId="50" applyNumberFormat="1" applyFont="1" applyFill="1" applyBorder="1" applyAlignment="1" applyProtection="1">
      <alignment horizontal="center" vertical="center" wrapText="1"/>
      <protection/>
    </xf>
    <xf numFmtId="0" fontId="22" fillId="40" borderId="42" xfId="50" applyFont="1" applyFill="1" applyBorder="1" applyAlignment="1" applyProtection="1">
      <alignment horizontal="left" vertical="center" wrapText="1"/>
      <protection/>
    </xf>
    <xf numFmtId="0" fontId="22" fillId="40" borderId="42" xfId="50" applyNumberFormat="1" applyFont="1" applyFill="1" applyBorder="1" applyAlignment="1" applyProtection="1">
      <alignment horizontal="center" vertical="center" wrapText="1"/>
      <protection/>
    </xf>
    <xf numFmtId="0" fontId="22" fillId="40" borderId="43" xfId="50" applyFont="1" applyFill="1" applyBorder="1" applyAlignment="1" applyProtection="1">
      <alignment horizontal="left" vertical="center" wrapText="1"/>
      <protection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7" fillId="42" borderId="35" xfId="0" applyFont="1" applyFill="1" applyBorder="1" applyAlignment="1">
      <alignment/>
    </xf>
    <xf numFmtId="0" fontId="27" fillId="42" borderId="36" xfId="0" applyFont="1" applyFill="1" applyBorder="1" applyAlignment="1">
      <alignment/>
    </xf>
    <xf numFmtId="0" fontId="27" fillId="44" borderId="36" xfId="0" applyFont="1" applyFill="1" applyBorder="1" applyAlignment="1">
      <alignment/>
    </xf>
    <xf numFmtId="0" fontId="27" fillId="44" borderId="37" xfId="0" applyFont="1" applyFill="1" applyBorder="1" applyAlignment="1">
      <alignment/>
    </xf>
    <xf numFmtId="0" fontId="27" fillId="44" borderId="35" xfId="0" applyFont="1" applyFill="1" applyBorder="1" applyAlignment="1">
      <alignment/>
    </xf>
    <xf numFmtId="4" fontId="27" fillId="0" borderId="47" xfId="0" applyNumberFormat="1" applyFont="1" applyBorder="1" applyAlignment="1">
      <alignment/>
    </xf>
    <xf numFmtId="4" fontId="27" fillId="0" borderId="48" xfId="0" applyNumberFormat="1" applyFont="1" applyBorder="1" applyAlignment="1">
      <alignment/>
    </xf>
    <xf numFmtId="4" fontId="27" fillId="0" borderId="49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0" fontId="27" fillId="43" borderId="35" xfId="0" applyFont="1" applyFill="1" applyBorder="1" applyAlignment="1">
      <alignment/>
    </xf>
    <xf numFmtId="0" fontId="27" fillId="43" borderId="36" xfId="0" applyFont="1" applyFill="1" applyBorder="1" applyAlignment="1">
      <alignment/>
    </xf>
    <xf numFmtId="0" fontId="31" fillId="44" borderId="36" xfId="0" applyFont="1" applyFill="1" applyBorder="1" applyAlignment="1">
      <alignment/>
    </xf>
    <xf numFmtId="0" fontId="31" fillId="44" borderId="37" xfId="0" applyFont="1" applyFill="1" applyBorder="1" applyAlignment="1">
      <alignment/>
    </xf>
    <xf numFmtId="0" fontId="31" fillId="44" borderId="35" xfId="0" applyFont="1" applyFill="1" applyBorder="1" applyAlignment="1">
      <alignment/>
    </xf>
    <xf numFmtId="0" fontId="32" fillId="0" borderId="36" xfId="0" applyFont="1" applyBorder="1" applyAlignment="1">
      <alignment/>
    </xf>
    <xf numFmtId="0" fontId="27" fillId="42" borderId="37" xfId="0" applyFont="1" applyFill="1" applyBorder="1" applyAlignment="1">
      <alignment/>
    </xf>
    <xf numFmtId="0" fontId="27" fillId="43" borderId="37" xfId="0" applyFont="1" applyFill="1" applyBorder="1" applyAlignment="1">
      <alignment/>
    </xf>
    <xf numFmtId="0" fontId="22" fillId="0" borderId="35" xfId="50" applyNumberFormat="1" applyFont="1" applyFill="1" applyBorder="1" applyAlignment="1" applyProtection="1">
      <alignment horizontal="center" vertical="center" wrapText="1"/>
      <protection/>
    </xf>
    <xf numFmtId="0" fontId="22" fillId="0" borderId="36" xfId="50" applyFont="1" applyFill="1" applyBorder="1" applyAlignment="1" applyProtection="1">
      <alignment horizontal="left" vertical="center" wrapText="1"/>
      <protection/>
    </xf>
    <xf numFmtId="0" fontId="22" fillId="0" borderId="36" xfId="50" applyNumberFormat="1" applyFont="1" applyFill="1" applyBorder="1" applyAlignment="1" applyProtection="1">
      <alignment horizontal="center" vertical="center" wrapText="1"/>
      <protection/>
    </xf>
    <xf numFmtId="0" fontId="22" fillId="0" borderId="37" xfId="50" applyFont="1" applyFill="1" applyBorder="1" applyAlignment="1" applyProtection="1">
      <alignment horizontal="left" vertical="center" wrapText="1"/>
      <protection/>
    </xf>
    <xf numFmtId="0" fontId="27" fillId="0" borderId="0" xfId="0" applyFont="1" applyBorder="1" applyAlignment="1">
      <alignment/>
    </xf>
    <xf numFmtId="4" fontId="27" fillId="0" borderId="35" xfId="0" applyNumberFormat="1" applyFont="1" applyFill="1" applyBorder="1" applyAlignment="1">
      <alignment horizontal="center" vertical="center"/>
    </xf>
    <xf numFmtId="4" fontId="27" fillId="0" borderId="36" xfId="0" applyNumberFormat="1" applyFont="1" applyFill="1" applyBorder="1" applyAlignment="1">
      <alignment horizontal="center" vertical="center"/>
    </xf>
    <xf numFmtId="4" fontId="27" fillId="0" borderId="37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4" fontId="27" fillId="43" borderId="35" xfId="0" applyNumberFormat="1" applyFont="1" applyFill="1" applyBorder="1" applyAlignment="1">
      <alignment horizontal="center" vertical="center"/>
    </xf>
    <xf numFmtId="4" fontId="27" fillId="43" borderId="36" xfId="0" applyNumberFormat="1" applyFont="1" applyFill="1" applyBorder="1" applyAlignment="1">
      <alignment horizontal="center" vertical="center"/>
    </xf>
    <xf numFmtId="4" fontId="27" fillId="42" borderId="37" xfId="0" applyNumberFormat="1" applyFont="1" applyFill="1" applyBorder="1" applyAlignment="1">
      <alignment horizontal="center" vertical="center"/>
    </xf>
    <xf numFmtId="4" fontId="27" fillId="42" borderId="35" xfId="0" applyNumberFormat="1" applyFont="1" applyFill="1" applyBorder="1" applyAlignment="1">
      <alignment horizontal="center" vertical="center"/>
    </xf>
    <xf numFmtId="4" fontId="27" fillId="42" borderId="36" xfId="0" applyNumberFormat="1" applyFont="1" applyFill="1" applyBorder="1" applyAlignment="1">
      <alignment horizontal="center" vertical="center"/>
    </xf>
    <xf numFmtId="4" fontId="27" fillId="44" borderId="36" xfId="0" applyNumberFormat="1" applyFont="1" applyFill="1" applyBorder="1" applyAlignment="1">
      <alignment horizontal="center" vertical="center"/>
    </xf>
    <xf numFmtId="4" fontId="27" fillId="44" borderId="37" xfId="0" applyNumberFormat="1" applyFont="1" applyFill="1" applyBorder="1" applyAlignment="1">
      <alignment horizontal="center" vertical="center"/>
    </xf>
    <xf numFmtId="4" fontId="27" fillId="44" borderId="35" xfId="0" applyNumberFormat="1" applyFont="1" applyFill="1" applyBorder="1" applyAlignment="1">
      <alignment horizontal="center" vertical="center"/>
    </xf>
    <xf numFmtId="4" fontId="27" fillId="43" borderId="37" xfId="0" applyNumberFormat="1" applyFont="1" applyFill="1" applyBorder="1" applyAlignment="1">
      <alignment horizontal="center" vertical="center"/>
    </xf>
    <xf numFmtId="0" fontId="22" fillId="40" borderId="35" xfId="50" applyNumberFormat="1" applyFont="1" applyFill="1" applyBorder="1" applyAlignment="1" applyProtection="1">
      <alignment horizontal="center" vertical="center" wrapText="1"/>
      <protection/>
    </xf>
    <xf numFmtId="0" fontId="22" fillId="40" borderId="36" xfId="50" applyFont="1" applyFill="1" applyBorder="1" applyAlignment="1" applyProtection="1">
      <alignment horizontal="left" vertical="center" wrapText="1"/>
      <protection/>
    </xf>
    <xf numFmtId="0" fontId="22" fillId="40" borderId="36" xfId="50" applyNumberFormat="1" applyFont="1" applyFill="1" applyBorder="1" applyAlignment="1" applyProtection="1">
      <alignment horizontal="center" vertical="center" wrapText="1"/>
      <protection/>
    </xf>
    <xf numFmtId="0" fontId="22" fillId="40" borderId="37" xfId="50" applyFont="1" applyFill="1" applyBorder="1" applyAlignment="1" applyProtection="1">
      <alignment horizontal="left" vertical="center" wrapText="1"/>
      <protection/>
    </xf>
    <xf numFmtId="0" fontId="22" fillId="44" borderId="36" xfId="50" applyNumberFormat="1" applyFont="1" applyFill="1" applyBorder="1" applyAlignment="1" applyProtection="1">
      <alignment horizontal="center" vertical="center" wrapText="1"/>
      <protection/>
    </xf>
    <xf numFmtId="0" fontId="22" fillId="44" borderId="36" xfId="50" applyFont="1" applyFill="1" applyBorder="1" applyAlignment="1" applyProtection="1">
      <alignment horizontal="left" vertical="center" wrapText="1"/>
      <protection/>
    </xf>
    <xf numFmtId="0" fontId="22" fillId="44" borderId="37" xfId="50" applyFont="1" applyFill="1" applyBorder="1" applyAlignment="1" applyProtection="1">
      <alignment horizontal="left" vertical="center" wrapText="1"/>
      <protection/>
    </xf>
    <xf numFmtId="0" fontId="22" fillId="44" borderId="35" xfId="50" applyNumberFormat="1" applyFont="1" applyFill="1" applyBorder="1" applyAlignment="1" applyProtection="1">
      <alignment horizontal="center" vertical="center" wrapText="1"/>
      <protection/>
    </xf>
    <xf numFmtId="4" fontId="27" fillId="0" borderId="50" xfId="0" applyNumberFormat="1" applyFont="1" applyBorder="1" applyAlignment="1">
      <alignment/>
    </xf>
    <xf numFmtId="4" fontId="27" fillId="0" borderId="51" xfId="0" applyNumberFormat="1" applyFont="1" applyBorder="1" applyAlignment="1">
      <alignment/>
    </xf>
    <xf numFmtId="4" fontId="27" fillId="0" borderId="52" xfId="0" applyNumberFormat="1" applyFont="1" applyBorder="1" applyAlignment="1">
      <alignment/>
    </xf>
    <xf numFmtId="4" fontId="30" fillId="0" borderId="34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/>
    </xf>
    <xf numFmtId="0" fontId="20" fillId="0" borderId="27" xfId="0" applyFont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 vertical="center"/>
    </xf>
    <xf numFmtId="4" fontId="23" fillId="40" borderId="27" xfId="50" applyNumberFormat="1" applyFont="1" applyFill="1" applyBorder="1" applyAlignment="1" applyProtection="1">
      <alignment horizontal="center" vertical="center" wrapText="1"/>
      <protection/>
    </xf>
    <xf numFmtId="4" fontId="20" fillId="40" borderId="27" xfId="76" applyNumberFormat="1" applyFont="1" applyFill="1" applyBorder="1" applyAlignment="1" applyProtection="1">
      <alignment horizontal="center" vertical="center"/>
      <protection/>
    </xf>
    <xf numFmtId="0" fontId="22" fillId="40" borderId="26" xfId="0" applyFont="1" applyFill="1" applyBorder="1" applyAlignment="1">
      <alignment vertical="center" wrapText="1"/>
    </xf>
    <xf numFmtId="4" fontId="22" fillId="42" borderId="27" xfId="76" applyNumberFormat="1" applyFont="1" applyFill="1" applyBorder="1" applyAlignment="1" applyProtection="1">
      <alignment horizontal="center" vertical="center"/>
      <protection/>
    </xf>
    <xf numFmtId="4" fontId="22" fillId="40" borderId="26" xfId="62" applyNumberFormat="1" applyFont="1" applyFill="1" applyBorder="1" applyAlignment="1" applyProtection="1">
      <alignment horizontal="center" vertical="center"/>
      <protection/>
    </xf>
    <xf numFmtId="9" fontId="15" fillId="40" borderId="32" xfId="62" applyFont="1" applyFill="1" applyBorder="1" applyAlignment="1" applyProtection="1">
      <alignment horizontal="center" vertical="center"/>
      <protection/>
    </xf>
    <xf numFmtId="9" fontId="15" fillId="40" borderId="32" xfId="62" applyNumberFormat="1" applyFont="1" applyFill="1" applyBorder="1" applyAlignment="1" applyProtection="1">
      <alignment horizontal="center" vertical="center"/>
      <protection/>
    </xf>
    <xf numFmtId="3" fontId="22" fillId="41" borderId="24" xfId="76" applyNumberFormat="1" applyFont="1" applyFill="1" applyBorder="1" applyAlignment="1" applyProtection="1">
      <alignment horizontal="center" vertical="center"/>
      <protection/>
    </xf>
    <xf numFmtId="3" fontId="22" fillId="41" borderId="32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36" fillId="0" borderId="53" xfId="0" applyFont="1" applyFill="1" applyBorder="1" applyAlignment="1">
      <alignment horizontal="left" vertical="center"/>
    </xf>
    <xf numFmtId="0" fontId="36" fillId="0" borderId="54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4" fontId="0" fillId="0" borderId="55" xfId="0" applyNumberFormat="1" applyFont="1" applyFill="1" applyBorder="1" applyAlignment="1">
      <alignment horizontal="center" vertical="center"/>
    </xf>
    <xf numFmtId="14" fontId="0" fillId="0" borderId="55" xfId="0" applyNumberFormat="1" applyFont="1" applyFill="1" applyBorder="1" applyAlignment="1">
      <alignment horizontal="center" vertical="center"/>
    </xf>
    <xf numFmtId="4" fontId="15" fillId="0" borderId="55" xfId="0" applyNumberFormat="1" applyFont="1" applyFill="1" applyBorder="1" applyAlignment="1">
      <alignment horizontal="right" vertical="center"/>
    </xf>
    <xf numFmtId="14" fontId="17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left" vertical="center" wrapText="1"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0" fillId="40" borderId="0" xfId="0" applyFill="1" applyAlignment="1">
      <alignment vertical="center"/>
    </xf>
    <xf numFmtId="0" fontId="38" fillId="0" borderId="5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 wrapText="1"/>
    </xf>
    <xf numFmtId="4" fontId="36" fillId="0" borderId="55" xfId="0" applyNumberFormat="1" applyFont="1" applyFill="1" applyBorder="1" applyAlignment="1">
      <alignment horizontal="right" vertical="center"/>
    </xf>
    <xf numFmtId="49" fontId="36" fillId="0" borderId="55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 wrapText="1"/>
    </xf>
    <xf numFmtId="0" fontId="37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4" fontId="15" fillId="0" borderId="55" xfId="0" applyNumberFormat="1" applyFont="1" applyFill="1" applyBorder="1" applyAlignment="1">
      <alignment vertical="center"/>
    </xf>
    <xf numFmtId="0" fontId="38" fillId="0" borderId="6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4" fontId="15" fillId="0" borderId="56" xfId="0" applyNumberFormat="1" applyFont="1" applyFill="1" applyBorder="1" applyAlignment="1">
      <alignment vertical="center"/>
    </xf>
    <xf numFmtId="0" fontId="14" fillId="40" borderId="0" xfId="0" applyFont="1" applyFill="1" applyAlignment="1">
      <alignment vertical="center"/>
    </xf>
    <xf numFmtId="0" fontId="36" fillId="0" borderId="62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63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49" fontId="36" fillId="0" borderId="56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39" fillId="0" borderId="5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Fill="1" applyAlignment="1">
      <alignment horizontal="right"/>
    </xf>
    <xf numFmtId="0" fontId="38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67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4" fontId="36" fillId="0" borderId="55" xfId="0" applyNumberFormat="1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left" vertical="center"/>
    </xf>
    <xf numFmtId="0" fontId="38" fillId="0" borderId="68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vertical="center"/>
    </xf>
    <xf numFmtId="0" fontId="19" fillId="0" borderId="69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36" fillId="45" borderId="55" xfId="0" applyFont="1" applyFill="1" applyBorder="1" applyAlignment="1">
      <alignment horizontal="center" vertical="center"/>
    </xf>
    <xf numFmtId="49" fontId="36" fillId="45" borderId="55" xfId="0" applyNumberFormat="1" applyFont="1" applyFill="1" applyBorder="1" applyAlignment="1">
      <alignment horizontal="center" vertical="center"/>
    </xf>
    <xf numFmtId="0" fontId="0" fillId="45" borderId="0" xfId="0" applyFill="1" applyAlignment="1">
      <alignment vertical="center"/>
    </xf>
    <xf numFmtId="0" fontId="19" fillId="0" borderId="7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2" fillId="43" borderId="72" xfId="0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4" fontId="15" fillId="0" borderId="74" xfId="0" applyNumberFormat="1" applyFon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49" fontId="36" fillId="0" borderId="55" xfId="0" applyNumberFormat="1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 wrapText="1"/>
    </xf>
    <xf numFmtId="0" fontId="39" fillId="0" borderId="78" xfId="0" applyFont="1" applyFill="1" applyBorder="1" applyAlignment="1">
      <alignment horizontal="center" vertical="center" wrapText="1"/>
    </xf>
    <xf numFmtId="4" fontId="0" fillId="0" borderId="76" xfId="0" applyNumberFormat="1" applyFont="1" applyFill="1" applyBorder="1" applyAlignment="1">
      <alignment vertical="center"/>
    </xf>
    <xf numFmtId="4" fontId="0" fillId="0" borderId="57" xfId="0" applyNumberFormat="1" applyFont="1" applyFill="1" applyBorder="1" applyAlignment="1">
      <alignment vertical="center"/>
    </xf>
    <xf numFmtId="0" fontId="0" fillId="45" borderId="55" xfId="0" applyFont="1" applyFill="1" applyBorder="1" applyAlignment="1">
      <alignment vertical="center"/>
    </xf>
    <xf numFmtId="0" fontId="0" fillId="45" borderId="78" xfId="0" applyFont="1" applyFill="1" applyBorder="1" applyAlignment="1">
      <alignment vertical="center"/>
    </xf>
    <xf numFmtId="0" fontId="0" fillId="45" borderId="79" xfId="0" applyFont="1" applyFill="1" applyBorder="1" applyAlignment="1">
      <alignment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left" vertical="center"/>
    </xf>
    <xf numFmtId="0" fontId="0" fillId="0" borderId="78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14" fontId="0" fillId="0" borderId="55" xfId="0" applyNumberFormat="1" applyFont="1" applyFill="1" applyBorder="1" applyAlignment="1">
      <alignment horizontal="center" vertical="center"/>
    </xf>
    <xf numFmtId="0" fontId="0" fillId="45" borderId="80" xfId="0" applyFont="1" applyFill="1" applyBorder="1" applyAlignment="1">
      <alignment horizontal="left" vertical="center"/>
    </xf>
    <xf numFmtId="4" fontId="0" fillId="0" borderId="55" xfId="0" applyNumberFormat="1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14" fontId="0" fillId="0" borderId="78" xfId="0" applyNumberFormat="1" applyFont="1" applyFill="1" applyBorder="1" applyAlignment="1">
      <alignment vertical="center"/>
    </xf>
    <xf numFmtId="14" fontId="0" fillId="0" borderId="79" xfId="0" applyNumberFormat="1" applyFont="1" applyFill="1" applyBorder="1" applyAlignment="1">
      <alignment vertical="center"/>
    </xf>
    <xf numFmtId="49" fontId="38" fillId="0" borderId="55" xfId="0" applyNumberFormat="1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 wrapText="1"/>
    </xf>
    <xf numFmtId="0" fontId="38" fillId="0" borderId="68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 wrapText="1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49" fontId="36" fillId="0" borderId="57" xfId="0" applyNumberFormat="1" applyFont="1" applyFill="1" applyBorder="1" applyAlignment="1">
      <alignment horizontal="center" vertical="center"/>
    </xf>
    <xf numFmtId="14" fontId="36" fillId="0" borderId="57" xfId="0" applyNumberFormat="1" applyFont="1" applyFill="1" applyBorder="1" applyAlignment="1">
      <alignment vertical="center"/>
    </xf>
    <xf numFmtId="14" fontId="36" fillId="0" borderId="82" xfId="0" applyNumberFormat="1" applyFont="1" applyFill="1" applyBorder="1" applyAlignment="1">
      <alignment vertical="center"/>
    </xf>
    <xf numFmtId="0" fontId="38" fillId="0" borderId="6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left" vertical="center"/>
    </xf>
    <xf numFmtId="0" fontId="36" fillId="0" borderId="53" xfId="0" applyFont="1" applyFill="1" applyBorder="1" applyAlignment="1">
      <alignment horizontal="left" vertical="center"/>
    </xf>
    <xf numFmtId="0" fontId="36" fillId="0" borderId="66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vertical="center"/>
    </xf>
    <xf numFmtId="0" fontId="36" fillId="0" borderId="83" xfId="0" applyFont="1" applyFill="1" applyBorder="1" applyAlignment="1">
      <alignment horizontal="left" vertical="center"/>
    </xf>
    <xf numFmtId="4" fontId="36" fillId="0" borderId="57" xfId="0" applyNumberFormat="1" applyFont="1" applyFill="1" applyBorder="1" applyAlignment="1">
      <alignment horizontal="right" vertical="center"/>
    </xf>
    <xf numFmtId="4" fontId="36" fillId="0" borderId="59" xfId="0" applyNumberFormat="1" applyFont="1" applyFill="1" applyBorder="1" applyAlignment="1">
      <alignment horizontal="right" vertical="center"/>
    </xf>
    <xf numFmtId="0" fontId="12" fillId="0" borderId="64" xfId="0" applyFont="1" applyFill="1" applyBorder="1" applyAlignment="1">
      <alignment horizontal="center" vertical="center"/>
    </xf>
    <xf numFmtId="14" fontId="0" fillId="0" borderId="55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4" fontId="0" fillId="0" borderId="55" xfId="0" applyNumberFormat="1" applyFont="1" applyFill="1" applyBorder="1" applyAlignment="1">
      <alignment horizontal="right" vertical="center"/>
    </xf>
    <xf numFmtId="0" fontId="36" fillId="0" borderId="53" xfId="0" applyFont="1" applyFill="1" applyBorder="1" applyAlignment="1">
      <alignment horizontal="left" vertical="center" wrapText="1"/>
    </xf>
    <xf numFmtId="49" fontId="36" fillId="0" borderId="59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14" fontId="36" fillId="0" borderId="57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vertical="center" wrapText="1"/>
    </xf>
    <xf numFmtId="4" fontId="36" fillId="0" borderId="82" xfId="0" applyNumberFormat="1" applyFont="1" applyFill="1" applyBorder="1" applyAlignment="1">
      <alignment horizontal="right" vertical="center"/>
    </xf>
    <xf numFmtId="0" fontId="19" fillId="0" borderId="7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left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/>
    </xf>
    <xf numFmtId="4" fontId="0" fillId="0" borderId="55" xfId="0" applyNumberFormat="1" applyFont="1" applyFill="1" applyBorder="1" applyAlignment="1">
      <alignment horizontal="center" vertical="center"/>
    </xf>
    <xf numFmtId="0" fontId="12" fillId="40" borderId="65" xfId="0" applyFont="1" applyFill="1" applyBorder="1" applyAlignment="1">
      <alignment horizontal="center" vertical="center" wrapText="1"/>
    </xf>
    <xf numFmtId="0" fontId="12" fillId="40" borderId="65" xfId="0" applyFont="1" applyFill="1" applyBorder="1" applyAlignment="1">
      <alignment horizontal="center" vertical="center"/>
    </xf>
    <xf numFmtId="0" fontId="12" fillId="40" borderId="59" xfId="0" applyFont="1" applyFill="1" applyBorder="1" applyAlignment="1">
      <alignment horizontal="center" vertical="center" wrapText="1"/>
    </xf>
    <xf numFmtId="0" fontId="12" fillId="40" borderId="64" xfId="0" applyFont="1" applyFill="1" applyBorder="1" applyAlignment="1">
      <alignment horizontal="center"/>
    </xf>
    <xf numFmtId="0" fontId="22" fillId="40" borderId="32" xfId="50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Border="1" applyAlignment="1">
      <alignment/>
    </xf>
    <xf numFmtId="0" fontId="21" fillId="0" borderId="33" xfId="0" applyFont="1" applyBorder="1" applyAlignment="1">
      <alignment horizontal="center" vertical="center" wrapText="1"/>
    </xf>
    <xf numFmtId="0" fontId="22" fillId="40" borderId="23" xfId="50" applyNumberFormat="1" applyFont="1" applyFill="1" applyBorder="1" applyAlignment="1" applyProtection="1">
      <alignment horizontal="center" vertical="center" wrapText="1"/>
      <protection/>
    </xf>
    <xf numFmtId="0" fontId="22" fillId="40" borderId="23" xfId="50" applyFont="1" applyFill="1" applyBorder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4" xfId="0" applyNumberFormat="1" applyFont="1" applyBorder="1" applyAlignment="1">
      <alignment horizontal="center" vertical="center" wrapText="1"/>
    </xf>
    <xf numFmtId="0" fontId="19" fillId="0" borderId="85" xfId="0" applyFont="1" applyBorder="1" applyAlignment="1">
      <alignment horizontal="left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86" xfId="0" applyFont="1" applyBorder="1" applyAlignment="1">
      <alignment horizontal="left" vertical="center" wrapText="1"/>
    </xf>
    <xf numFmtId="0" fontId="19" fillId="0" borderId="87" xfId="0" applyFont="1" applyBorder="1" applyAlignment="1">
      <alignment horizontal="left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8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40" borderId="23" xfId="50" applyNumberFormat="1" applyFont="1" applyFill="1" applyBorder="1" applyAlignment="1" applyProtection="1">
      <alignment horizontal="center" vertical="center" wrapText="1"/>
      <protection/>
    </xf>
    <xf numFmtId="0" fontId="30" fillId="40" borderId="40" xfId="50" applyFont="1" applyFill="1" applyBorder="1" applyAlignment="1" applyProtection="1">
      <alignment horizontal="center" vertical="center" wrapText="1"/>
      <protection/>
    </xf>
    <xf numFmtId="0" fontId="30" fillId="0" borderId="34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4" fontId="20" fillId="0" borderId="27" xfId="0" applyNumberFormat="1" applyFont="1" applyBorder="1" applyAlignment="1">
      <alignment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Excel_BuiltIn_Texto Explicativo 1" xfId="50"/>
    <cellStyle name="Footnote" xfId="51"/>
    <cellStyle name="Good" xfId="52"/>
    <cellStyle name="Heading" xfId="53"/>
    <cellStyle name="Heading 1" xfId="54"/>
    <cellStyle name="Heading 2" xfId="55"/>
    <cellStyle name="Currency" xfId="56"/>
    <cellStyle name="Currency [0]" xfId="57"/>
    <cellStyle name="Neutral" xfId="58"/>
    <cellStyle name="Neutro" xfId="59"/>
    <cellStyle name="Nota" xfId="60"/>
    <cellStyle name="Note" xfId="61"/>
    <cellStyle name="Percent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ABABAB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l.teixeira\Documents\Cobrape\Controle%20Contratos%20Prosu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l.teixeira\Documents\Cobrape\NOBs%20Policl&#237;nic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e Contrato Fornecedores"/>
      <sheetName val="Controle Contrato Prest. Serviç"/>
    </sheetNames>
    <sheetDataSet>
      <sheetData sheetId="1">
        <row r="4">
          <cell r="O4">
            <v>25468.47</v>
          </cell>
        </row>
        <row r="5">
          <cell r="O5" t="str">
            <v>21/05 a 20/06/2016 - 2º Medição</v>
          </cell>
        </row>
        <row r="6">
          <cell r="O6" t="str">
            <v>21/06 a 20/07/2016 - 3º Medição</v>
          </cell>
        </row>
        <row r="7">
          <cell r="O7" t="str">
            <v>21/08 a 20/09/2016 - 4º Medição</v>
          </cell>
        </row>
        <row r="8">
          <cell r="O8" t="str">
            <v>07/10 a 11/11/2016 - 1º Medição</v>
          </cell>
        </row>
        <row r="9">
          <cell r="O9" t="str">
            <v>07/10 a 11/11/2016 - 1º Medição</v>
          </cell>
        </row>
        <row r="10">
          <cell r="O10" t="str">
            <v>21/10 a 20/11/2016 - 5º Medição</v>
          </cell>
        </row>
        <row r="13">
          <cell r="O13">
            <v>38017.916</v>
          </cell>
        </row>
        <row r="14">
          <cell r="O14">
            <v>33793.712</v>
          </cell>
        </row>
        <row r="15">
          <cell r="O15">
            <v>8448.428</v>
          </cell>
        </row>
        <row r="16">
          <cell r="O16">
            <v>4224.214</v>
          </cell>
        </row>
        <row r="17">
          <cell r="O17">
            <v>76035.8475</v>
          </cell>
        </row>
        <row r="18">
          <cell r="O18">
            <v>67587.42</v>
          </cell>
        </row>
        <row r="19">
          <cell r="O19">
            <v>16896.855</v>
          </cell>
        </row>
        <row r="20">
          <cell r="O20">
            <v>8448.4275</v>
          </cell>
        </row>
        <row r="21">
          <cell r="O21">
            <v>228107.538</v>
          </cell>
        </row>
        <row r="22">
          <cell r="O22">
            <v>202762.25600000002</v>
          </cell>
        </row>
        <row r="23">
          <cell r="O23">
            <v>50690.564000000006</v>
          </cell>
        </row>
        <row r="24">
          <cell r="O24">
            <v>25345.282000000003</v>
          </cell>
        </row>
        <row r="29">
          <cell r="O29" t="str">
            <v>Março/2017  - 3º Medição</v>
          </cell>
        </row>
        <row r="30">
          <cell r="O30" t="str">
            <v>Março/2017  - 3º Medição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Bs Policlínica Feira"/>
      <sheetName val="NOBs Policlínica SAJ"/>
      <sheetName val="NOBs Policlínica Valença"/>
      <sheetName val="NOBs Policlínica Alagoinhas"/>
    </sheetNames>
    <sheetDataSet>
      <sheetData sheetId="0">
        <row r="9">
          <cell r="D9" t="str">
            <v>Data de Pagamento</v>
          </cell>
        </row>
      </sheetData>
      <sheetData sheetId="1">
        <row r="13">
          <cell r="D13" t="str">
            <v>Data Pagamento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G1">
      <selection activeCell="H13" sqref="H13"/>
    </sheetView>
  </sheetViews>
  <sheetFormatPr defaultColWidth="8.7109375" defaultRowHeight="12.75"/>
  <cols>
    <col min="1" max="1" width="16.57421875" style="0" customWidth="1"/>
    <col min="2" max="2" width="14.8515625" style="0" customWidth="1"/>
    <col min="3" max="3" width="76.421875" style="0" customWidth="1"/>
    <col min="4" max="4" width="84.140625" style="0" customWidth="1"/>
    <col min="5" max="5" width="50.57421875" style="1" customWidth="1"/>
    <col min="6" max="6" width="44.8515625" style="1" customWidth="1"/>
    <col min="7" max="7" width="64.140625" style="2" customWidth="1"/>
    <col min="8" max="12" width="11.140625" style="2" customWidth="1"/>
    <col min="13" max="13" width="12.140625" style="0" customWidth="1"/>
    <col min="14" max="34" width="14.57421875" style="0" customWidth="1"/>
    <col min="35" max="35" width="8.00390625" style="0" customWidth="1"/>
    <col min="36" max="36" width="17.7109375" style="0" customWidth="1"/>
    <col min="37" max="37" width="8.421875" style="0" customWidth="1"/>
    <col min="38" max="40" width="14.57421875" style="0" customWidth="1"/>
    <col min="41" max="41" width="9.421875" style="0" customWidth="1"/>
    <col min="42" max="42" width="19.28125" style="0" customWidth="1"/>
    <col min="43" max="43" width="10.00390625" style="0" customWidth="1"/>
    <col min="44" max="44" width="9.421875" style="0" customWidth="1"/>
    <col min="45" max="45" width="19.28125" style="0" customWidth="1"/>
    <col min="46" max="46" width="10.00390625" style="0" customWidth="1"/>
  </cols>
  <sheetData>
    <row r="1" spans="5:12" ht="12.75">
      <c r="E1"/>
      <c r="F1"/>
      <c r="G1"/>
      <c r="H1"/>
      <c r="I1"/>
      <c r="J1"/>
      <c r="K1"/>
      <c r="L1"/>
    </row>
    <row r="2" spans="5:12" ht="12.75">
      <c r="E2"/>
      <c r="F2"/>
      <c r="G2"/>
      <c r="H2"/>
      <c r="I2"/>
      <c r="J2"/>
      <c r="K2"/>
      <c r="L2"/>
    </row>
    <row r="3" spans="1:13" ht="12.75">
      <c r="A3" s="3" t="s">
        <v>0</v>
      </c>
      <c r="B3" s="4"/>
      <c r="C3" s="4"/>
      <c r="D3" s="4"/>
      <c r="E3" s="5"/>
      <c r="F3" s="5"/>
      <c r="G3" s="5"/>
      <c r="H3" s="3" t="s">
        <v>1</v>
      </c>
      <c r="I3" s="4"/>
      <c r="J3" s="4"/>
      <c r="K3" s="4"/>
      <c r="L3" s="4"/>
      <c r="M3" s="6"/>
    </row>
    <row r="4" spans="1:13" ht="12.75">
      <c r="A4" s="3" t="s">
        <v>2</v>
      </c>
      <c r="B4" s="3" t="s">
        <v>3</v>
      </c>
      <c r="C4" s="3" t="s">
        <v>4</v>
      </c>
      <c r="D4" s="3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0" t="s">
        <v>14</v>
      </c>
    </row>
    <row r="5" spans="1:13" ht="12.75">
      <c r="A5" s="3" t="s">
        <v>15</v>
      </c>
      <c r="B5" s="3" t="s">
        <v>15</v>
      </c>
      <c r="C5" s="4"/>
      <c r="D5" s="4"/>
      <c r="E5" s="5"/>
      <c r="F5" s="5"/>
      <c r="G5" s="5"/>
      <c r="H5" s="8">
        <v>0</v>
      </c>
      <c r="I5" s="9">
        <v>0</v>
      </c>
      <c r="J5" s="9">
        <v>0</v>
      </c>
      <c r="K5" s="9">
        <v>0</v>
      </c>
      <c r="L5" s="9">
        <v>0</v>
      </c>
      <c r="M5" s="10">
        <v>0</v>
      </c>
    </row>
    <row r="6" spans="1:13" ht="12.75">
      <c r="A6" s="11"/>
      <c r="B6" s="3" t="s">
        <v>16</v>
      </c>
      <c r="C6" s="3" t="s">
        <v>16</v>
      </c>
      <c r="D6" s="4"/>
      <c r="E6" s="5"/>
      <c r="F6" s="5"/>
      <c r="G6" s="5"/>
      <c r="H6" s="8">
        <v>0</v>
      </c>
      <c r="I6" s="9">
        <v>0</v>
      </c>
      <c r="J6" s="9">
        <v>0</v>
      </c>
      <c r="K6" s="9">
        <v>0</v>
      </c>
      <c r="L6" s="9">
        <v>0</v>
      </c>
      <c r="M6" s="10">
        <v>0</v>
      </c>
    </row>
    <row r="7" spans="1:13" ht="12.75">
      <c r="A7" s="11"/>
      <c r="B7" s="11"/>
      <c r="C7" s="3" t="s">
        <v>17</v>
      </c>
      <c r="D7" s="3" t="s">
        <v>17</v>
      </c>
      <c r="E7" s="5"/>
      <c r="F7" s="5"/>
      <c r="G7" s="5"/>
      <c r="H7" s="8">
        <v>0</v>
      </c>
      <c r="I7" s="9">
        <v>0</v>
      </c>
      <c r="J7" s="9">
        <v>0</v>
      </c>
      <c r="K7" s="9">
        <v>0</v>
      </c>
      <c r="L7" s="9">
        <v>0</v>
      </c>
      <c r="M7" s="10">
        <v>0</v>
      </c>
    </row>
    <row r="8" spans="1:13" ht="25.5">
      <c r="A8" s="11"/>
      <c r="B8" s="11"/>
      <c r="C8" s="11"/>
      <c r="D8" s="3" t="s">
        <v>18</v>
      </c>
      <c r="E8" s="7" t="s">
        <v>18</v>
      </c>
      <c r="F8" s="5"/>
      <c r="G8" s="5"/>
      <c r="H8" s="8">
        <v>0</v>
      </c>
      <c r="I8" s="9">
        <v>0</v>
      </c>
      <c r="J8" s="9">
        <v>0</v>
      </c>
      <c r="K8" s="9">
        <v>0</v>
      </c>
      <c r="L8" s="9">
        <v>0</v>
      </c>
      <c r="M8" s="10">
        <v>0</v>
      </c>
    </row>
    <row r="9" spans="1:13" ht="25.5">
      <c r="A9" s="11"/>
      <c r="B9" s="11"/>
      <c r="C9" s="11"/>
      <c r="D9" s="11"/>
      <c r="E9" s="7" t="s">
        <v>19</v>
      </c>
      <c r="F9" s="5"/>
      <c r="G9" s="5"/>
      <c r="H9" s="8">
        <v>18512.9</v>
      </c>
      <c r="I9" s="9">
        <v>168672.3</v>
      </c>
      <c r="J9" s="9">
        <v>2814.82</v>
      </c>
      <c r="K9" s="9">
        <v>0</v>
      </c>
      <c r="L9" s="9">
        <v>0</v>
      </c>
      <c r="M9" s="10">
        <v>190000.02</v>
      </c>
    </row>
    <row r="10" spans="1:13" ht="51">
      <c r="A10" s="11"/>
      <c r="B10" s="11"/>
      <c r="C10" s="11"/>
      <c r="D10" s="11"/>
      <c r="E10" s="7" t="s">
        <v>20</v>
      </c>
      <c r="F10" s="5"/>
      <c r="G10" s="5"/>
      <c r="H10" s="8">
        <v>0</v>
      </c>
      <c r="I10" s="9">
        <v>0</v>
      </c>
      <c r="J10" s="9">
        <v>2621343.16</v>
      </c>
      <c r="K10" s="9">
        <v>1618469.89</v>
      </c>
      <c r="L10" s="9">
        <v>1794767.43</v>
      </c>
      <c r="M10" s="10">
        <v>6034580.48</v>
      </c>
    </row>
    <row r="11" spans="1:13" ht="25.5">
      <c r="A11" s="11"/>
      <c r="B11" s="11"/>
      <c r="C11" s="11"/>
      <c r="D11" s="11"/>
      <c r="E11" s="7" t="s">
        <v>21</v>
      </c>
      <c r="F11" s="5"/>
      <c r="G11" s="5"/>
      <c r="H11" s="8">
        <v>0</v>
      </c>
      <c r="I11" s="9">
        <v>0</v>
      </c>
      <c r="J11" s="9">
        <v>963933.82</v>
      </c>
      <c r="K11" s="9">
        <v>1178141.34</v>
      </c>
      <c r="L11" s="9">
        <v>651935.91</v>
      </c>
      <c r="M11" s="10">
        <v>2794011.07</v>
      </c>
    </row>
    <row r="12" spans="1:13" ht="51">
      <c r="A12" s="11"/>
      <c r="B12" s="11"/>
      <c r="C12" s="11"/>
      <c r="D12" s="11"/>
      <c r="E12" s="7" t="s">
        <v>22</v>
      </c>
      <c r="F12" s="5"/>
      <c r="G12" s="5"/>
      <c r="H12" s="8">
        <v>0</v>
      </c>
      <c r="I12" s="9">
        <v>0</v>
      </c>
      <c r="J12" s="9">
        <v>2285206.86</v>
      </c>
      <c r="K12" s="9">
        <v>2793030.62</v>
      </c>
      <c r="L12" s="9">
        <v>1545550.53</v>
      </c>
      <c r="M12" s="10">
        <v>6623788.01</v>
      </c>
    </row>
    <row r="13" spans="1:13" ht="25.5">
      <c r="A13" s="11"/>
      <c r="B13" s="11"/>
      <c r="C13" s="11"/>
      <c r="D13" s="11"/>
      <c r="E13" s="7" t="s">
        <v>23</v>
      </c>
      <c r="F13" s="5"/>
      <c r="G13" s="5"/>
      <c r="H13" s="8">
        <v>0</v>
      </c>
      <c r="I13" s="9">
        <v>0</v>
      </c>
      <c r="J13" s="9">
        <v>169132.5</v>
      </c>
      <c r="K13" s="9">
        <v>176820.34</v>
      </c>
      <c r="L13" s="9">
        <v>18870.15</v>
      </c>
      <c r="M13" s="10">
        <v>364822.99</v>
      </c>
    </row>
    <row r="14" spans="1:13" ht="51">
      <c r="A14" s="11"/>
      <c r="B14" s="11"/>
      <c r="C14" s="11"/>
      <c r="D14" s="11"/>
      <c r="E14" s="7" t="s">
        <v>24</v>
      </c>
      <c r="F14" s="5"/>
      <c r="G14" s="5"/>
      <c r="H14" s="8">
        <v>0</v>
      </c>
      <c r="I14" s="9">
        <v>679301.15</v>
      </c>
      <c r="J14" s="9">
        <v>1053834.76</v>
      </c>
      <c r="K14" s="9">
        <v>1020787.69</v>
      </c>
      <c r="L14" s="9">
        <v>1022885.94</v>
      </c>
      <c r="M14" s="10">
        <v>3776809.54</v>
      </c>
    </row>
    <row r="15" spans="1:13" ht="63.75">
      <c r="A15" s="11"/>
      <c r="B15" s="11"/>
      <c r="C15" s="11"/>
      <c r="D15" s="11"/>
      <c r="E15" s="7" t="s">
        <v>25</v>
      </c>
      <c r="F15" s="5"/>
      <c r="G15" s="5"/>
      <c r="H15" s="8">
        <v>0</v>
      </c>
      <c r="I15" s="9">
        <v>118082.04</v>
      </c>
      <c r="J15" s="9">
        <v>1572355.86</v>
      </c>
      <c r="K15" s="9">
        <v>1572356.13</v>
      </c>
      <c r="L15" s="9">
        <v>1398340.43</v>
      </c>
      <c r="M15" s="10">
        <v>4661134.46</v>
      </c>
    </row>
    <row r="16" spans="1:13" ht="38.25">
      <c r="A16" s="11"/>
      <c r="B16" s="11"/>
      <c r="C16" s="11"/>
      <c r="D16" s="11"/>
      <c r="E16" s="7" t="s">
        <v>26</v>
      </c>
      <c r="F16" s="5"/>
      <c r="G16" s="5"/>
      <c r="H16" s="8">
        <v>0</v>
      </c>
      <c r="I16" s="9">
        <v>0</v>
      </c>
      <c r="J16" s="9">
        <v>198148.14</v>
      </c>
      <c r="K16" s="9">
        <v>468519.46</v>
      </c>
      <c r="L16" s="9">
        <v>166667</v>
      </c>
      <c r="M16" s="10">
        <v>833334.6</v>
      </c>
    </row>
    <row r="17" spans="1:13" ht="38.25">
      <c r="A17" s="11"/>
      <c r="B17" s="11"/>
      <c r="C17" s="11"/>
      <c r="D17" s="11"/>
      <c r="E17" s="7" t="s">
        <v>27</v>
      </c>
      <c r="F17" s="5"/>
      <c r="G17" s="5"/>
      <c r="H17" s="8">
        <v>0</v>
      </c>
      <c r="I17" s="9">
        <v>0</v>
      </c>
      <c r="J17" s="9">
        <v>137371.04</v>
      </c>
      <c r="K17" s="9">
        <v>244752.63</v>
      </c>
      <c r="L17" s="9">
        <v>198317.35</v>
      </c>
      <c r="M17" s="10">
        <v>580441.02</v>
      </c>
    </row>
    <row r="18" spans="1:13" ht="12.75">
      <c r="A18" s="11"/>
      <c r="B18" s="11"/>
      <c r="C18" s="11"/>
      <c r="D18" s="3" t="s">
        <v>28</v>
      </c>
      <c r="E18" s="5"/>
      <c r="F18" s="5"/>
      <c r="G18" s="5"/>
      <c r="H18" s="8">
        <v>18512.9</v>
      </c>
      <c r="I18" s="9">
        <v>966055.49</v>
      </c>
      <c r="J18" s="9">
        <v>9004140.96</v>
      </c>
      <c r="K18" s="9">
        <v>9072878.1</v>
      </c>
      <c r="L18" s="9">
        <v>6797334.74</v>
      </c>
      <c r="M18" s="10">
        <v>25858922.19</v>
      </c>
    </row>
    <row r="19" spans="1:13" ht="25.5">
      <c r="A19" s="11"/>
      <c r="B19" s="11"/>
      <c r="C19" s="11"/>
      <c r="D19" s="3" t="s">
        <v>29</v>
      </c>
      <c r="E19" s="7" t="s">
        <v>29</v>
      </c>
      <c r="F19" s="5"/>
      <c r="G19" s="5"/>
      <c r="H19" s="8">
        <v>0</v>
      </c>
      <c r="I19" s="9">
        <v>0</v>
      </c>
      <c r="J19" s="9">
        <v>0</v>
      </c>
      <c r="K19" s="9">
        <v>0</v>
      </c>
      <c r="L19" s="9">
        <v>0</v>
      </c>
      <c r="M19" s="10">
        <v>0</v>
      </c>
    </row>
    <row r="20" spans="1:13" ht="63.75">
      <c r="A20" s="11"/>
      <c r="B20" s="11"/>
      <c r="C20" s="11"/>
      <c r="D20" s="11"/>
      <c r="E20" s="7" t="s">
        <v>30</v>
      </c>
      <c r="F20" s="5"/>
      <c r="G20" s="5"/>
      <c r="H20" s="8">
        <v>205557.9</v>
      </c>
      <c r="I20" s="9">
        <v>199203.81</v>
      </c>
      <c r="J20" s="9">
        <v>0</v>
      </c>
      <c r="K20" s="9">
        <v>0</v>
      </c>
      <c r="L20" s="9">
        <v>0</v>
      </c>
      <c r="M20" s="10">
        <v>404761.71</v>
      </c>
    </row>
    <row r="21" spans="1:13" ht="12.75">
      <c r="A21" s="11"/>
      <c r="B21" s="11"/>
      <c r="C21" s="11"/>
      <c r="D21" s="3" t="s">
        <v>31</v>
      </c>
      <c r="E21" s="5"/>
      <c r="F21" s="5"/>
      <c r="G21" s="5"/>
      <c r="H21" s="8">
        <v>205557.9</v>
      </c>
      <c r="I21" s="9">
        <v>199203.81</v>
      </c>
      <c r="J21" s="9">
        <v>0</v>
      </c>
      <c r="K21" s="9">
        <v>0</v>
      </c>
      <c r="L21" s="9">
        <v>0</v>
      </c>
      <c r="M21" s="10">
        <v>404761.71</v>
      </c>
    </row>
    <row r="22" spans="1:13" ht="12.75">
      <c r="A22" s="11"/>
      <c r="B22" s="11"/>
      <c r="C22" s="11"/>
      <c r="D22" s="3" t="s">
        <v>32</v>
      </c>
      <c r="E22" s="7" t="s">
        <v>32</v>
      </c>
      <c r="F22" s="5"/>
      <c r="G22" s="5"/>
      <c r="H22" s="8">
        <v>0</v>
      </c>
      <c r="I22" s="9">
        <v>0</v>
      </c>
      <c r="J22" s="9">
        <v>0</v>
      </c>
      <c r="K22" s="9">
        <v>0</v>
      </c>
      <c r="L22" s="9">
        <v>0</v>
      </c>
      <c r="M22" s="10">
        <v>0</v>
      </c>
    </row>
    <row r="23" spans="1:13" ht="25.5">
      <c r="A23" s="11"/>
      <c r="B23" s="11"/>
      <c r="C23" s="11"/>
      <c r="D23" s="11"/>
      <c r="E23" s="7" t="s">
        <v>33</v>
      </c>
      <c r="F23" s="5"/>
      <c r="G23" s="5"/>
      <c r="H23" s="8">
        <v>0</v>
      </c>
      <c r="I23" s="9">
        <v>0</v>
      </c>
      <c r="J23" s="9">
        <v>114237</v>
      </c>
      <c r="K23" s="9">
        <v>0</v>
      </c>
      <c r="L23" s="9">
        <v>0</v>
      </c>
      <c r="M23" s="10">
        <v>114237</v>
      </c>
    </row>
    <row r="24" spans="1:13" ht="38.25">
      <c r="A24" s="11"/>
      <c r="B24" s="11"/>
      <c r="C24" s="11"/>
      <c r="D24" s="11"/>
      <c r="E24" s="7" t="s">
        <v>34</v>
      </c>
      <c r="F24" s="5"/>
      <c r="G24" s="5"/>
      <c r="H24" s="8">
        <v>42414.03</v>
      </c>
      <c r="I24" s="9">
        <v>44908.97</v>
      </c>
      <c r="J24" s="9">
        <v>0</v>
      </c>
      <c r="K24" s="9">
        <v>0</v>
      </c>
      <c r="L24" s="9">
        <v>0</v>
      </c>
      <c r="M24" s="10">
        <v>87323</v>
      </c>
    </row>
    <row r="25" spans="1:13" ht="12.75">
      <c r="A25" s="11"/>
      <c r="B25" s="11"/>
      <c r="C25" s="11"/>
      <c r="D25" s="3" t="s">
        <v>35</v>
      </c>
      <c r="E25" s="5"/>
      <c r="F25" s="5"/>
      <c r="G25" s="5"/>
      <c r="H25" s="8">
        <v>42414.03</v>
      </c>
      <c r="I25" s="9">
        <v>44908.97</v>
      </c>
      <c r="J25" s="9">
        <v>114237</v>
      </c>
      <c r="K25" s="9">
        <v>0</v>
      </c>
      <c r="L25" s="9">
        <v>0</v>
      </c>
      <c r="M25" s="10">
        <v>201560</v>
      </c>
    </row>
    <row r="26" spans="1:13" ht="12.75">
      <c r="A26" s="11"/>
      <c r="B26" s="11"/>
      <c r="C26" s="11"/>
      <c r="D26" s="3" t="s">
        <v>36</v>
      </c>
      <c r="E26" s="7" t="s">
        <v>36</v>
      </c>
      <c r="F26" s="5"/>
      <c r="G26" s="5"/>
      <c r="H26" s="8">
        <v>0</v>
      </c>
      <c r="I26" s="9">
        <v>0</v>
      </c>
      <c r="J26" s="9">
        <v>0</v>
      </c>
      <c r="K26" s="9">
        <v>0</v>
      </c>
      <c r="L26" s="9">
        <v>0</v>
      </c>
      <c r="M26" s="10">
        <v>0</v>
      </c>
    </row>
    <row r="27" spans="1:13" ht="25.5">
      <c r="A27" s="11"/>
      <c r="B27" s="11"/>
      <c r="C27" s="11"/>
      <c r="D27" s="11"/>
      <c r="E27" s="7" t="s">
        <v>37</v>
      </c>
      <c r="F27" s="5"/>
      <c r="G27" s="5"/>
      <c r="H27" s="8">
        <v>0</v>
      </c>
      <c r="I27" s="9">
        <v>4731429.01</v>
      </c>
      <c r="J27" s="9">
        <v>0</v>
      </c>
      <c r="K27" s="9">
        <v>0</v>
      </c>
      <c r="L27" s="9">
        <v>0</v>
      </c>
      <c r="M27" s="10">
        <v>4731429.01</v>
      </c>
    </row>
    <row r="28" spans="1:13" ht="12.75">
      <c r="A28" s="11"/>
      <c r="B28" s="11"/>
      <c r="C28" s="11"/>
      <c r="D28" s="11"/>
      <c r="E28" s="7" t="s">
        <v>38</v>
      </c>
      <c r="F28" s="5"/>
      <c r="G28" s="5"/>
      <c r="H28" s="8">
        <v>0</v>
      </c>
      <c r="I28" s="9">
        <v>3695238</v>
      </c>
      <c r="J28" s="9">
        <v>0</v>
      </c>
      <c r="K28" s="9">
        <v>0</v>
      </c>
      <c r="L28" s="9">
        <v>0</v>
      </c>
      <c r="M28" s="10">
        <v>3695238</v>
      </c>
    </row>
    <row r="29" spans="1:13" ht="25.5">
      <c r="A29" s="11"/>
      <c r="B29" s="11"/>
      <c r="C29" s="11"/>
      <c r="D29" s="11"/>
      <c r="E29" s="7" t="s">
        <v>39</v>
      </c>
      <c r="F29" s="5"/>
      <c r="G29" s="5"/>
      <c r="H29" s="8">
        <v>0</v>
      </c>
      <c r="I29" s="9">
        <v>0</v>
      </c>
      <c r="J29" s="9">
        <v>992298.99</v>
      </c>
      <c r="K29" s="9">
        <v>0</v>
      </c>
      <c r="L29" s="9">
        <v>0</v>
      </c>
      <c r="M29" s="10">
        <v>992298.99</v>
      </c>
    </row>
    <row r="30" spans="1:13" ht="12.75">
      <c r="A30" s="11"/>
      <c r="B30" s="11"/>
      <c r="C30" s="11"/>
      <c r="D30" s="3" t="s">
        <v>40</v>
      </c>
      <c r="E30" s="5"/>
      <c r="F30" s="5"/>
      <c r="G30" s="5"/>
      <c r="H30" s="8">
        <v>0</v>
      </c>
      <c r="I30" s="9">
        <v>8426667.01</v>
      </c>
      <c r="J30" s="9">
        <v>992298.99</v>
      </c>
      <c r="K30" s="9">
        <v>0</v>
      </c>
      <c r="L30" s="9">
        <v>0</v>
      </c>
      <c r="M30" s="10">
        <v>9418966</v>
      </c>
    </row>
    <row r="31" spans="1:13" ht="25.5">
      <c r="A31" s="11"/>
      <c r="B31" s="11"/>
      <c r="C31" s="11"/>
      <c r="D31" s="3" t="s">
        <v>41</v>
      </c>
      <c r="E31" s="7" t="s">
        <v>41</v>
      </c>
      <c r="F31" s="5"/>
      <c r="G31" s="5"/>
      <c r="H31" s="8">
        <v>0</v>
      </c>
      <c r="I31" s="9">
        <v>0</v>
      </c>
      <c r="J31" s="9">
        <v>0</v>
      </c>
      <c r="K31" s="9">
        <v>0</v>
      </c>
      <c r="L31" s="9">
        <v>0</v>
      </c>
      <c r="M31" s="10">
        <v>0</v>
      </c>
    </row>
    <row r="32" spans="1:13" ht="38.25">
      <c r="A32" s="11"/>
      <c r="B32" s="11"/>
      <c r="C32" s="11"/>
      <c r="D32" s="11"/>
      <c r="E32" s="7" t="s">
        <v>42</v>
      </c>
      <c r="F32" s="5"/>
      <c r="G32" s="5"/>
      <c r="H32" s="8">
        <v>0</v>
      </c>
      <c r="I32" s="9">
        <v>0</v>
      </c>
      <c r="J32" s="9">
        <v>0</v>
      </c>
      <c r="K32" s="9">
        <v>0</v>
      </c>
      <c r="L32" s="9">
        <v>0</v>
      </c>
      <c r="M32" s="10">
        <v>0</v>
      </c>
    </row>
    <row r="33" spans="1:13" ht="12.75">
      <c r="A33" s="11"/>
      <c r="B33" s="11"/>
      <c r="C33" s="11"/>
      <c r="D33" s="3" t="s">
        <v>43</v>
      </c>
      <c r="E33" s="5"/>
      <c r="F33" s="5"/>
      <c r="G33" s="5"/>
      <c r="H33" s="8">
        <v>0</v>
      </c>
      <c r="I33" s="9">
        <v>0</v>
      </c>
      <c r="J33" s="9">
        <v>0</v>
      </c>
      <c r="K33" s="9">
        <v>0</v>
      </c>
      <c r="L33" s="9">
        <v>0</v>
      </c>
      <c r="M33" s="10">
        <v>0</v>
      </c>
    </row>
    <row r="34" spans="1:13" ht="12.75">
      <c r="A34" s="11"/>
      <c r="B34" s="11"/>
      <c r="C34" s="11"/>
      <c r="D34" s="3" t="s">
        <v>44</v>
      </c>
      <c r="E34" s="7" t="s">
        <v>44</v>
      </c>
      <c r="F34" s="5"/>
      <c r="G34" s="5"/>
      <c r="H34" s="8">
        <v>0</v>
      </c>
      <c r="I34" s="9">
        <v>0</v>
      </c>
      <c r="J34" s="9">
        <v>0</v>
      </c>
      <c r="K34" s="9">
        <v>0</v>
      </c>
      <c r="L34" s="9">
        <v>0</v>
      </c>
      <c r="M34" s="10">
        <v>0</v>
      </c>
    </row>
    <row r="35" spans="1:13" ht="12.75">
      <c r="A35" s="11"/>
      <c r="B35" s="11"/>
      <c r="C35" s="11"/>
      <c r="D35" s="11"/>
      <c r="E35" s="7" t="s">
        <v>45</v>
      </c>
      <c r="F35" s="5"/>
      <c r="G35" s="5"/>
      <c r="H35" s="8">
        <v>0</v>
      </c>
      <c r="I35" s="9">
        <v>0</v>
      </c>
      <c r="J35" s="9">
        <v>0</v>
      </c>
      <c r="K35" s="9">
        <v>0</v>
      </c>
      <c r="L35" s="9">
        <v>0</v>
      </c>
      <c r="M35" s="10">
        <v>0</v>
      </c>
    </row>
    <row r="36" spans="1:13" ht="25.5">
      <c r="A36" s="11"/>
      <c r="B36" s="11"/>
      <c r="C36" s="11"/>
      <c r="D36" s="11"/>
      <c r="E36" s="7" t="s">
        <v>46</v>
      </c>
      <c r="F36" s="5"/>
      <c r="G36" s="5"/>
      <c r="H36" s="8">
        <v>0</v>
      </c>
      <c r="I36" s="9">
        <v>0</v>
      </c>
      <c r="J36" s="9">
        <v>109667</v>
      </c>
      <c r="K36" s="9">
        <v>287876.98</v>
      </c>
      <c r="L36" s="9">
        <v>287878.01</v>
      </c>
      <c r="M36" s="10">
        <v>685421.99</v>
      </c>
    </row>
    <row r="37" spans="1:13" ht="25.5">
      <c r="A37" s="11"/>
      <c r="B37" s="11"/>
      <c r="C37" s="11"/>
      <c r="D37" s="11"/>
      <c r="E37" s="7" t="s">
        <v>47</v>
      </c>
      <c r="F37" s="5"/>
      <c r="G37" s="5"/>
      <c r="H37" s="8">
        <v>0</v>
      </c>
      <c r="I37" s="9">
        <v>182779.99</v>
      </c>
      <c r="J37" s="9">
        <v>182779.99</v>
      </c>
      <c r="K37" s="9">
        <v>45692.98</v>
      </c>
      <c r="L37" s="9">
        <v>0</v>
      </c>
      <c r="M37" s="10">
        <v>411252.96</v>
      </c>
    </row>
    <row r="38" spans="1:13" ht="25.5">
      <c r="A38" s="11"/>
      <c r="B38" s="11"/>
      <c r="C38" s="11"/>
      <c r="D38" s="11"/>
      <c r="E38" s="7" t="s">
        <v>48</v>
      </c>
      <c r="F38" s="5"/>
      <c r="G38" s="5"/>
      <c r="H38" s="8">
        <v>0</v>
      </c>
      <c r="I38" s="9">
        <v>0</v>
      </c>
      <c r="J38" s="9">
        <v>164500.79</v>
      </c>
      <c r="K38" s="9">
        <v>208308.89</v>
      </c>
      <c r="L38" s="9">
        <v>38443.31</v>
      </c>
      <c r="M38" s="10">
        <v>411252.99</v>
      </c>
    </row>
    <row r="39" spans="1:13" ht="12.75">
      <c r="A39" s="11"/>
      <c r="B39" s="11"/>
      <c r="C39" s="11"/>
      <c r="D39" s="11"/>
      <c r="E39" s="7" t="s">
        <v>49</v>
      </c>
      <c r="F39" s="5"/>
      <c r="G39" s="5"/>
      <c r="H39" s="8">
        <v>0</v>
      </c>
      <c r="I39" s="9">
        <v>3046.81</v>
      </c>
      <c r="J39" s="9">
        <v>12831.48</v>
      </c>
      <c r="K39" s="9">
        <v>20261.9</v>
      </c>
      <c r="L39" s="9">
        <v>11478.84</v>
      </c>
      <c r="M39" s="10">
        <v>47619.03</v>
      </c>
    </row>
    <row r="40" spans="1:13" ht="12.75">
      <c r="A40" s="11"/>
      <c r="B40" s="11"/>
      <c r="C40" s="11"/>
      <c r="D40" s="3" t="s">
        <v>50</v>
      </c>
      <c r="E40" s="5"/>
      <c r="F40" s="5"/>
      <c r="G40" s="5"/>
      <c r="H40" s="8">
        <v>0</v>
      </c>
      <c r="I40" s="9">
        <v>185826.8</v>
      </c>
      <c r="J40" s="9">
        <v>469779.26</v>
      </c>
      <c r="K40" s="9">
        <v>562140.75</v>
      </c>
      <c r="L40" s="9">
        <v>337800.16</v>
      </c>
      <c r="M40" s="10">
        <v>1555546.97</v>
      </c>
    </row>
    <row r="41" spans="1:13" ht="12.75">
      <c r="A41" s="11"/>
      <c r="B41" s="11"/>
      <c r="C41" s="11"/>
      <c r="D41" s="3" t="s">
        <v>51</v>
      </c>
      <c r="E41" s="7" t="s">
        <v>51</v>
      </c>
      <c r="F41" s="5"/>
      <c r="G41" s="5"/>
      <c r="H41" s="8">
        <v>0</v>
      </c>
      <c r="I41" s="9">
        <v>0</v>
      </c>
      <c r="J41" s="9">
        <v>0</v>
      </c>
      <c r="K41" s="9">
        <v>0</v>
      </c>
      <c r="L41" s="9">
        <v>0</v>
      </c>
      <c r="M41" s="10">
        <v>0</v>
      </c>
    </row>
    <row r="42" spans="1:13" ht="12.75">
      <c r="A42" s="11"/>
      <c r="B42" s="11"/>
      <c r="C42" s="11"/>
      <c r="D42" s="11"/>
      <c r="E42" s="7" t="s">
        <v>52</v>
      </c>
      <c r="F42" s="5"/>
      <c r="G42" s="5"/>
      <c r="H42" s="8">
        <v>0</v>
      </c>
      <c r="I42" s="9">
        <v>0</v>
      </c>
      <c r="J42" s="9">
        <v>0</v>
      </c>
      <c r="K42" s="9">
        <v>0</v>
      </c>
      <c r="L42" s="9">
        <v>0</v>
      </c>
      <c r="M42" s="10">
        <v>0</v>
      </c>
    </row>
    <row r="43" spans="1:13" ht="12.75">
      <c r="A43" s="11"/>
      <c r="B43" s="11"/>
      <c r="C43" s="11"/>
      <c r="D43" s="3" t="s">
        <v>53</v>
      </c>
      <c r="E43" s="5"/>
      <c r="F43" s="5"/>
      <c r="G43" s="5"/>
      <c r="H43" s="8">
        <v>0</v>
      </c>
      <c r="I43" s="9">
        <v>0</v>
      </c>
      <c r="J43" s="9">
        <v>0</v>
      </c>
      <c r="K43" s="9">
        <v>0</v>
      </c>
      <c r="L43" s="9">
        <v>0</v>
      </c>
      <c r="M43" s="10">
        <v>0</v>
      </c>
    </row>
    <row r="44" spans="1:13" ht="12.75">
      <c r="A44" s="11"/>
      <c r="B44" s="11"/>
      <c r="C44" s="3" t="s">
        <v>54</v>
      </c>
      <c r="D44" s="4"/>
      <c r="E44" s="5"/>
      <c r="F44" s="5"/>
      <c r="G44" s="5"/>
      <c r="H44" s="8">
        <v>266484.83</v>
      </c>
      <c r="I44" s="9">
        <v>9822662.08</v>
      </c>
      <c r="J44" s="9">
        <v>10580456.21</v>
      </c>
      <c r="K44" s="9">
        <v>9635018.85</v>
      </c>
      <c r="L44" s="9">
        <v>7135134.9</v>
      </c>
      <c r="M44" s="10">
        <v>37439756.87</v>
      </c>
    </row>
    <row r="45" spans="1:13" ht="12.75">
      <c r="A45" s="11"/>
      <c r="B45" s="11"/>
      <c r="C45" s="3" t="s">
        <v>55</v>
      </c>
      <c r="D45" s="3" t="s">
        <v>55</v>
      </c>
      <c r="E45" s="5"/>
      <c r="F45" s="5"/>
      <c r="G45" s="5"/>
      <c r="H45" s="8">
        <v>0</v>
      </c>
      <c r="I45" s="9">
        <v>0</v>
      </c>
      <c r="J45" s="9">
        <v>0</v>
      </c>
      <c r="K45" s="9">
        <v>0</v>
      </c>
      <c r="L45" s="9">
        <v>0</v>
      </c>
      <c r="M45" s="10">
        <v>0</v>
      </c>
    </row>
    <row r="46" spans="1:13" ht="12.75">
      <c r="A46" s="11"/>
      <c r="B46" s="11"/>
      <c r="C46" s="11"/>
      <c r="D46" s="3" t="s">
        <v>56</v>
      </c>
      <c r="E46" s="7" t="s">
        <v>56</v>
      </c>
      <c r="F46" s="5"/>
      <c r="G46" s="5"/>
      <c r="H46" s="8">
        <v>0</v>
      </c>
      <c r="I46" s="9">
        <v>0</v>
      </c>
      <c r="J46" s="9">
        <v>0</v>
      </c>
      <c r="K46" s="9">
        <v>0</v>
      </c>
      <c r="L46" s="9">
        <v>0</v>
      </c>
      <c r="M46" s="10">
        <v>0</v>
      </c>
    </row>
    <row r="47" spans="1:13" ht="12.75">
      <c r="A47" s="11"/>
      <c r="B47" s="11"/>
      <c r="C47" s="11"/>
      <c r="D47" s="11"/>
      <c r="E47" s="7" t="s">
        <v>57</v>
      </c>
      <c r="F47" s="5"/>
      <c r="G47" s="5"/>
      <c r="H47" s="8">
        <v>0</v>
      </c>
      <c r="I47" s="9">
        <v>0</v>
      </c>
      <c r="J47" s="9">
        <v>0</v>
      </c>
      <c r="K47" s="9">
        <v>0</v>
      </c>
      <c r="L47" s="9">
        <v>0</v>
      </c>
      <c r="M47" s="10">
        <v>0</v>
      </c>
    </row>
    <row r="48" spans="1:13" ht="12.75">
      <c r="A48" s="11"/>
      <c r="B48" s="11"/>
      <c r="C48" s="11"/>
      <c r="D48" s="11"/>
      <c r="E48" s="7" t="s">
        <v>58</v>
      </c>
      <c r="F48" s="5"/>
      <c r="G48" s="5"/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10">
        <v>0</v>
      </c>
    </row>
    <row r="49" spans="1:13" ht="12.75">
      <c r="A49" s="11"/>
      <c r="B49" s="11"/>
      <c r="C49" s="11"/>
      <c r="D49" s="11"/>
      <c r="E49" s="7" t="s">
        <v>59</v>
      </c>
      <c r="F49" s="5"/>
      <c r="G49" s="5"/>
      <c r="H49" s="8">
        <v>0</v>
      </c>
      <c r="I49" s="9">
        <v>0</v>
      </c>
      <c r="J49" s="9">
        <v>0</v>
      </c>
      <c r="K49" s="9">
        <v>0</v>
      </c>
      <c r="L49" s="9">
        <v>0</v>
      </c>
      <c r="M49" s="10">
        <v>0</v>
      </c>
    </row>
    <row r="50" spans="1:13" ht="12.75">
      <c r="A50" s="11"/>
      <c r="B50" s="11"/>
      <c r="C50" s="11"/>
      <c r="D50" s="3" t="s">
        <v>60</v>
      </c>
      <c r="E50" s="5"/>
      <c r="F50" s="5"/>
      <c r="G50" s="5"/>
      <c r="H50" s="8">
        <v>0</v>
      </c>
      <c r="I50" s="9">
        <v>0</v>
      </c>
      <c r="J50" s="9">
        <v>0</v>
      </c>
      <c r="K50" s="9">
        <v>0</v>
      </c>
      <c r="L50" s="9">
        <v>0</v>
      </c>
      <c r="M50" s="10">
        <v>0</v>
      </c>
    </row>
    <row r="51" spans="1:13" ht="12.75">
      <c r="A51" s="11"/>
      <c r="B51" s="11"/>
      <c r="C51" s="11"/>
      <c r="D51" s="3" t="s">
        <v>61</v>
      </c>
      <c r="E51" s="7" t="s">
        <v>61</v>
      </c>
      <c r="F51" s="5"/>
      <c r="G51" s="5"/>
      <c r="H51" s="8">
        <v>0</v>
      </c>
      <c r="I51" s="9">
        <v>0</v>
      </c>
      <c r="J51" s="9">
        <v>0</v>
      </c>
      <c r="K51" s="9">
        <v>0</v>
      </c>
      <c r="L51" s="9">
        <v>0</v>
      </c>
      <c r="M51" s="10">
        <v>0</v>
      </c>
    </row>
    <row r="52" spans="1:13" ht="25.5">
      <c r="A52" s="11"/>
      <c r="B52" s="11"/>
      <c r="C52" s="11"/>
      <c r="D52" s="11"/>
      <c r="E52" s="7" t="s">
        <v>62</v>
      </c>
      <c r="F52" s="5"/>
      <c r="G52" s="5"/>
      <c r="H52" s="8">
        <v>412301.92</v>
      </c>
      <c r="I52" s="9">
        <v>1569208.8</v>
      </c>
      <c r="J52" s="9">
        <v>1556901.28</v>
      </c>
      <c r="K52" s="9">
        <v>1126138.08</v>
      </c>
      <c r="L52" s="9">
        <v>0</v>
      </c>
      <c r="M52" s="10">
        <v>4664550.08</v>
      </c>
    </row>
    <row r="53" spans="1:13" ht="12.75">
      <c r="A53" s="11"/>
      <c r="B53" s="11"/>
      <c r="C53" s="11"/>
      <c r="D53" s="3" t="s">
        <v>63</v>
      </c>
      <c r="E53" s="5"/>
      <c r="F53" s="5"/>
      <c r="G53" s="5"/>
      <c r="H53" s="8">
        <v>412301.92</v>
      </c>
      <c r="I53" s="9">
        <v>1569208.8</v>
      </c>
      <c r="J53" s="9">
        <v>1556901.28</v>
      </c>
      <c r="K53" s="9">
        <v>1126138.08</v>
      </c>
      <c r="L53" s="9">
        <v>0</v>
      </c>
      <c r="M53" s="10">
        <v>4664550.08</v>
      </c>
    </row>
    <row r="54" spans="1:13" ht="12.75">
      <c r="A54" s="11"/>
      <c r="B54" s="11"/>
      <c r="C54" s="11"/>
      <c r="D54" s="3" t="s">
        <v>64</v>
      </c>
      <c r="E54" s="7" t="s">
        <v>64</v>
      </c>
      <c r="F54" s="5"/>
      <c r="G54" s="5"/>
      <c r="H54" s="8">
        <v>0</v>
      </c>
      <c r="I54" s="9">
        <v>0</v>
      </c>
      <c r="J54" s="9">
        <v>0</v>
      </c>
      <c r="K54" s="9">
        <v>0</v>
      </c>
      <c r="L54" s="9">
        <v>0</v>
      </c>
      <c r="M54" s="10">
        <v>0</v>
      </c>
    </row>
    <row r="55" spans="1:13" ht="25.5">
      <c r="A55" s="11"/>
      <c r="B55" s="11"/>
      <c r="C55" s="11"/>
      <c r="D55" s="11"/>
      <c r="E55" s="7" t="s">
        <v>65</v>
      </c>
      <c r="F55" s="7" t="s">
        <v>65</v>
      </c>
      <c r="G55" s="5"/>
      <c r="H55" s="8">
        <v>0</v>
      </c>
      <c r="I55" s="9">
        <v>0</v>
      </c>
      <c r="J55" s="9">
        <v>0</v>
      </c>
      <c r="K55" s="9">
        <v>0</v>
      </c>
      <c r="L55" s="9">
        <v>0</v>
      </c>
      <c r="M55" s="10">
        <v>0</v>
      </c>
    </row>
    <row r="56" spans="1:13" ht="25.5">
      <c r="A56" s="11"/>
      <c r="B56" s="11"/>
      <c r="C56" s="11"/>
      <c r="D56" s="11"/>
      <c r="E56" s="12"/>
      <c r="F56" s="7" t="s">
        <v>66</v>
      </c>
      <c r="G56" s="5"/>
      <c r="H56" s="8">
        <v>2645.94</v>
      </c>
      <c r="I56" s="9">
        <v>674715.26</v>
      </c>
      <c r="J56" s="9">
        <v>283115.81</v>
      </c>
      <c r="K56" s="9">
        <v>0</v>
      </c>
      <c r="L56" s="9">
        <v>0</v>
      </c>
      <c r="M56" s="10">
        <v>960477.01</v>
      </c>
    </row>
    <row r="57" spans="1:13" ht="25.5">
      <c r="A57" s="11"/>
      <c r="B57" s="11"/>
      <c r="C57" s="11"/>
      <c r="D57" s="11"/>
      <c r="E57" s="12"/>
      <c r="F57" s="7" t="s">
        <v>67</v>
      </c>
      <c r="G57" s="5"/>
      <c r="H57" s="8">
        <v>1901.07</v>
      </c>
      <c r="I57" s="9">
        <v>484774.01</v>
      </c>
      <c r="J57" s="9">
        <v>380214.91</v>
      </c>
      <c r="K57" s="9">
        <v>0</v>
      </c>
      <c r="L57" s="9">
        <v>0</v>
      </c>
      <c r="M57" s="10">
        <v>866889.99</v>
      </c>
    </row>
    <row r="58" spans="1:13" ht="25.5">
      <c r="A58" s="11"/>
      <c r="B58" s="11"/>
      <c r="C58" s="11"/>
      <c r="D58" s="11"/>
      <c r="E58" s="12"/>
      <c r="F58" s="7" t="s">
        <v>68</v>
      </c>
      <c r="G58" s="5"/>
      <c r="H58" s="8">
        <v>2603.27</v>
      </c>
      <c r="I58" s="9">
        <v>663834.71</v>
      </c>
      <c r="J58" s="9">
        <v>200452.05</v>
      </c>
      <c r="K58" s="9">
        <v>0</v>
      </c>
      <c r="L58" s="9">
        <v>0</v>
      </c>
      <c r="M58" s="10">
        <v>866890.03</v>
      </c>
    </row>
    <row r="59" spans="1:13" ht="25.5">
      <c r="A59" s="11"/>
      <c r="B59" s="11"/>
      <c r="C59" s="11"/>
      <c r="D59" s="11"/>
      <c r="E59" s="12"/>
      <c r="F59" s="7" t="s">
        <v>69</v>
      </c>
      <c r="G59" s="5"/>
      <c r="H59" s="8">
        <v>2645.94</v>
      </c>
      <c r="I59" s="9">
        <v>674715.26</v>
      </c>
      <c r="J59" s="9">
        <v>283115.81</v>
      </c>
      <c r="K59" s="9">
        <v>0</v>
      </c>
      <c r="L59" s="9">
        <v>0</v>
      </c>
      <c r="M59" s="10">
        <v>960477.01</v>
      </c>
    </row>
    <row r="60" spans="1:13" ht="25.5">
      <c r="A60" s="11"/>
      <c r="B60" s="11"/>
      <c r="C60" s="11"/>
      <c r="D60" s="11"/>
      <c r="E60" s="12"/>
      <c r="F60" s="7" t="s">
        <v>70</v>
      </c>
      <c r="G60" s="5"/>
      <c r="H60" s="8">
        <v>2603.27</v>
      </c>
      <c r="I60" s="9">
        <v>663834.71</v>
      </c>
      <c r="J60" s="9">
        <v>200452.05</v>
      </c>
      <c r="K60" s="9">
        <v>0</v>
      </c>
      <c r="L60" s="9">
        <v>0</v>
      </c>
      <c r="M60" s="10">
        <v>866890.03</v>
      </c>
    </row>
    <row r="61" spans="1:13" ht="25.5">
      <c r="A61" s="11"/>
      <c r="B61" s="11"/>
      <c r="C61" s="11"/>
      <c r="D61" s="11"/>
      <c r="E61" s="12"/>
      <c r="F61" s="7" t="s">
        <v>71</v>
      </c>
      <c r="G61" s="5"/>
      <c r="H61" s="8">
        <v>2603.27</v>
      </c>
      <c r="I61" s="9">
        <v>663834.71</v>
      </c>
      <c r="J61" s="9">
        <v>200452.05</v>
      </c>
      <c r="K61" s="9">
        <v>0</v>
      </c>
      <c r="L61" s="9">
        <v>0</v>
      </c>
      <c r="M61" s="10">
        <v>866890.03</v>
      </c>
    </row>
    <row r="62" spans="1:13" ht="25.5">
      <c r="A62" s="11"/>
      <c r="B62" s="11"/>
      <c r="C62" s="11"/>
      <c r="D62" s="11"/>
      <c r="E62" s="12"/>
      <c r="F62" s="7" t="s">
        <v>72</v>
      </c>
      <c r="G62" s="5"/>
      <c r="H62" s="8">
        <v>2292.77</v>
      </c>
      <c r="I62" s="9">
        <v>584655.22</v>
      </c>
      <c r="J62" s="9">
        <v>107759.98</v>
      </c>
      <c r="K62" s="9">
        <v>0</v>
      </c>
      <c r="L62" s="9">
        <v>0</v>
      </c>
      <c r="M62" s="10">
        <v>694707.97</v>
      </c>
    </row>
    <row r="63" spans="1:13" ht="25.5">
      <c r="A63" s="11"/>
      <c r="B63" s="11"/>
      <c r="C63" s="11"/>
      <c r="D63" s="11"/>
      <c r="E63" s="12"/>
      <c r="F63" s="7" t="s">
        <v>73</v>
      </c>
      <c r="G63" s="5"/>
      <c r="H63" s="8">
        <v>2292.77</v>
      </c>
      <c r="I63" s="9">
        <v>584655.22</v>
      </c>
      <c r="J63" s="9">
        <v>107759.98</v>
      </c>
      <c r="K63" s="9">
        <v>0</v>
      </c>
      <c r="L63" s="9">
        <v>0</v>
      </c>
      <c r="M63" s="10">
        <v>694707.97</v>
      </c>
    </row>
    <row r="64" spans="1:13" ht="12.75">
      <c r="A64" s="11"/>
      <c r="B64" s="11"/>
      <c r="C64" s="11"/>
      <c r="D64" s="11"/>
      <c r="E64" s="12"/>
      <c r="F64" s="7" t="s">
        <v>74</v>
      </c>
      <c r="G64" s="5"/>
      <c r="H64" s="8">
        <v>2292.77</v>
      </c>
      <c r="I64" s="9">
        <v>584655.22</v>
      </c>
      <c r="J64" s="9">
        <v>107759.98</v>
      </c>
      <c r="K64" s="9">
        <v>0</v>
      </c>
      <c r="L64" s="9">
        <v>0</v>
      </c>
      <c r="M64" s="10">
        <v>694707.97</v>
      </c>
    </row>
    <row r="65" spans="1:13" ht="12.75">
      <c r="A65" s="11"/>
      <c r="B65" s="11"/>
      <c r="C65" s="11"/>
      <c r="D65" s="11"/>
      <c r="E65" s="12"/>
      <c r="F65" s="7" t="s">
        <v>75</v>
      </c>
      <c r="G65" s="5"/>
      <c r="H65" s="8">
        <v>2292.77</v>
      </c>
      <c r="I65" s="9">
        <v>584655.22</v>
      </c>
      <c r="J65" s="9">
        <v>107759.98</v>
      </c>
      <c r="K65" s="9">
        <v>0</v>
      </c>
      <c r="L65" s="9">
        <v>0</v>
      </c>
      <c r="M65" s="10">
        <v>694707.97</v>
      </c>
    </row>
    <row r="66" spans="1:13" ht="12.75">
      <c r="A66" s="11"/>
      <c r="B66" s="11"/>
      <c r="C66" s="11"/>
      <c r="D66" s="11"/>
      <c r="E66" s="12"/>
      <c r="F66" s="7" t="s">
        <v>76</v>
      </c>
      <c r="G66" s="5"/>
      <c r="H66" s="8">
        <v>2292.77</v>
      </c>
      <c r="I66" s="9">
        <v>584655.22</v>
      </c>
      <c r="J66" s="9">
        <v>107759.98</v>
      </c>
      <c r="K66" s="9">
        <v>0</v>
      </c>
      <c r="L66" s="9">
        <v>0</v>
      </c>
      <c r="M66" s="10">
        <v>694707.97</v>
      </c>
    </row>
    <row r="67" spans="1:13" ht="12.75">
      <c r="A67" s="11"/>
      <c r="B67" s="11"/>
      <c r="C67" s="11"/>
      <c r="D67" s="11"/>
      <c r="E67" s="12"/>
      <c r="F67" s="7" t="s">
        <v>77</v>
      </c>
      <c r="G67" s="5"/>
      <c r="H67" s="8">
        <v>0</v>
      </c>
      <c r="I67" s="9">
        <v>71152.43</v>
      </c>
      <c r="J67" s="9">
        <v>972416.57</v>
      </c>
      <c r="K67" s="9">
        <v>0</v>
      </c>
      <c r="L67" s="9">
        <v>0</v>
      </c>
      <c r="M67" s="10">
        <v>1043569</v>
      </c>
    </row>
    <row r="68" spans="1:13" ht="25.5">
      <c r="A68" s="11"/>
      <c r="B68" s="11"/>
      <c r="C68" s="11"/>
      <c r="D68" s="11"/>
      <c r="E68" s="7" t="s">
        <v>78</v>
      </c>
      <c r="F68" s="5"/>
      <c r="G68" s="5"/>
      <c r="H68" s="8">
        <v>26466.61</v>
      </c>
      <c r="I68" s="9">
        <v>6820137.19</v>
      </c>
      <c r="J68" s="9">
        <v>3059019.15</v>
      </c>
      <c r="K68" s="9">
        <v>0</v>
      </c>
      <c r="L68" s="9">
        <v>0</v>
      </c>
      <c r="M68" s="10">
        <v>9905622.95</v>
      </c>
    </row>
    <row r="69" spans="1:13" ht="12.75">
      <c r="A69" s="11"/>
      <c r="B69" s="11"/>
      <c r="C69" s="11"/>
      <c r="D69" s="11"/>
      <c r="E69" s="7" t="s">
        <v>79</v>
      </c>
      <c r="F69" s="7" t="s">
        <v>79</v>
      </c>
      <c r="G69" s="5"/>
      <c r="H69" s="8">
        <v>0</v>
      </c>
      <c r="I69" s="9">
        <v>0</v>
      </c>
      <c r="J69" s="9">
        <v>0</v>
      </c>
      <c r="K69" s="9">
        <v>0</v>
      </c>
      <c r="L69" s="9">
        <v>0</v>
      </c>
      <c r="M69" s="10">
        <v>0</v>
      </c>
    </row>
    <row r="70" spans="1:13" ht="12.75">
      <c r="A70" s="11"/>
      <c r="B70" s="11"/>
      <c r="C70" s="11"/>
      <c r="D70" s="11"/>
      <c r="E70" s="12"/>
      <c r="F70" s="7" t="s">
        <v>80</v>
      </c>
      <c r="G70" s="5"/>
      <c r="H70" s="8">
        <v>0</v>
      </c>
      <c r="I70" s="9">
        <v>137523.23</v>
      </c>
      <c r="J70" s="9">
        <v>579889.62</v>
      </c>
      <c r="K70" s="9">
        <v>91682.15</v>
      </c>
      <c r="L70" s="9">
        <v>0</v>
      </c>
      <c r="M70" s="10">
        <v>809095</v>
      </c>
    </row>
    <row r="71" spans="1:13" ht="12.75">
      <c r="A71" s="11"/>
      <c r="B71" s="11"/>
      <c r="C71" s="11"/>
      <c r="D71" s="11"/>
      <c r="E71" s="12"/>
      <c r="F71" s="7" t="s">
        <v>81</v>
      </c>
      <c r="G71" s="5"/>
      <c r="H71" s="8">
        <v>0</v>
      </c>
      <c r="I71" s="9">
        <v>99976.38</v>
      </c>
      <c r="J71" s="9">
        <v>388241.62</v>
      </c>
      <c r="K71" s="9">
        <v>0</v>
      </c>
      <c r="L71" s="9">
        <v>0</v>
      </c>
      <c r="M71" s="10">
        <v>488218</v>
      </c>
    </row>
    <row r="72" spans="1:13" ht="12.75">
      <c r="A72" s="11"/>
      <c r="B72" s="11"/>
      <c r="C72" s="11"/>
      <c r="D72" s="11"/>
      <c r="E72" s="12"/>
      <c r="F72" s="7" t="s">
        <v>82</v>
      </c>
      <c r="G72" s="5"/>
      <c r="H72" s="8">
        <v>0</v>
      </c>
      <c r="I72" s="9">
        <v>99976.38</v>
      </c>
      <c r="J72" s="9">
        <v>388241.62</v>
      </c>
      <c r="K72" s="9">
        <v>0</v>
      </c>
      <c r="L72" s="9">
        <v>0</v>
      </c>
      <c r="M72" s="10">
        <v>488218</v>
      </c>
    </row>
    <row r="73" spans="1:13" ht="12.75">
      <c r="A73" s="11"/>
      <c r="B73" s="11"/>
      <c r="C73" s="11"/>
      <c r="D73" s="11"/>
      <c r="E73" s="12"/>
      <c r="F73" s="7" t="s">
        <v>83</v>
      </c>
      <c r="G73" s="5"/>
      <c r="H73" s="8">
        <v>0</v>
      </c>
      <c r="I73" s="9">
        <v>99976.38</v>
      </c>
      <c r="J73" s="9">
        <v>388241.62</v>
      </c>
      <c r="K73" s="9">
        <v>0</v>
      </c>
      <c r="L73" s="9">
        <v>0</v>
      </c>
      <c r="M73" s="10">
        <v>488218</v>
      </c>
    </row>
    <row r="74" spans="1:13" ht="12.75">
      <c r="A74" s="11"/>
      <c r="B74" s="11"/>
      <c r="C74" s="11"/>
      <c r="D74" s="11"/>
      <c r="E74" s="12"/>
      <c r="F74" s="7" t="s">
        <v>84</v>
      </c>
      <c r="G74" s="5"/>
      <c r="H74" s="8">
        <v>0</v>
      </c>
      <c r="I74" s="9">
        <v>87191.59</v>
      </c>
      <c r="J74" s="9">
        <v>367657.86</v>
      </c>
      <c r="K74" s="9">
        <v>101723.52</v>
      </c>
      <c r="L74" s="9">
        <v>0</v>
      </c>
      <c r="M74" s="10">
        <v>556572.97</v>
      </c>
    </row>
    <row r="75" spans="1:13" ht="25.5">
      <c r="A75" s="11"/>
      <c r="B75" s="11"/>
      <c r="C75" s="11"/>
      <c r="D75" s="11"/>
      <c r="E75" s="12"/>
      <c r="F75" s="7" t="s">
        <v>85</v>
      </c>
      <c r="G75" s="5"/>
      <c r="H75" s="8">
        <v>1981.6</v>
      </c>
      <c r="I75" s="9">
        <v>505307.47</v>
      </c>
      <c r="J75" s="9">
        <v>251662.93</v>
      </c>
      <c r="K75" s="9">
        <v>0</v>
      </c>
      <c r="L75" s="9">
        <v>0</v>
      </c>
      <c r="M75" s="10">
        <v>758952</v>
      </c>
    </row>
    <row r="76" spans="1:13" ht="12.75">
      <c r="A76" s="11"/>
      <c r="B76" s="11"/>
      <c r="C76" s="11"/>
      <c r="D76" s="11"/>
      <c r="E76" s="12"/>
      <c r="F76" s="7" t="s">
        <v>86</v>
      </c>
      <c r="G76" s="5"/>
      <c r="H76" s="8">
        <v>0</v>
      </c>
      <c r="I76" s="9">
        <v>87191.59</v>
      </c>
      <c r="J76" s="9">
        <v>367657.86</v>
      </c>
      <c r="K76" s="9">
        <v>101723.52</v>
      </c>
      <c r="L76" s="9">
        <v>0</v>
      </c>
      <c r="M76" s="10">
        <v>556572.97</v>
      </c>
    </row>
    <row r="77" spans="1:13" ht="12.75">
      <c r="A77" s="11"/>
      <c r="B77" s="11"/>
      <c r="C77" s="11"/>
      <c r="D77" s="11"/>
      <c r="E77" s="12"/>
      <c r="F77" s="7" t="s">
        <v>87</v>
      </c>
      <c r="G77" s="5"/>
      <c r="H77" s="8">
        <v>0</v>
      </c>
      <c r="I77" s="9">
        <v>99976.38</v>
      </c>
      <c r="J77" s="9">
        <v>388241.62</v>
      </c>
      <c r="K77" s="9">
        <v>0</v>
      </c>
      <c r="L77" s="9">
        <v>0</v>
      </c>
      <c r="M77" s="10">
        <v>488218</v>
      </c>
    </row>
    <row r="78" spans="1:13" ht="12.75">
      <c r="A78" s="11"/>
      <c r="B78" s="11"/>
      <c r="C78" s="11"/>
      <c r="D78" s="11"/>
      <c r="E78" s="12"/>
      <c r="F78" s="7" t="s">
        <v>88</v>
      </c>
      <c r="G78" s="5"/>
      <c r="H78" s="8">
        <v>1542.21</v>
      </c>
      <c r="I78" s="9">
        <v>393262.37</v>
      </c>
      <c r="J78" s="9">
        <v>10795.44</v>
      </c>
      <c r="K78" s="9">
        <v>0</v>
      </c>
      <c r="L78" s="9">
        <v>0</v>
      </c>
      <c r="M78" s="10">
        <v>405600.02</v>
      </c>
    </row>
    <row r="79" spans="1:13" ht="25.5">
      <c r="A79" s="11"/>
      <c r="B79" s="11"/>
      <c r="C79" s="11"/>
      <c r="D79" s="11"/>
      <c r="E79" s="12"/>
      <c r="F79" s="7" t="s">
        <v>89</v>
      </c>
      <c r="G79" s="5"/>
      <c r="H79" s="8">
        <v>593456</v>
      </c>
      <c r="I79" s="9">
        <v>0</v>
      </c>
      <c r="J79" s="9">
        <v>0</v>
      </c>
      <c r="K79" s="9">
        <v>0</v>
      </c>
      <c r="L79" s="9">
        <v>0</v>
      </c>
      <c r="M79" s="10">
        <v>593456</v>
      </c>
    </row>
    <row r="80" spans="1:13" ht="12.75">
      <c r="A80" s="11"/>
      <c r="B80" s="11"/>
      <c r="C80" s="11"/>
      <c r="D80" s="11"/>
      <c r="E80" s="7" t="s">
        <v>90</v>
      </c>
      <c r="F80" s="5"/>
      <c r="G80" s="5"/>
      <c r="H80" s="8">
        <v>596979.81</v>
      </c>
      <c r="I80" s="9">
        <v>1610381.77</v>
      </c>
      <c r="J80" s="9">
        <v>3130630.19</v>
      </c>
      <c r="K80" s="9">
        <v>295129.19</v>
      </c>
      <c r="L80" s="9">
        <v>0</v>
      </c>
      <c r="M80" s="10">
        <v>5633120.96</v>
      </c>
    </row>
    <row r="81" spans="1:13" ht="25.5">
      <c r="A81" s="11"/>
      <c r="B81" s="11"/>
      <c r="C81" s="11"/>
      <c r="D81" s="11"/>
      <c r="E81" s="7" t="s">
        <v>91</v>
      </c>
      <c r="F81" s="7" t="s">
        <v>91</v>
      </c>
      <c r="G81" s="5"/>
      <c r="H81" s="8">
        <v>0</v>
      </c>
      <c r="I81" s="9">
        <v>0</v>
      </c>
      <c r="J81" s="9">
        <v>0</v>
      </c>
      <c r="K81" s="9">
        <v>0</v>
      </c>
      <c r="L81" s="9">
        <v>0</v>
      </c>
      <c r="M81" s="10">
        <v>0</v>
      </c>
    </row>
    <row r="82" spans="1:13" ht="12.75">
      <c r="A82" s="11"/>
      <c r="B82" s="11"/>
      <c r="C82" s="11"/>
      <c r="D82" s="11"/>
      <c r="E82" s="12"/>
      <c r="F82" s="7" t="s">
        <v>92</v>
      </c>
      <c r="G82" s="5"/>
      <c r="H82" s="8">
        <v>5938.75</v>
      </c>
      <c r="I82" s="9">
        <v>1514381.37</v>
      </c>
      <c r="J82" s="9">
        <v>1288708.85</v>
      </c>
      <c r="K82" s="9">
        <v>0</v>
      </c>
      <c r="L82" s="9">
        <v>0</v>
      </c>
      <c r="M82" s="10">
        <v>2809028.97</v>
      </c>
    </row>
    <row r="83" spans="1:13" ht="12.75">
      <c r="A83" s="11"/>
      <c r="B83" s="11"/>
      <c r="C83" s="11"/>
      <c r="D83" s="11"/>
      <c r="E83" s="12"/>
      <c r="F83" s="7" t="s">
        <v>93</v>
      </c>
      <c r="G83" s="5"/>
      <c r="H83" s="8">
        <v>0</v>
      </c>
      <c r="I83" s="9">
        <v>356325.03</v>
      </c>
      <c r="J83" s="9">
        <v>1502503.87</v>
      </c>
      <c r="K83" s="9">
        <v>950200.08</v>
      </c>
      <c r="L83" s="9">
        <v>0</v>
      </c>
      <c r="M83" s="10">
        <v>2809028.98</v>
      </c>
    </row>
    <row r="84" spans="1:13" ht="12.75">
      <c r="A84" s="11"/>
      <c r="B84" s="11"/>
      <c r="C84" s="11"/>
      <c r="D84" s="11"/>
      <c r="E84" s="12"/>
      <c r="F84" s="7" t="s">
        <v>94</v>
      </c>
      <c r="G84" s="5"/>
      <c r="H84" s="8">
        <v>0</v>
      </c>
      <c r="I84" s="9">
        <v>356325.03</v>
      </c>
      <c r="J84" s="9">
        <v>1502503.87</v>
      </c>
      <c r="K84" s="9">
        <v>950200.08</v>
      </c>
      <c r="L84" s="9">
        <v>0</v>
      </c>
      <c r="M84" s="10">
        <v>2809028.98</v>
      </c>
    </row>
    <row r="85" spans="1:13" ht="12.75">
      <c r="A85" s="11"/>
      <c r="B85" s="11"/>
      <c r="C85" s="11"/>
      <c r="D85" s="11"/>
      <c r="E85" s="12"/>
      <c r="F85" s="7" t="s">
        <v>95</v>
      </c>
      <c r="G85" s="5"/>
      <c r="H85" s="8">
        <v>0</v>
      </c>
      <c r="I85" s="9">
        <v>356325.03</v>
      </c>
      <c r="J85" s="9">
        <v>1502503.87</v>
      </c>
      <c r="K85" s="9">
        <v>950200.08</v>
      </c>
      <c r="L85" s="9">
        <v>0</v>
      </c>
      <c r="M85" s="10">
        <v>2809028.98</v>
      </c>
    </row>
    <row r="86" spans="1:13" ht="12.75">
      <c r="A86" s="11"/>
      <c r="B86" s="11"/>
      <c r="C86" s="11"/>
      <c r="D86" s="11"/>
      <c r="E86" s="12"/>
      <c r="F86" s="7" t="s">
        <v>96</v>
      </c>
      <c r="G86" s="5"/>
      <c r="H86" s="8">
        <v>0</v>
      </c>
      <c r="I86" s="9">
        <v>356325.03</v>
      </c>
      <c r="J86" s="9">
        <v>1502503.87</v>
      </c>
      <c r="K86" s="9">
        <v>950200.08</v>
      </c>
      <c r="L86" s="9">
        <v>0</v>
      </c>
      <c r="M86" s="10">
        <v>2809028.98</v>
      </c>
    </row>
    <row r="87" spans="1:13" ht="12.75">
      <c r="A87" s="11"/>
      <c r="B87" s="11"/>
      <c r="C87" s="11"/>
      <c r="D87" s="11"/>
      <c r="E87" s="12"/>
      <c r="F87" s="7" t="s">
        <v>97</v>
      </c>
      <c r="G87" s="5"/>
      <c r="H87" s="8">
        <v>0</v>
      </c>
      <c r="I87" s="9">
        <v>356325.03</v>
      </c>
      <c r="J87" s="9">
        <v>1502503.87</v>
      </c>
      <c r="K87" s="9">
        <v>950200.08</v>
      </c>
      <c r="L87" s="9">
        <v>0</v>
      </c>
      <c r="M87" s="10">
        <v>2809028.98</v>
      </c>
    </row>
    <row r="88" spans="1:13" ht="25.5">
      <c r="A88" s="11"/>
      <c r="B88" s="11"/>
      <c r="C88" s="11"/>
      <c r="D88" s="11"/>
      <c r="E88" s="12"/>
      <c r="F88" s="7" t="s">
        <v>98</v>
      </c>
      <c r="G88" s="5"/>
      <c r="H88" s="8">
        <v>2506.03</v>
      </c>
      <c r="I88" s="9">
        <v>639038.01</v>
      </c>
      <c r="J88" s="9">
        <v>318265.99</v>
      </c>
      <c r="K88" s="9">
        <v>0</v>
      </c>
      <c r="L88" s="9">
        <v>0</v>
      </c>
      <c r="M88" s="10">
        <v>959810.03</v>
      </c>
    </row>
    <row r="89" spans="1:13" ht="25.5">
      <c r="A89" s="11"/>
      <c r="B89" s="11"/>
      <c r="C89" s="11"/>
      <c r="D89" s="11"/>
      <c r="E89" s="12"/>
      <c r="F89" s="7" t="s">
        <v>99</v>
      </c>
      <c r="G89" s="5"/>
      <c r="H89" s="8">
        <v>5815.8</v>
      </c>
      <c r="I89" s="9">
        <v>1483027.75</v>
      </c>
      <c r="J89" s="9">
        <v>1320185.49</v>
      </c>
      <c r="K89" s="9">
        <v>0</v>
      </c>
      <c r="L89" s="9">
        <v>0</v>
      </c>
      <c r="M89" s="10">
        <v>2809029.04</v>
      </c>
    </row>
    <row r="90" spans="1:13" ht="25.5">
      <c r="A90" s="11"/>
      <c r="B90" s="11"/>
      <c r="C90" s="11"/>
      <c r="D90" s="11"/>
      <c r="E90" s="12"/>
      <c r="F90" s="7" t="s">
        <v>100</v>
      </c>
      <c r="G90" s="5"/>
      <c r="H90" s="8">
        <v>0</v>
      </c>
      <c r="I90" s="9">
        <v>0</v>
      </c>
      <c r="J90" s="9">
        <v>1805525.91</v>
      </c>
      <c r="K90" s="9">
        <v>2166631.09</v>
      </c>
      <c r="L90" s="9">
        <v>0</v>
      </c>
      <c r="M90" s="10">
        <v>3972157</v>
      </c>
    </row>
    <row r="91" spans="1:13" ht="25.5">
      <c r="A91" s="11"/>
      <c r="B91" s="11"/>
      <c r="C91" s="11"/>
      <c r="D91" s="11"/>
      <c r="E91" s="12"/>
      <c r="F91" s="7" t="s">
        <v>101</v>
      </c>
      <c r="G91" s="5"/>
      <c r="H91" s="8">
        <v>0</v>
      </c>
      <c r="I91" s="9">
        <v>0</v>
      </c>
      <c r="J91" s="9">
        <v>0</v>
      </c>
      <c r="K91" s="9">
        <v>0</v>
      </c>
      <c r="L91" s="9">
        <v>0</v>
      </c>
      <c r="M91" s="10">
        <v>0</v>
      </c>
    </row>
    <row r="92" spans="1:13" ht="25.5">
      <c r="A92" s="11"/>
      <c r="B92" s="11"/>
      <c r="C92" s="11"/>
      <c r="D92" s="11"/>
      <c r="E92" s="7" t="s">
        <v>102</v>
      </c>
      <c r="F92" s="5"/>
      <c r="G92" s="5"/>
      <c r="H92" s="8">
        <v>14260.58</v>
      </c>
      <c r="I92" s="9">
        <v>5418072.28</v>
      </c>
      <c r="J92" s="9">
        <v>12245205.59</v>
      </c>
      <c r="K92" s="9">
        <v>6917631.49</v>
      </c>
      <c r="L92" s="9">
        <v>0</v>
      </c>
      <c r="M92" s="10">
        <v>24595169.94</v>
      </c>
    </row>
    <row r="93" spans="1:13" ht="25.5">
      <c r="A93" s="11"/>
      <c r="B93" s="11"/>
      <c r="C93" s="11"/>
      <c r="D93" s="11"/>
      <c r="E93" s="7" t="s">
        <v>103</v>
      </c>
      <c r="F93" s="7" t="s">
        <v>103</v>
      </c>
      <c r="G93" s="5"/>
      <c r="H93" s="8">
        <v>0</v>
      </c>
      <c r="I93" s="9">
        <v>0</v>
      </c>
      <c r="J93" s="9">
        <v>0</v>
      </c>
      <c r="K93" s="9">
        <v>0</v>
      </c>
      <c r="L93" s="9">
        <v>0</v>
      </c>
      <c r="M93" s="10">
        <v>0</v>
      </c>
    </row>
    <row r="94" spans="1:13" ht="38.25">
      <c r="A94" s="11"/>
      <c r="B94" s="11"/>
      <c r="C94" s="11"/>
      <c r="D94" s="11"/>
      <c r="E94" s="12"/>
      <c r="F94" s="7" t="s">
        <v>104</v>
      </c>
      <c r="G94" s="5"/>
      <c r="H94" s="8">
        <v>0</v>
      </c>
      <c r="I94" s="9">
        <v>1885710.61</v>
      </c>
      <c r="J94" s="9">
        <v>565713.06</v>
      </c>
      <c r="K94" s="9">
        <v>0</v>
      </c>
      <c r="L94" s="9">
        <v>0</v>
      </c>
      <c r="M94" s="10">
        <v>2451423.67</v>
      </c>
    </row>
    <row r="95" spans="1:13" ht="25.5">
      <c r="A95" s="11"/>
      <c r="B95" s="11"/>
      <c r="C95" s="11"/>
      <c r="D95" s="11"/>
      <c r="E95" s="12"/>
      <c r="F95" s="7" t="s">
        <v>105</v>
      </c>
      <c r="G95" s="5"/>
      <c r="H95" s="8">
        <v>0</v>
      </c>
      <c r="I95" s="9">
        <v>0</v>
      </c>
      <c r="J95" s="9">
        <v>0</v>
      </c>
      <c r="K95" s="9">
        <v>0</v>
      </c>
      <c r="L95" s="9">
        <v>0</v>
      </c>
      <c r="M95" s="10">
        <v>0</v>
      </c>
    </row>
    <row r="96" spans="1:13" ht="25.5">
      <c r="A96" s="11"/>
      <c r="B96" s="11"/>
      <c r="C96" s="11"/>
      <c r="D96" s="11"/>
      <c r="E96" s="7" t="s">
        <v>106</v>
      </c>
      <c r="F96" s="5"/>
      <c r="G96" s="5"/>
      <c r="H96" s="8">
        <v>0</v>
      </c>
      <c r="I96" s="9">
        <v>1885710.61</v>
      </c>
      <c r="J96" s="9">
        <v>565713.06</v>
      </c>
      <c r="K96" s="9">
        <v>0</v>
      </c>
      <c r="L96" s="9">
        <v>0</v>
      </c>
      <c r="M96" s="10">
        <v>2451423.67</v>
      </c>
    </row>
    <row r="97" spans="1:13" ht="12.75">
      <c r="A97" s="11"/>
      <c r="B97" s="11"/>
      <c r="C97" s="11"/>
      <c r="D97" s="11"/>
      <c r="E97" s="7" t="s">
        <v>107</v>
      </c>
      <c r="F97" s="7" t="s">
        <v>107</v>
      </c>
      <c r="G97" s="5"/>
      <c r="H97" s="8">
        <v>0</v>
      </c>
      <c r="I97" s="9">
        <v>0</v>
      </c>
      <c r="J97" s="9">
        <v>0</v>
      </c>
      <c r="K97" s="9">
        <v>0</v>
      </c>
      <c r="L97" s="9">
        <v>0</v>
      </c>
      <c r="M97" s="10">
        <v>0</v>
      </c>
    </row>
    <row r="98" spans="1:13" ht="12.75">
      <c r="A98" s="11"/>
      <c r="B98" s="11"/>
      <c r="C98" s="11"/>
      <c r="D98" s="11"/>
      <c r="E98" s="12"/>
      <c r="F98" s="7" t="s">
        <v>108</v>
      </c>
      <c r="G98" s="7" t="s">
        <v>108</v>
      </c>
      <c r="H98" s="8">
        <v>0</v>
      </c>
      <c r="I98" s="9">
        <v>0</v>
      </c>
      <c r="J98" s="9">
        <v>0</v>
      </c>
      <c r="K98" s="9">
        <v>0</v>
      </c>
      <c r="L98" s="9">
        <v>0</v>
      </c>
      <c r="M98" s="10">
        <v>0</v>
      </c>
    </row>
    <row r="99" spans="1:13" ht="12.75">
      <c r="A99" s="11"/>
      <c r="B99" s="11"/>
      <c r="C99" s="11"/>
      <c r="D99" s="11"/>
      <c r="E99" s="12"/>
      <c r="F99" s="12"/>
      <c r="G99" s="13" t="s">
        <v>109</v>
      </c>
      <c r="H99" s="14">
        <v>0</v>
      </c>
      <c r="I99" s="15">
        <v>0</v>
      </c>
      <c r="J99" s="15">
        <v>22274742.65</v>
      </c>
      <c r="K99" s="15">
        <v>25260017.45</v>
      </c>
      <c r="L99" s="15">
        <v>17362517.93</v>
      </c>
      <c r="M99" s="16">
        <v>64897278.03</v>
      </c>
    </row>
    <row r="100" spans="1:13" ht="25.5">
      <c r="A100" s="11"/>
      <c r="B100" s="11"/>
      <c r="C100" s="11"/>
      <c r="D100" s="11"/>
      <c r="E100" s="12"/>
      <c r="F100" s="12"/>
      <c r="G100" s="13" t="s">
        <v>110</v>
      </c>
      <c r="H100" s="14">
        <v>0</v>
      </c>
      <c r="I100" s="15">
        <v>0</v>
      </c>
      <c r="J100" s="15">
        <v>0</v>
      </c>
      <c r="K100" s="15">
        <v>0</v>
      </c>
      <c r="L100" s="15">
        <v>1304286</v>
      </c>
      <c r="M100" s="16">
        <v>1304286</v>
      </c>
    </row>
    <row r="101" spans="1:13" ht="12.75">
      <c r="A101" s="11"/>
      <c r="B101" s="11"/>
      <c r="C101" s="11"/>
      <c r="D101" s="11"/>
      <c r="E101" s="12"/>
      <c r="F101" s="7" t="s">
        <v>111</v>
      </c>
      <c r="G101" s="5"/>
      <c r="H101" s="8">
        <v>0</v>
      </c>
      <c r="I101" s="9">
        <v>0</v>
      </c>
      <c r="J101" s="9">
        <v>22274742.65</v>
      </c>
      <c r="K101" s="9">
        <v>25260017.45</v>
      </c>
      <c r="L101" s="9">
        <v>18666803.93</v>
      </c>
      <c r="M101" s="10">
        <v>66201564.03</v>
      </c>
    </row>
    <row r="102" spans="1:13" ht="12.75">
      <c r="A102" s="11"/>
      <c r="B102" s="11"/>
      <c r="C102" s="11"/>
      <c r="D102" s="11"/>
      <c r="E102" s="12"/>
      <c r="F102" s="7" t="s">
        <v>112</v>
      </c>
      <c r="G102" s="7" t="s">
        <v>112</v>
      </c>
      <c r="H102" s="8">
        <v>0</v>
      </c>
      <c r="I102" s="9">
        <v>0</v>
      </c>
      <c r="J102" s="9">
        <v>0</v>
      </c>
      <c r="K102" s="9">
        <v>0</v>
      </c>
      <c r="L102" s="9">
        <v>0</v>
      </c>
      <c r="M102" s="10">
        <v>0</v>
      </c>
    </row>
    <row r="103" spans="1:13" ht="25.5">
      <c r="A103" s="11"/>
      <c r="B103" s="11"/>
      <c r="C103" s="11"/>
      <c r="D103" s="11"/>
      <c r="E103" s="12"/>
      <c r="F103" s="12"/>
      <c r="G103" s="13" t="s">
        <v>113</v>
      </c>
      <c r="H103" s="14">
        <v>0</v>
      </c>
      <c r="I103" s="15">
        <v>6280000.01</v>
      </c>
      <c r="J103" s="15">
        <v>0</v>
      </c>
      <c r="K103" s="15">
        <v>0</v>
      </c>
      <c r="L103" s="15">
        <v>0</v>
      </c>
      <c r="M103" s="16">
        <v>6280000.01</v>
      </c>
    </row>
    <row r="104" spans="1:13" ht="25.5">
      <c r="A104" s="11"/>
      <c r="B104" s="11"/>
      <c r="C104" s="11"/>
      <c r="D104" s="11"/>
      <c r="E104" s="12"/>
      <c r="F104" s="12"/>
      <c r="G104" s="13" t="s">
        <v>114</v>
      </c>
      <c r="H104" s="14">
        <v>158730.16</v>
      </c>
      <c r="I104" s="15">
        <v>14126983.85</v>
      </c>
      <c r="J104" s="15">
        <v>0</v>
      </c>
      <c r="K104" s="15">
        <v>0</v>
      </c>
      <c r="L104" s="15">
        <v>0</v>
      </c>
      <c r="M104" s="16">
        <v>14285714.01</v>
      </c>
    </row>
    <row r="105" spans="1:13" ht="25.5">
      <c r="A105" s="11"/>
      <c r="B105" s="11"/>
      <c r="C105" s="11"/>
      <c r="D105" s="11"/>
      <c r="E105" s="12"/>
      <c r="F105" s="12"/>
      <c r="G105" s="13" t="s">
        <v>115</v>
      </c>
      <c r="H105" s="14">
        <v>1164021.22</v>
      </c>
      <c r="I105" s="15">
        <v>2645502.77</v>
      </c>
      <c r="J105" s="15">
        <v>0</v>
      </c>
      <c r="K105" s="15">
        <v>0</v>
      </c>
      <c r="L105" s="15">
        <v>0</v>
      </c>
      <c r="M105" s="16">
        <v>3809523.99</v>
      </c>
    </row>
    <row r="106" spans="1:13" ht="12.75">
      <c r="A106" s="11"/>
      <c r="B106" s="11"/>
      <c r="C106" s="11"/>
      <c r="D106" s="11"/>
      <c r="E106" s="12"/>
      <c r="F106" s="7" t="s">
        <v>116</v>
      </c>
      <c r="G106" s="5"/>
      <c r="H106" s="8">
        <v>1322751.38</v>
      </c>
      <c r="I106" s="9">
        <v>23052486.63</v>
      </c>
      <c r="J106" s="9">
        <v>0</v>
      </c>
      <c r="K106" s="9">
        <v>0</v>
      </c>
      <c r="L106" s="9">
        <v>0</v>
      </c>
      <c r="M106" s="10">
        <v>24375238.01</v>
      </c>
    </row>
    <row r="107" spans="1:13" ht="12.75">
      <c r="A107" s="11"/>
      <c r="B107" s="11"/>
      <c r="C107" s="11"/>
      <c r="D107" s="11"/>
      <c r="E107" s="12"/>
      <c r="F107" s="7" t="s">
        <v>117</v>
      </c>
      <c r="G107" s="5"/>
      <c r="H107" s="8">
        <v>0</v>
      </c>
      <c r="I107" s="9">
        <v>0</v>
      </c>
      <c r="J107" s="9">
        <v>8016774</v>
      </c>
      <c r="K107" s="9">
        <v>1508106</v>
      </c>
      <c r="L107" s="9">
        <v>0</v>
      </c>
      <c r="M107" s="10">
        <v>9524880</v>
      </c>
    </row>
    <row r="108" spans="1:13" ht="25.5">
      <c r="A108" s="11"/>
      <c r="B108" s="11"/>
      <c r="C108" s="11"/>
      <c r="D108" s="11"/>
      <c r="E108" s="12"/>
      <c r="F108" s="7" t="s">
        <v>118</v>
      </c>
      <c r="G108" s="5"/>
      <c r="H108" s="8">
        <v>794393</v>
      </c>
      <c r="I108" s="9">
        <v>0</v>
      </c>
      <c r="J108" s="9">
        <v>0</v>
      </c>
      <c r="K108" s="9">
        <v>0</v>
      </c>
      <c r="L108" s="9">
        <v>0</v>
      </c>
      <c r="M108" s="10">
        <v>794393</v>
      </c>
    </row>
    <row r="109" spans="1:13" ht="12.75">
      <c r="A109" s="11"/>
      <c r="B109" s="11"/>
      <c r="C109" s="11"/>
      <c r="D109" s="11"/>
      <c r="E109" s="7" t="s">
        <v>119</v>
      </c>
      <c r="F109" s="5"/>
      <c r="G109" s="5"/>
      <c r="H109" s="8">
        <v>2117144.38</v>
      </c>
      <c r="I109" s="9">
        <v>23052486.63</v>
      </c>
      <c r="J109" s="9">
        <v>30291516.65</v>
      </c>
      <c r="K109" s="9">
        <v>26768123.45</v>
      </c>
      <c r="L109" s="9">
        <v>18666803.93</v>
      </c>
      <c r="M109" s="10">
        <v>100896075.04</v>
      </c>
    </row>
    <row r="110" spans="1:13" ht="12.75">
      <c r="A110" s="11"/>
      <c r="B110" s="11"/>
      <c r="C110" s="11"/>
      <c r="D110" s="3" t="s">
        <v>120</v>
      </c>
      <c r="E110" s="5"/>
      <c r="F110" s="5"/>
      <c r="G110" s="5"/>
      <c r="H110" s="8">
        <v>2754851.38</v>
      </c>
      <c r="I110" s="9">
        <v>38786788.48</v>
      </c>
      <c r="J110" s="9">
        <v>49292084.64</v>
      </c>
      <c r="K110" s="9">
        <v>33980884.13</v>
      </c>
      <c r="L110" s="9">
        <v>18666803.93</v>
      </c>
      <c r="M110" s="10">
        <v>143481412.56</v>
      </c>
    </row>
    <row r="111" spans="1:13" ht="12.75">
      <c r="A111" s="11"/>
      <c r="B111" s="11"/>
      <c r="C111" s="3" t="s">
        <v>121</v>
      </c>
      <c r="D111" s="4"/>
      <c r="E111" s="5"/>
      <c r="F111" s="5"/>
      <c r="G111" s="5"/>
      <c r="H111" s="8">
        <v>3167153.3</v>
      </c>
      <c r="I111" s="9">
        <v>40355997.28</v>
      </c>
      <c r="J111" s="9">
        <v>50848985.92</v>
      </c>
      <c r="K111" s="9">
        <v>35107022.21</v>
      </c>
      <c r="L111" s="9">
        <v>18666803.93</v>
      </c>
      <c r="M111" s="10">
        <v>148145962.64</v>
      </c>
    </row>
    <row r="112" spans="1:13" ht="12.75">
      <c r="A112" s="11"/>
      <c r="B112" s="11"/>
      <c r="C112" s="3" t="s">
        <v>122</v>
      </c>
      <c r="D112" s="3" t="s">
        <v>122</v>
      </c>
      <c r="E112" s="5"/>
      <c r="F112" s="5"/>
      <c r="G112" s="5"/>
      <c r="H112" s="8">
        <v>0</v>
      </c>
      <c r="I112" s="9">
        <v>0</v>
      </c>
      <c r="J112" s="9">
        <v>0</v>
      </c>
      <c r="K112" s="9">
        <v>0</v>
      </c>
      <c r="L112" s="9">
        <v>0</v>
      </c>
      <c r="M112" s="10">
        <v>0</v>
      </c>
    </row>
    <row r="113" spans="1:13" ht="12.75">
      <c r="A113" s="11"/>
      <c r="B113" s="11"/>
      <c r="C113" s="11"/>
      <c r="D113" s="3" t="s">
        <v>123</v>
      </c>
      <c r="E113" s="7" t="s">
        <v>123</v>
      </c>
      <c r="F113" s="5"/>
      <c r="G113" s="5"/>
      <c r="H113" s="8">
        <v>0</v>
      </c>
      <c r="I113" s="9">
        <v>0</v>
      </c>
      <c r="J113" s="9">
        <v>0</v>
      </c>
      <c r="K113" s="9">
        <v>0</v>
      </c>
      <c r="L113" s="9">
        <v>0</v>
      </c>
      <c r="M113" s="10">
        <v>0</v>
      </c>
    </row>
    <row r="114" spans="1:13" ht="38.25">
      <c r="A114" s="11"/>
      <c r="B114" s="11"/>
      <c r="C114" s="11"/>
      <c r="D114" s="11"/>
      <c r="E114" s="7" t="s">
        <v>124</v>
      </c>
      <c r="F114" s="5"/>
      <c r="G114" s="5"/>
      <c r="H114" s="8">
        <v>1179227.18</v>
      </c>
      <c r="I114" s="9">
        <v>3537681.54</v>
      </c>
      <c r="J114" s="9">
        <v>3509935.02</v>
      </c>
      <c r="K114" s="9">
        <v>3509935.02</v>
      </c>
      <c r="L114" s="9">
        <v>2358454.36</v>
      </c>
      <c r="M114" s="10">
        <v>14095233.12</v>
      </c>
    </row>
    <row r="115" spans="1:13" ht="25.5">
      <c r="A115" s="11"/>
      <c r="B115" s="11"/>
      <c r="C115" s="11"/>
      <c r="D115" s="11"/>
      <c r="E115" s="7" t="s">
        <v>125</v>
      </c>
      <c r="F115" s="5"/>
      <c r="G115" s="5"/>
      <c r="H115" s="8">
        <v>6896.56</v>
      </c>
      <c r="I115" s="9">
        <v>50246.33</v>
      </c>
      <c r="J115" s="9">
        <v>49852.24</v>
      </c>
      <c r="K115" s="9">
        <v>49852.24</v>
      </c>
      <c r="L115" s="9">
        <v>43152.74</v>
      </c>
      <c r="M115" s="10">
        <v>200000.11</v>
      </c>
    </row>
    <row r="116" spans="1:13" ht="12.75">
      <c r="A116" s="11"/>
      <c r="B116" s="11"/>
      <c r="C116" s="11"/>
      <c r="D116" s="11"/>
      <c r="E116" s="7" t="s">
        <v>126</v>
      </c>
      <c r="F116" s="5"/>
      <c r="G116" s="5"/>
      <c r="H116" s="8">
        <v>0</v>
      </c>
      <c r="I116" s="9">
        <v>0</v>
      </c>
      <c r="J116" s="9">
        <v>81349.47</v>
      </c>
      <c r="K116" s="9">
        <v>37698.53</v>
      </c>
      <c r="L116" s="9">
        <v>0</v>
      </c>
      <c r="M116" s="10">
        <v>119048</v>
      </c>
    </row>
    <row r="117" spans="1:13" ht="12.75">
      <c r="A117" s="11"/>
      <c r="B117" s="11"/>
      <c r="C117" s="11"/>
      <c r="D117" s="11"/>
      <c r="E117" s="7" t="s">
        <v>127</v>
      </c>
      <c r="F117" s="5"/>
      <c r="G117" s="5"/>
      <c r="H117" s="8">
        <v>0</v>
      </c>
      <c r="I117" s="9">
        <v>0</v>
      </c>
      <c r="J117" s="9">
        <v>0</v>
      </c>
      <c r="K117" s="9">
        <v>0</v>
      </c>
      <c r="L117" s="9">
        <v>0</v>
      </c>
      <c r="M117" s="10">
        <v>0</v>
      </c>
    </row>
    <row r="118" spans="1:13" ht="12.75">
      <c r="A118" s="11"/>
      <c r="B118" s="11"/>
      <c r="C118" s="11"/>
      <c r="D118" s="3" t="s">
        <v>128</v>
      </c>
      <c r="E118" s="5"/>
      <c r="F118" s="5"/>
      <c r="G118" s="5"/>
      <c r="H118" s="8">
        <v>1186123.74</v>
      </c>
      <c r="I118" s="9">
        <v>3587927.87</v>
      </c>
      <c r="J118" s="9">
        <v>3641136.73</v>
      </c>
      <c r="K118" s="9">
        <v>3597485.79</v>
      </c>
      <c r="L118" s="9">
        <v>2401607.1</v>
      </c>
      <c r="M118" s="10">
        <v>14414281.23</v>
      </c>
    </row>
    <row r="119" spans="1:13" ht="12.75">
      <c r="A119" s="11"/>
      <c r="B119" s="11"/>
      <c r="C119" s="3" t="s">
        <v>129</v>
      </c>
      <c r="D119" s="4"/>
      <c r="E119" s="5"/>
      <c r="F119" s="5"/>
      <c r="G119" s="5"/>
      <c r="H119" s="8">
        <v>1186123.74</v>
      </c>
      <c r="I119" s="9">
        <v>3587927.87</v>
      </c>
      <c r="J119" s="9">
        <v>3641136.73</v>
      </c>
      <c r="K119" s="9">
        <v>3597485.79</v>
      </c>
      <c r="L119" s="9">
        <v>2401607.1</v>
      </c>
      <c r="M119" s="10">
        <v>14414281.23</v>
      </c>
    </row>
    <row r="120" spans="1:13" ht="12.75">
      <c r="A120" s="11"/>
      <c r="B120" s="3" t="s">
        <v>130</v>
      </c>
      <c r="C120" s="4"/>
      <c r="D120" s="4"/>
      <c r="E120" s="5"/>
      <c r="F120" s="5"/>
      <c r="G120" s="5"/>
      <c r="H120" s="8">
        <v>4619761.87</v>
      </c>
      <c r="I120" s="9">
        <v>53766587.23</v>
      </c>
      <c r="J120" s="9">
        <v>65070578.86</v>
      </c>
      <c r="K120" s="9">
        <v>48339526.85</v>
      </c>
      <c r="L120" s="9">
        <v>28203545.93</v>
      </c>
      <c r="M120" s="10">
        <v>200000000.74</v>
      </c>
    </row>
    <row r="121" spans="1:13" ht="12.75">
      <c r="A121" s="3" t="s">
        <v>131</v>
      </c>
      <c r="B121" s="4"/>
      <c r="C121" s="4"/>
      <c r="D121" s="4"/>
      <c r="E121" s="5"/>
      <c r="F121" s="5"/>
      <c r="G121" s="5"/>
      <c r="H121" s="8">
        <v>4619761.87</v>
      </c>
      <c r="I121" s="9">
        <v>53766587.23</v>
      </c>
      <c r="J121" s="9">
        <v>65070578.86</v>
      </c>
      <c r="K121" s="9">
        <v>48339526.85</v>
      </c>
      <c r="L121" s="9">
        <v>28203545.93</v>
      </c>
      <c r="M121" s="10">
        <v>200000000.74</v>
      </c>
    </row>
    <row r="122" spans="1:13" ht="12.75">
      <c r="A122" s="17" t="s">
        <v>14</v>
      </c>
      <c r="B122" s="18"/>
      <c r="C122" s="18"/>
      <c r="D122" s="18"/>
      <c r="E122" s="19"/>
      <c r="F122" s="19"/>
      <c r="G122" s="19"/>
      <c r="H122" s="20">
        <v>4619761.87</v>
      </c>
      <c r="I122" s="21">
        <v>53766587.23</v>
      </c>
      <c r="J122" s="21">
        <v>65070578.86</v>
      </c>
      <c r="K122" s="21">
        <v>48339526.85</v>
      </c>
      <c r="L122" s="21">
        <v>28203545.93</v>
      </c>
      <c r="M122" s="22">
        <v>200000000.74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Q322"/>
  <sheetViews>
    <sheetView tabSelected="1" view="pageBreakPreview" zoomScale="90" zoomScaleNormal="90" zoomScaleSheetLayoutView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6" sqref="M6:M7"/>
    </sheetView>
  </sheetViews>
  <sheetFormatPr defaultColWidth="9.00390625" defaultRowHeight="12.75"/>
  <cols>
    <col min="1" max="1" width="36.7109375" style="0" customWidth="1"/>
    <col min="2" max="2" width="22.00390625" style="0" customWidth="1"/>
    <col min="3" max="4" width="12.140625" style="0" customWidth="1"/>
    <col min="5" max="5" width="15.8515625" style="0" customWidth="1"/>
    <col min="6" max="6" width="13.00390625" style="0" customWidth="1"/>
    <col min="7" max="12" width="12.140625" style="0" customWidth="1"/>
    <col min="13" max="13" width="17.57421875" style="0" hidden="1" customWidth="1"/>
    <col min="14" max="14" width="12.140625" style="310" hidden="1" customWidth="1"/>
    <col min="15" max="16" width="9.00390625" style="310" customWidth="1"/>
    <col min="17" max="17" width="17.8515625" style="310" customWidth="1"/>
    <col min="18" max="16384" width="9.00390625" style="310" customWidth="1"/>
  </cols>
  <sheetData>
    <row r="1" spans="1:11" ht="12.75">
      <c r="A1" s="23" t="s">
        <v>132</v>
      </c>
      <c r="B1" s="314"/>
      <c r="C1" s="314"/>
      <c r="K1" s="316"/>
    </row>
    <row r="2" spans="1:11" ht="12.75">
      <c r="A2" s="23" t="s">
        <v>133</v>
      </c>
      <c r="B2" s="314"/>
      <c r="C2" s="314"/>
      <c r="K2" s="316"/>
    </row>
    <row r="3" spans="1:11" ht="12.75">
      <c r="A3" s="23" t="s">
        <v>982</v>
      </c>
      <c r="B3" s="314"/>
      <c r="C3" s="314"/>
      <c r="K3" s="316"/>
    </row>
    <row r="4" spans="1:11" ht="12.75">
      <c r="A4" s="23" t="s">
        <v>1006</v>
      </c>
      <c r="B4" s="314"/>
      <c r="C4" s="314"/>
      <c r="K4" s="317"/>
    </row>
    <row r="5" spans="1:11" ht="16.5" thickBot="1">
      <c r="A5" s="24" t="s">
        <v>971</v>
      </c>
      <c r="K5" s="318"/>
    </row>
    <row r="6" spans="1:13" ht="26.25" customHeight="1" thickBot="1">
      <c r="A6" s="411" t="s">
        <v>134</v>
      </c>
      <c r="B6" s="409" t="s">
        <v>135</v>
      </c>
      <c r="C6" s="409" t="s">
        <v>136</v>
      </c>
      <c r="D6" s="409" t="s">
        <v>137</v>
      </c>
      <c r="E6" s="408" t="s">
        <v>944</v>
      </c>
      <c r="F6" s="408" t="s">
        <v>977</v>
      </c>
      <c r="G6" s="408" t="s">
        <v>140</v>
      </c>
      <c r="H6" s="408" t="s">
        <v>141</v>
      </c>
      <c r="I6" s="408" t="s">
        <v>142</v>
      </c>
      <c r="J6" s="408" t="s">
        <v>978</v>
      </c>
      <c r="K6" s="410" t="s">
        <v>144</v>
      </c>
      <c r="L6" s="408" t="s">
        <v>146</v>
      </c>
      <c r="M6" s="310"/>
    </row>
    <row r="7" spans="1:12" s="289" customFormat="1" ht="12.75">
      <c r="A7" s="411"/>
      <c r="B7" s="409"/>
      <c r="C7" s="409"/>
      <c r="D7" s="409"/>
      <c r="E7" s="408"/>
      <c r="F7" s="408"/>
      <c r="G7" s="408"/>
      <c r="H7" s="408"/>
      <c r="I7" s="408"/>
      <c r="J7" s="408"/>
      <c r="K7" s="408"/>
      <c r="L7" s="408"/>
    </row>
    <row r="8" spans="1:13" ht="12.75" customHeight="1">
      <c r="A8" s="334" t="s">
        <v>979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</row>
    <row r="9" spans="1:13" s="289" customFormat="1" ht="35.25" customHeight="1">
      <c r="A9" s="400" t="s">
        <v>150</v>
      </c>
      <c r="B9" s="319" t="s">
        <v>151</v>
      </c>
      <c r="C9" s="357" t="s">
        <v>152</v>
      </c>
      <c r="D9" s="266" t="s">
        <v>153</v>
      </c>
      <c r="E9" s="270">
        <v>960477</v>
      </c>
      <c r="F9" s="271" t="s">
        <v>945</v>
      </c>
      <c r="G9" s="271" t="s">
        <v>303</v>
      </c>
      <c r="H9" s="271" t="s">
        <v>946</v>
      </c>
      <c r="I9" s="271" t="s">
        <v>168</v>
      </c>
      <c r="J9" s="271" t="s">
        <v>178</v>
      </c>
      <c r="K9" s="271" t="s">
        <v>169</v>
      </c>
      <c r="L9" s="271" t="s">
        <v>155</v>
      </c>
      <c r="M9" s="406" t="s">
        <v>156</v>
      </c>
    </row>
    <row r="10" spans="1:13" s="289" customFormat="1" ht="12.75">
      <c r="A10" s="401"/>
      <c r="B10" s="263" t="s">
        <v>942</v>
      </c>
      <c r="C10" s="357"/>
      <c r="D10" s="357" t="s">
        <v>159</v>
      </c>
      <c r="E10" s="407"/>
      <c r="F10" s="361">
        <v>42936</v>
      </c>
      <c r="G10" s="361">
        <v>43084</v>
      </c>
      <c r="H10" s="361">
        <v>43117</v>
      </c>
      <c r="I10" s="361"/>
      <c r="J10" s="361"/>
      <c r="K10" s="361"/>
      <c r="L10" s="361"/>
      <c r="M10" s="406"/>
    </row>
    <row r="11" spans="1:13" s="289" customFormat="1" ht="12.75" customHeight="1">
      <c r="A11" s="405"/>
      <c r="B11" s="265" t="s">
        <v>160</v>
      </c>
      <c r="C11" s="357"/>
      <c r="D11" s="357"/>
      <c r="E11" s="407"/>
      <c r="F11" s="407"/>
      <c r="G11" s="407"/>
      <c r="H11" s="407"/>
      <c r="I11" s="407"/>
      <c r="J11" s="407"/>
      <c r="K11" s="407"/>
      <c r="L11" s="407"/>
      <c r="M11" s="406"/>
    </row>
    <row r="12" spans="1:13" s="289" customFormat="1" ht="36.75" customHeight="1">
      <c r="A12" s="400" t="s">
        <v>161</v>
      </c>
      <c r="B12" s="269" t="s">
        <v>162</v>
      </c>
      <c r="C12" s="357" t="s">
        <v>152</v>
      </c>
      <c r="D12" s="266" t="s">
        <v>153</v>
      </c>
      <c r="E12" s="270">
        <v>866890</v>
      </c>
      <c r="F12" s="271" t="s">
        <v>945</v>
      </c>
      <c r="G12" s="271" t="s">
        <v>154</v>
      </c>
      <c r="H12" s="271" t="s">
        <v>946</v>
      </c>
      <c r="I12" s="271" t="s">
        <v>168</v>
      </c>
      <c r="J12" s="271" t="s">
        <v>178</v>
      </c>
      <c r="K12" s="271" t="s">
        <v>169</v>
      </c>
      <c r="L12" s="271" t="s">
        <v>155</v>
      </c>
      <c r="M12" s="406" t="s">
        <v>163</v>
      </c>
    </row>
    <row r="13" spans="1:13" s="289" customFormat="1" ht="12.75">
      <c r="A13" s="401"/>
      <c r="B13" s="263" t="s">
        <v>942</v>
      </c>
      <c r="C13" s="357"/>
      <c r="D13" s="357" t="s">
        <v>159</v>
      </c>
      <c r="E13" s="407"/>
      <c r="F13" s="361">
        <v>42936</v>
      </c>
      <c r="G13" s="361">
        <v>43084</v>
      </c>
      <c r="H13" s="361">
        <v>43117</v>
      </c>
      <c r="I13" s="361"/>
      <c r="J13" s="361"/>
      <c r="K13" s="361"/>
      <c r="L13" s="361"/>
      <c r="M13" s="406"/>
    </row>
    <row r="14" spans="1:13" s="289" customFormat="1" ht="12.75" customHeight="1">
      <c r="A14" s="405"/>
      <c r="B14" s="265" t="s">
        <v>160</v>
      </c>
      <c r="C14" s="357"/>
      <c r="D14" s="357"/>
      <c r="E14" s="407"/>
      <c r="F14" s="407"/>
      <c r="G14" s="407"/>
      <c r="H14" s="407"/>
      <c r="I14" s="407"/>
      <c r="J14" s="407"/>
      <c r="K14" s="407"/>
      <c r="L14" s="407"/>
      <c r="M14" s="406"/>
    </row>
    <row r="15" spans="1:13" s="289" customFormat="1" ht="29.25" customHeight="1">
      <c r="A15" s="400" t="s">
        <v>164</v>
      </c>
      <c r="B15" s="269" t="s">
        <v>165</v>
      </c>
      <c r="C15" s="357" t="s">
        <v>152</v>
      </c>
      <c r="D15" s="266" t="s">
        <v>153</v>
      </c>
      <c r="E15" s="270">
        <v>866890</v>
      </c>
      <c r="F15" s="271" t="s">
        <v>947</v>
      </c>
      <c r="G15" s="271" t="s">
        <v>167</v>
      </c>
      <c r="H15" s="271" t="s">
        <v>948</v>
      </c>
      <c r="I15" s="271" t="s">
        <v>949</v>
      </c>
      <c r="J15" s="271" t="s">
        <v>950</v>
      </c>
      <c r="K15" s="271" t="s">
        <v>951</v>
      </c>
      <c r="L15" s="271" t="s">
        <v>170</v>
      </c>
      <c r="M15" s="406" t="s">
        <v>171</v>
      </c>
    </row>
    <row r="16" spans="1:13" s="289" customFormat="1" ht="12.75">
      <c r="A16" s="401"/>
      <c r="B16" s="263" t="s">
        <v>942</v>
      </c>
      <c r="C16" s="357"/>
      <c r="D16" s="357" t="s">
        <v>159</v>
      </c>
      <c r="E16" s="407"/>
      <c r="F16" s="361">
        <v>42936</v>
      </c>
      <c r="G16" s="361">
        <v>43084</v>
      </c>
      <c r="H16" s="361">
        <v>43118</v>
      </c>
      <c r="I16" s="361"/>
      <c r="J16" s="361"/>
      <c r="K16" s="361"/>
      <c r="L16" s="361"/>
      <c r="M16" s="406"/>
    </row>
    <row r="17" spans="1:13" s="289" customFormat="1" ht="12.75" customHeight="1">
      <c r="A17" s="405"/>
      <c r="B17" s="265" t="s">
        <v>160</v>
      </c>
      <c r="C17" s="357"/>
      <c r="D17" s="357"/>
      <c r="E17" s="407"/>
      <c r="F17" s="407"/>
      <c r="G17" s="407"/>
      <c r="H17" s="407"/>
      <c r="I17" s="407"/>
      <c r="J17" s="407"/>
      <c r="K17" s="407"/>
      <c r="L17" s="407"/>
      <c r="M17" s="406"/>
    </row>
    <row r="18" spans="1:13" s="289" customFormat="1" ht="33.75" customHeight="1">
      <c r="A18" s="400" t="s">
        <v>172</v>
      </c>
      <c r="B18" s="269" t="s">
        <v>173</v>
      </c>
      <c r="C18" s="357" t="s">
        <v>152</v>
      </c>
      <c r="D18" s="266" t="s">
        <v>153</v>
      </c>
      <c r="E18" s="270">
        <v>960477</v>
      </c>
      <c r="F18" s="271" t="s">
        <v>166</v>
      </c>
      <c r="G18" s="271" t="s">
        <v>167</v>
      </c>
      <c r="H18" s="271" t="s">
        <v>948</v>
      </c>
      <c r="I18" s="271" t="s">
        <v>949</v>
      </c>
      <c r="J18" s="271" t="s">
        <v>950</v>
      </c>
      <c r="K18" s="271" t="s">
        <v>951</v>
      </c>
      <c r="L18" s="271" t="s">
        <v>170</v>
      </c>
      <c r="M18" s="406" t="s">
        <v>174</v>
      </c>
    </row>
    <row r="19" spans="1:13" s="289" customFormat="1" ht="12.75">
      <c r="A19" s="401"/>
      <c r="B19" s="263" t="s">
        <v>942</v>
      </c>
      <c r="C19" s="357"/>
      <c r="D19" s="407" t="s">
        <v>159</v>
      </c>
      <c r="E19" s="407"/>
      <c r="F19" s="361">
        <v>42954</v>
      </c>
      <c r="G19" s="361">
        <v>43084</v>
      </c>
      <c r="H19" s="361">
        <v>43118</v>
      </c>
      <c r="I19" s="361"/>
      <c r="J19" s="361"/>
      <c r="K19" s="361"/>
      <c r="L19" s="361"/>
      <c r="M19" s="406"/>
    </row>
    <row r="20" spans="1:13" s="289" customFormat="1" ht="12.75" customHeight="1">
      <c r="A20" s="405"/>
      <c r="B20" s="265" t="s">
        <v>160</v>
      </c>
      <c r="C20" s="357"/>
      <c r="D20" s="407"/>
      <c r="E20" s="407"/>
      <c r="F20" s="407"/>
      <c r="G20" s="407"/>
      <c r="H20" s="407"/>
      <c r="I20" s="407"/>
      <c r="J20" s="407"/>
      <c r="K20" s="407"/>
      <c r="L20" s="407"/>
      <c r="M20" s="406"/>
    </row>
    <row r="21" spans="1:13" s="289" customFormat="1" ht="29.25" customHeight="1">
      <c r="A21" s="400" t="s">
        <v>161</v>
      </c>
      <c r="B21" s="269" t="s">
        <v>175</v>
      </c>
      <c r="C21" s="357" t="s">
        <v>152</v>
      </c>
      <c r="D21" s="266" t="s">
        <v>153</v>
      </c>
      <c r="E21" s="270">
        <v>866890</v>
      </c>
      <c r="F21" s="271" t="s">
        <v>166</v>
      </c>
      <c r="G21" s="271" t="s">
        <v>167</v>
      </c>
      <c r="H21" s="271" t="s">
        <v>948</v>
      </c>
      <c r="I21" s="271" t="s">
        <v>949</v>
      </c>
      <c r="J21" s="271" t="s">
        <v>950</v>
      </c>
      <c r="K21" s="271" t="s">
        <v>951</v>
      </c>
      <c r="L21" s="271" t="s">
        <v>170</v>
      </c>
      <c r="M21" s="406" t="s">
        <v>176</v>
      </c>
    </row>
    <row r="22" spans="1:13" s="289" customFormat="1" ht="12.75">
      <c r="A22" s="401"/>
      <c r="B22" s="263" t="s">
        <v>942</v>
      </c>
      <c r="C22" s="357"/>
      <c r="D22" s="357" t="s">
        <v>159</v>
      </c>
      <c r="E22" s="393"/>
      <c r="F22" s="361">
        <v>42954</v>
      </c>
      <c r="G22" s="361">
        <v>43449</v>
      </c>
      <c r="H22" s="361">
        <v>43118</v>
      </c>
      <c r="I22" s="361"/>
      <c r="J22" s="361"/>
      <c r="K22" s="361"/>
      <c r="L22" s="361"/>
      <c r="M22" s="406"/>
    </row>
    <row r="23" spans="1:13" s="289" customFormat="1" ht="12.75" customHeight="1">
      <c r="A23" s="405"/>
      <c r="B23" s="265" t="s">
        <v>160</v>
      </c>
      <c r="C23" s="357"/>
      <c r="D23" s="357"/>
      <c r="E23" s="393"/>
      <c r="F23" s="361"/>
      <c r="G23" s="361"/>
      <c r="H23" s="361"/>
      <c r="I23" s="361"/>
      <c r="J23" s="361"/>
      <c r="K23" s="361"/>
      <c r="L23" s="361"/>
      <c r="M23" s="406"/>
    </row>
    <row r="24" spans="1:13" s="289" customFormat="1" ht="30" customHeight="1">
      <c r="A24" s="400" t="s">
        <v>164</v>
      </c>
      <c r="B24" s="269" t="s">
        <v>177</v>
      </c>
      <c r="C24" s="357" t="s">
        <v>152</v>
      </c>
      <c r="D24" s="266" t="s">
        <v>153</v>
      </c>
      <c r="E24" s="270">
        <v>866890</v>
      </c>
      <c r="F24" s="271" t="s">
        <v>178</v>
      </c>
      <c r="G24" s="271" t="s">
        <v>169</v>
      </c>
      <c r="H24" s="271" t="s">
        <v>179</v>
      </c>
      <c r="I24" s="271" t="s">
        <v>180</v>
      </c>
      <c r="J24" s="271" t="s">
        <v>181</v>
      </c>
      <c r="K24" s="271" t="s">
        <v>182</v>
      </c>
      <c r="L24" s="271" t="s">
        <v>183</v>
      </c>
      <c r="M24" s="406" t="s">
        <v>185</v>
      </c>
    </row>
    <row r="25" spans="1:13" s="289" customFormat="1" ht="12.75">
      <c r="A25" s="401"/>
      <c r="B25" s="263" t="s">
        <v>158</v>
      </c>
      <c r="C25" s="357"/>
      <c r="D25" s="357" t="s">
        <v>159</v>
      </c>
      <c r="E25" s="407"/>
      <c r="F25" s="361"/>
      <c r="G25" s="361"/>
      <c r="H25" s="361"/>
      <c r="I25" s="361"/>
      <c r="J25" s="361"/>
      <c r="K25" s="361"/>
      <c r="L25" s="361"/>
      <c r="M25" s="406"/>
    </row>
    <row r="26" spans="1:13" s="289" customFormat="1" ht="12.75" customHeight="1">
      <c r="A26" s="405"/>
      <c r="B26" s="265" t="s">
        <v>943</v>
      </c>
      <c r="C26" s="357"/>
      <c r="D26" s="357"/>
      <c r="E26" s="407"/>
      <c r="F26" s="407"/>
      <c r="G26" s="407"/>
      <c r="H26" s="407"/>
      <c r="I26" s="407"/>
      <c r="J26" s="407"/>
      <c r="K26" s="407"/>
      <c r="L26" s="407"/>
      <c r="M26" s="406"/>
    </row>
    <row r="27" spans="1:13" s="289" customFormat="1" ht="29.25" customHeight="1">
      <c r="A27" s="400" t="s">
        <v>186</v>
      </c>
      <c r="B27" s="269" t="s">
        <v>187</v>
      </c>
      <c r="C27" s="357" t="s">
        <v>152</v>
      </c>
      <c r="D27" s="266" t="s">
        <v>153</v>
      </c>
      <c r="E27" s="270">
        <v>694708</v>
      </c>
      <c r="F27" s="271" t="s">
        <v>188</v>
      </c>
      <c r="G27" s="271" t="s">
        <v>154</v>
      </c>
      <c r="H27" s="271" t="s">
        <v>946</v>
      </c>
      <c r="I27" s="271" t="s">
        <v>168</v>
      </c>
      <c r="J27" s="271" t="s">
        <v>178</v>
      </c>
      <c r="K27" s="271" t="s">
        <v>169</v>
      </c>
      <c r="L27" s="271" t="s">
        <v>155</v>
      </c>
      <c r="M27" s="406" t="s">
        <v>189</v>
      </c>
    </row>
    <row r="28" spans="1:13" s="289" customFormat="1" ht="12.75">
      <c r="A28" s="401"/>
      <c r="B28" s="263" t="s">
        <v>942</v>
      </c>
      <c r="C28" s="357"/>
      <c r="D28" s="357" t="s">
        <v>159</v>
      </c>
      <c r="E28" s="407"/>
      <c r="F28" s="361">
        <v>42936</v>
      </c>
      <c r="G28" s="361">
        <v>43084</v>
      </c>
      <c r="H28" s="361">
        <v>43117</v>
      </c>
      <c r="I28" s="361"/>
      <c r="J28" s="361"/>
      <c r="K28" s="361"/>
      <c r="L28" s="361" t="s">
        <v>155</v>
      </c>
      <c r="M28" s="406"/>
    </row>
    <row r="29" spans="1:13" s="289" customFormat="1" ht="12.75" customHeight="1">
      <c r="A29" s="405"/>
      <c r="B29" s="265" t="s">
        <v>160</v>
      </c>
      <c r="C29" s="357"/>
      <c r="D29" s="357"/>
      <c r="E29" s="407"/>
      <c r="F29" s="407"/>
      <c r="G29" s="407"/>
      <c r="H29" s="407"/>
      <c r="I29" s="407"/>
      <c r="J29" s="407"/>
      <c r="K29" s="407"/>
      <c r="L29" s="407"/>
      <c r="M29" s="406"/>
    </row>
    <row r="30" spans="1:13" s="289" customFormat="1" ht="32.25" customHeight="1">
      <c r="A30" s="400" t="s">
        <v>190</v>
      </c>
      <c r="B30" s="269" t="s">
        <v>191</v>
      </c>
      <c r="C30" s="357" t="s">
        <v>152</v>
      </c>
      <c r="D30" s="266" t="s">
        <v>153</v>
      </c>
      <c r="E30" s="270">
        <v>694708</v>
      </c>
      <c r="F30" s="271" t="s">
        <v>192</v>
      </c>
      <c r="G30" s="271" t="s">
        <v>154</v>
      </c>
      <c r="H30" s="271" t="s">
        <v>946</v>
      </c>
      <c r="I30" s="271" t="s">
        <v>168</v>
      </c>
      <c r="J30" s="271" t="s">
        <v>178</v>
      </c>
      <c r="K30" s="271" t="s">
        <v>169</v>
      </c>
      <c r="L30" s="271" t="s">
        <v>155</v>
      </c>
      <c r="M30" s="406" t="s">
        <v>193</v>
      </c>
    </row>
    <row r="31" spans="1:13" s="289" customFormat="1" ht="12.75">
      <c r="A31" s="401"/>
      <c r="B31" s="263" t="s">
        <v>942</v>
      </c>
      <c r="C31" s="357"/>
      <c r="D31" s="357" t="s">
        <v>159</v>
      </c>
      <c r="E31" s="407"/>
      <c r="F31" s="361">
        <v>42936</v>
      </c>
      <c r="G31" s="361">
        <v>43084</v>
      </c>
      <c r="H31" s="361">
        <v>43117</v>
      </c>
      <c r="I31" s="361"/>
      <c r="J31" s="361"/>
      <c r="K31" s="361"/>
      <c r="L31" s="361"/>
      <c r="M31" s="406"/>
    </row>
    <row r="32" spans="1:13" s="289" customFormat="1" ht="12.75" customHeight="1">
      <c r="A32" s="405"/>
      <c r="B32" s="265" t="s">
        <v>160</v>
      </c>
      <c r="C32" s="357"/>
      <c r="D32" s="357"/>
      <c r="E32" s="407"/>
      <c r="F32" s="407"/>
      <c r="G32" s="407"/>
      <c r="H32" s="407"/>
      <c r="I32" s="407"/>
      <c r="J32" s="407"/>
      <c r="K32" s="407"/>
      <c r="L32" s="407"/>
      <c r="M32" s="406"/>
    </row>
    <row r="33" spans="1:13" s="289" customFormat="1" ht="30.75" customHeight="1">
      <c r="A33" s="400" t="s">
        <v>194</v>
      </c>
      <c r="B33" s="269" t="s">
        <v>195</v>
      </c>
      <c r="C33" s="357" t="s">
        <v>152</v>
      </c>
      <c r="D33" s="266" t="s">
        <v>153</v>
      </c>
      <c r="E33" s="270">
        <v>694708</v>
      </c>
      <c r="F33" s="271" t="s">
        <v>192</v>
      </c>
      <c r="G33" s="271" t="s">
        <v>154</v>
      </c>
      <c r="H33" s="271" t="s">
        <v>946</v>
      </c>
      <c r="I33" s="271" t="s">
        <v>168</v>
      </c>
      <c r="J33" s="271" t="s">
        <v>178</v>
      </c>
      <c r="K33" s="271" t="s">
        <v>169</v>
      </c>
      <c r="L33" s="271" t="s">
        <v>155</v>
      </c>
      <c r="M33" s="406" t="s">
        <v>196</v>
      </c>
    </row>
    <row r="34" spans="1:13" s="289" customFormat="1" ht="12.75">
      <c r="A34" s="401"/>
      <c r="B34" s="263" t="s">
        <v>942</v>
      </c>
      <c r="C34" s="357"/>
      <c r="D34" s="357" t="s">
        <v>159</v>
      </c>
      <c r="E34" s="407"/>
      <c r="F34" s="361">
        <v>42936</v>
      </c>
      <c r="G34" s="361">
        <v>43084</v>
      </c>
      <c r="H34" s="361">
        <v>43107</v>
      </c>
      <c r="I34" s="361"/>
      <c r="J34" s="361"/>
      <c r="K34" s="361"/>
      <c r="L34" s="361"/>
      <c r="M34" s="406"/>
    </row>
    <row r="35" spans="1:13" s="289" customFormat="1" ht="12.75" customHeight="1">
      <c r="A35" s="405"/>
      <c r="B35" s="265" t="s">
        <v>160</v>
      </c>
      <c r="C35" s="357"/>
      <c r="D35" s="357"/>
      <c r="E35" s="407"/>
      <c r="F35" s="407"/>
      <c r="G35" s="407"/>
      <c r="H35" s="407"/>
      <c r="I35" s="407"/>
      <c r="J35" s="407"/>
      <c r="K35" s="407"/>
      <c r="L35" s="407"/>
      <c r="M35" s="406"/>
    </row>
    <row r="36" spans="1:13" s="289" customFormat="1" ht="35.25" customHeight="1">
      <c r="A36" s="400" t="s">
        <v>197</v>
      </c>
      <c r="B36" s="269" t="s">
        <v>198</v>
      </c>
      <c r="C36" s="357" t="s">
        <v>152</v>
      </c>
      <c r="D36" s="266" t="s">
        <v>153</v>
      </c>
      <c r="E36" s="270">
        <v>694708</v>
      </c>
      <c r="F36" s="271" t="s">
        <v>178</v>
      </c>
      <c r="G36" s="271" t="s">
        <v>169</v>
      </c>
      <c r="H36" s="271" t="s">
        <v>179</v>
      </c>
      <c r="I36" s="271" t="s">
        <v>180</v>
      </c>
      <c r="J36" s="271" t="s">
        <v>181</v>
      </c>
      <c r="K36" s="271" t="s">
        <v>182</v>
      </c>
      <c r="L36" s="271" t="s">
        <v>183</v>
      </c>
      <c r="M36" s="406" t="s">
        <v>205</v>
      </c>
    </row>
    <row r="37" spans="1:13" s="289" customFormat="1" ht="12.75">
      <c r="A37" s="401"/>
      <c r="B37" s="263" t="s">
        <v>158</v>
      </c>
      <c r="C37" s="357"/>
      <c r="D37" s="357" t="s">
        <v>159</v>
      </c>
      <c r="E37" s="407"/>
      <c r="F37" s="361"/>
      <c r="G37" s="361"/>
      <c r="H37" s="361"/>
      <c r="I37" s="361"/>
      <c r="J37" s="361"/>
      <c r="K37" s="361"/>
      <c r="L37" s="361"/>
      <c r="M37" s="406"/>
    </row>
    <row r="38" spans="1:13" s="289" customFormat="1" ht="12.75">
      <c r="A38" s="405"/>
      <c r="B38" s="265" t="s">
        <v>943</v>
      </c>
      <c r="C38" s="357"/>
      <c r="D38" s="357"/>
      <c r="E38" s="407"/>
      <c r="F38" s="407"/>
      <c r="G38" s="407"/>
      <c r="H38" s="407"/>
      <c r="I38" s="407"/>
      <c r="J38" s="407"/>
      <c r="K38" s="407"/>
      <c r="L38" s="407"/>
      <c r="M38" s="406"/>
    </row>
    <row r="39" spans="1:13" s="289" customFormat="1" ht="30" customHeight="1">
      <c r="A39" s="400" t="s">
        <v>206</v>
      </c>
      <c r="B39" s="269"/>
      <c r="C39" s="357" t="s">
        <v>152</v>
      </c>
      <c r="D39" s="266" t="s">
        <v>153</v>
      </c>
      <c r="E39" s="320" t="s">
        <v>953</v>
      </c>
      <c r="F39" s="271"/>
      <c r="G39" s="271"/>
      <c r="H39" s="271"/>
      <c r="I39" s="271"/>
      <c r="J39" s="271"/>
      <c r="K39" s="271"/>
      <c r="L39" s="271"/>
      <c r="M39" s="406" t="s">
        <v>211</v>
      </c>
    </row>
    <row r="40" spans="1:13" s="289" customFormat="1" ht="12.75" customHeight="1">
      <c r="A40" s="401"/>
      <c r="B40" s="263"/>
      <c r="C40" s="357"/>
      <c r="D40" s="357" t="s">
        <v>159</v>
      </c>
      <c r="E40" s="407"/>
      <c r="F40" s="361"/>
      <c r="G40" s="361"/>
      <c r="H40" s="361"/>
      <c r="I40" s="361"/>
      <c r="J40" s="361"/>
      <c r="K40" s="361"/>
      <c r="L40" s="361"/>
      <c r="M40" s="406"/>
    </row>
    <row r="41" spans="1:13" s="289" customFormat="1" ht="12.75">
      <c r="A41" s="404"/>
      <c r="B41" s="265"/>
      <c r="C41" s="357"/>
      <c r="D41" s="357"/>
      <c r="E41" s="407"/>
      <c r="F41" s="361"/>
      <c r="G41" s="361"/>
      <c r="H41" s="361"/>
      <c r="I41" s="361"/>
      <c r="J41" s="361"/>
      <c r="K41" s="361"/>
      <c r="L41" s="361"/>
      <c r="M41" s="406"/>
    </row>
    <row r="42" spans="1:13" s="289" customFormat="1" ht="12.75">
      <c r="A42" s="268" t="s">
        <v>212</v>
      </c>
      <c r="B42" s="265"/>
      <c r="C42" s="266"/>
      <c r="D42" s="266"/>
      <c r="E42" s="259">
        <f>SUM(E9:E39)</f>
        <v>8167346</v>
      </c>
      <c r="F42" s="258"/>
      <c r="G42" s="258"/>
      <c r="H42" s="258"/>
      <c r="I42" s="258"/>
      <c r="J42" s="258"/>
      <c r="K42" s="258"/>
      <c r="L42" s="258"/>
      <c r="M42" s="256"/>
    </row>
    <row r="43" spans="1:13" s="289" customFormat="1" ht="12.75" customHeight="1">
      <c r="A43" s="264"/>
      <c r="B43" s="265"/>
      <c r="C43" s="266"/>
      <c r="D43" s="266"/>
      <c r="E43" s="257"/>
      <c r="F43" s="258"/>
      <c r="G43" s="258"/>
      <c r="H43" s="258"/>
      <c r="I43" s="258"/>
      <c r="J43" s="258"/>
      <c r="K43" s="258"/>
      <c r="L43" s="258"/>
      <c r="M43" s="256"/>
    </row>
    <row r="44" spans="1:13" s="289" customFormat="1" ht="23.25" customHeight="1">
      <c r="A44" s="400" t="s">
        <v>213</v>
      </c>
      <c r="B44" s="269" t="s">
        <v>214</v>
      </c>
      <c r="C44" s="357" t="s">
        <v>152</v>
      </c>
      <c r="D44" s="266" t="s">
        <v>153</v>
      </c>
      <c r="E44" s="270">
        <v>809095</v>
      </c>
      <c r="F44" s="271" t="s">
        <v>199</v>
      </c>
      <c r="G44" s="271" t="s">
        <v>200</v>
      </c>
      <c r="H44" s="271" t="s">
        <v>955</v>
      </c>
      <c r="I44" s="271" t="s">
        <v>956</v>
      </c>
      <c r="J44" s="271" t="s">
        <v>957</v>
      </c>
      <c r="K44" s="271" t="s">
        <v>203</v>
      </c>
      <c r="L44" s="271" t="s">
        <v>204</v>
      </c>
      <c r="M44" s="381" t="s">
        <v>215</v>
      </c>
    </row>
    <row r="45" spans="1:13" s="289" customFormat="1" ht="12.75">
      <c r="A45" s="401"/>
      <c r="B45" s="263" t="s">
        <v>942</v>
      </c>
      <c r="C45" s="357"/>
      <c r="D45" s="357" t="s">
        <v>159</v>
      </c>
      <c r="E45" s="363"/>
      <c r="F45" s="390">
        <v>42968</v>
      </c>
      <c r="G45" s="390">
        <v>43085</v>
      </c>
      <c r="H45" s="390">
        <v>43119</v>
      </c>
      <c r="I45" s="343"/>
      <c r="J45" s="343"/>
      <c r="K45" s="343"/>
      <c r="L45" s="343"/>
      <c r="M45" s="381"/>
    </row>
    <row r="46" spans="1:13" s="289" customFormat="1" ht="12.75" customHeight="1">
      <c r="A46" s="405"/>
      <c r="B46" s="265" t="s">
        <v>160</v>
      </c>
      <c r="C46" s="357"/>
      <c r="D46" s="357"/>
      <c r="E46" s="363"/>
      <c r="F46" s="343"/>
      <c r="G46" s="343"/>
      <c r="H46" s="343"/>
      <c r="I46" s="343"/>
      <c r="J46" s="343"/>
      <c r="K46" s="343"/>
      <c r="L46" s="343"/>
      <c r="M46" s="381"/>
    </row>
    <row r="47" spans="1:13" s="289" customFormat="1" ht="23.25" customHeight="1">
      <c r="A47" s="400" t="s">
        <v>962</v>
      </c>
      <c r="B47" s="269" t="s">
        <v>214</v>
      </c>
      <c r="C47" s="357" t="s">
        <v>152</v>
      </c>
      <c r="D47" s="266" t="s">
        <v>153</v>
      </c>
      <c r="E47" s="270">
        <v>758952</v>
      </c>
      <c r="F47" s="271" t="s">
        <v>199</v>
      </c>
      <c r="G47" s="271" t="s">
        <v>200</v>
      </c>
      <c r="H47" s="271" t="s">
        <v>955</v>
      </c>
      <c r="I47" s="271" t="s">
        <v>956</v>
      </c>
      <c r="J47" s="271" t="s">
        <v>957</v>
      </c>
      <c r="K47" s="271" t="s">
        <v>203</v>
      </c>
      <c r="L47" s="271" t="s">
        <v>204</v>
      </c>
      <c r="M47" s="381" t="s">
        <v>215</v>
      </c>
    </row>
    <row r="48" spans="1:13" s="289" customFormat="1" ht="12.75">
      <c r="A48" s="401"/>
      <c r="B48" s="263" t="s">
        <v>942</v>
      </c>
      <c r="C48" s="357"/>
      <c r="D48" s="357" t="s">
        <v>159</v>
      </c>
      <c r="E48" s="363"/>
      <c r="F48" s="390">
        <v>42968</v>
      </c>
      <c r="G48" s="390">
        <v>43085</v>
      </c>
      <c r="H48" s="390">
        <v>43119</v>
      </c>
      <c r="I48" s="343"/>
      <c r="J48" s="343"/>
      <c r="K48" s="343"/>
      <c r="L48" s="343"/>
      <c r="M48" s="381"/>
    </row>
    <row r="49" spans="1:13" s="289" customFormat="1" ht="12.75" customHeight="1">
      <c r="A49" s="405"/>
      <c r="B49" s="265" t="s">
        <v>160</v>
      </c>
      <c r="C49" s="357"/>
      <c r="D49" s="357"/>
      <c r="E49" s="363"/>
      <c r="F49" s="343"/>
      <c r="G49" s="343"/>
      <c r="H49" s="343"/>
      <c r="I49" s="343"/>
      <c r="J49" s="343"/>
      <c r="K49" s="343"/>
      <c r="L49" s="343"/>
      <c r="M49" s="381"/>
    </row>
    <row r="50" spans="1:13" s="289" customFormat="1" ht="18" customHeight="1">
      <c r="A50" s="400" t="s">
        <v>216</v>
      </c>
      <c r="B50" s="269" t="s">
        <v>217</v>
      </c>
      <c r="C50" s="357" t="s">
        <v>152</v>
      </c>
      <c r="D50" s="266" t="s">
        <v>153</v>
      </c>
      <c r="E50" s="270">
        <v>488218</v>
      </c>
      <c r="F50" s="271" t="s">
        <v>178</v>
      </c>
      <c r="G50" s="271" t="s">
        <v>169</v>
      </c>
      <c r="H50" s="271" t="s">
        <v>179</v>
      </c>
      <c r="I50" s="271" t="s">
        <v>180</v>
      </c>
      <c r="J50" s="271" t="s">
        <v>181</v>
      </c>
      <c r="K50" s="271" t="s">
        <v>182</v>
      </c>
      <c r="L50" s="271" t="s">
        <v>204</v>
      </c>
      <c r="M50" s="406" t="s">
        <v>218</v>
      </c>
    </row>
    <row r="51" spans="1:13" s="289" customFormat="1" ht="12.75">
      <c r="A51" s="401"/>
      <c r="B51" s="263" t="s">
        <v>158</v>
      </c>
      <c r="C51" s="357"/>
      <c r="D51" s="357" t="s">
        <v>159</v>
      </c>
      <c r="E51" s="407"/>
      <c r="F51" s="361"/>
      <c r="G51" s="361"/>
      <c r="H51" s="361"/>
      <c r="I51" s="361"/>
      <c r="J51" s="361"/>
      <c r="K51" s="361"/>
      <c r="L51" s="361"/>
      <c r="M51" s="406"/>
    </row>
    <row r="52" spans="1:13" s="289" customFormat="1" ht="12.75" customHeight="1">
      <c r="A52" s="405"/>
      <c r="B52" s="265" t="s">
        <v>943</v>
      </c>
      <c r="C52" s="357"/>
      <c r="D52" s="357"/>
      <c r="E52" s="407"/>
      <c r="F52" s="407"/>
      <c r="G52" s="407"/>
      <c r="H52" s="407"/>
      <c r="I52" s="407"/>
      <c r="J52" s="407"/>
      <c r="K52" s="407"/>
      <c r="L52" s="407"/>
      <c r="M52" s="406"/>
    </row>
    <row r="53" spans="1:13" s="289" customFormat="1" ht="20.25" customHeight="1">
      <c r="A53" s="400" t="s">
        <v>219</v>
      </c>
      <c r="B53" s="269" t="s">
        <v>220</v>
      </c>
      <c r="C53" s="357" t="s">
        <v>152</v>
      </c>
      <c r="D53" s="266" t="s">
        <v>153</v>
      </c>
      <c r="E53" s="270">
        <v>488218</v>
      </c>
      <c r="F53" s="271" t="s">
        <v>207</v>
      </c>
      <c r="G53" s="271" t="s">
        <v>221</v>
      </c>
      <c r="H53" s="271" t="s">
        <v>208</v>
      </c>
      <c r="I53" s="271" t="s">
        <v>168</v>
      </c>
      <c r="J53" s="271" t="s">
        <v>222</v>
      </c>
      <c r="K53" s="271" t="s">
        <v>202</v>
      </c>
      <c r="L53" s="271" t="s">
        <v>223</v>
      </c>
      <c r="M53" s="406" t="s">
        <v>224</v>
      </c>
    </row>
    <row r="54" spans="1:13" s="289" customFormat="1" ht="12.75">
      <c r="A54" s="401"/>
      <c r="B54" s="263" t="s">
        <v>942</v>
      </c>
      <c r="C54" s="357"/>
      <c r="D54" s="357" t="s">
        <v>159</v>
      </c>
      <c r="E54" s="407"/>
      <c r="F54" s="361">
        <v>43069</v>
      </c>
      <c r="G54" s="361">
        <v>43077</v>
      </c>
      <c r="H54" s="361">
        <v>43111</v>
      </c>
      <c r="I54" s="361">
        <v>43130</v>
      </c>
      <c r="J54" s="361"/>
      <c r="K54" s="361"/>
      <c r="L54" s="361"/>
      <c r="M54" s="406"/>
    </row>
    <row r="55" spans="1:13" s="289" customFormat="1" ht="12.75" customHeight="1">
      <c r="A55" s="405"/>
      <c r="B55" s="265" t="s">
        <v>160</v>
      </c>
      <c r="C55" s="357"/>
      <c r="D55" s="357"/>
      <c r="E55" s="407"/>
      <c r="F55" s="407"/>
      <c r="G55" s="407"/>
      <c r="H55" s="407"/>
      <c r="I55" s="407"/>
      <c r="J55" s="407"/>
      <c r="K55" s="407"/>
      <c r="L55" s="407"/>
      <c r="M55" s="406"/>
    </row>
    <row r="56" spans="1:13" s="289" customFormat="1" ht="26.25" customHeight="1">
      <c r="A56" s="400" t="s">
        <v>225</v>
      </c>
      <c r="B56" s="269" t="s">
        <v>226</v>
      </c>
      <c r="C56" s="357" t="s">
        <v>152</v>
      </c>
      <c r="D56" s="266" t="s">
        <v>153</v>
      </c>
      <c r="E56" s="270">
        <v>488218</v>
      </c>
      <c r="F56" s="271" t="s">
        <v>207</v>
      </c>
      <c r="G56" s="271" t="s">
        <v>221</v>
      </c>
      <c r="H56" s="271" t="s">
        <v>208</v>
      </c>
      <c r="I56" s="271" t="s">
        <v>168</v>
      </c>
      <c r="J56" s="271" t="s">
        <v>222</v>
      </c>
      <c r="K56" s="271" t="s">
        <v>202</v>
      </c>
      <c r="L56" s="271" t="s">
        <v>223</v>
      </c>
      <c r="M56" s="406" t="s">
        <v>227</v>
      </c>
    </row>
    <row r="57" spans="1:13" s="289" customFormat="1" ht="12.75">
      <c r="A57" s="401"/>
      <c r="B57" s="263" t="s">
        <v>942</v>
      </c>
      <c r="C57" s="357"/>
      <c r="D57" s="357" t="s">
        <v>159</v>
      </c>
      <c r="E57" s="407"/>
      <c r="F57" s="361">
        <v>43069</v>
      </c>
      <c r="G57" s="361">
        <v>43077</v>
      </c>
      <c r="H57" s="361">
        <v>43111</v>
      </c>
      <c r="I57" s="361">
        <v>43130</v>
      </c>
      <c r="J57" s="361"/>
      <c r="K57" s="361"/>
      <c r="L57" s="361"/>
      <c r="M57" s="406"/>
    </row>
    <row r="58" spans="1:13" s="289" customFormat="1" ht="12.75" customHeight="1">
      <c r="A58" s="405"/>
      <c r="B58" s="265" t="s">
        <v>160</v>
      </c>
      <c r="C58" s="357"/>
      <c r="D58" s="357"/>
      <c r="E58" s="407"/>
      <c r="F58" s="407"/>
      <c r="G58" s="407"/>
      <c r="H58" s="407"/>
      <c r="I58" s="407"/>
      <c r="J58" s="407"/>
      <c r="K58" s="407"/>
      <c r="L58" s="407"/>
      <c r="M58" s="406"/>
    </row>
    <row r="59" spans="1:13" s="289" customFormat="1" ht="20.25" customHeight="1">
      <c r="A59" s="400" t="s">
        <v>228</v>
      </c>
      <c r="B59" s="269" t="s">
        <v>229</v>
      </c>
      <c r="C59" s="357" t="s">
        <v>152</v>
      </c>
      <c r="D59" s="266" t="s">
        <v>153</v>
      </c>
      <c r="E59" s="270">
        <v>556573</v>
      </c>
      <c r="F59" s="271" t="s">
        <v>207</v>
      </c>
      <c r="G59" s="271" t="s">
        <v>221</v>
      </c>
      <c r="H59" s="271" t="s">
        <v>208</v>
      </c>
      <c r="I59" s="271" t="s">
        <v>168</v>
      </c>
      <c r="J59" s="271" t="s">
        <v>222</v>
      </c>
      <c r="K59" s="271" t="s">
        <v>202</v>
      </c>
      <c r="L59" s="271" t="s">
        <v>223</v>
      </c>
      <c r="M59" s="406" t="s">
        <v>230</v>
      </c>
    </row>
    <row r="60" spans="1:13" s="289" customFormat="1" ht="12.75">
      <c r="A60" s="401"/>
      <c r="B60" s="263" t="s">
        <v>942</v>
      </c>
      <c r="C60" s="357"/>
      <c r="D60" s="357" t="s">
        <v>159</v>
      </c>
      <c r="E60" s="407"/>
      <c r="F60" s="361">
        <v>43069</v>
      </c>
      <c r="G60" s="361">
        <v>43077</v>
      </c>
      <c r="H60" s="361">
        <v>43111</v>
      </c>
      <c r="I60" s="361">
        <v>43130</v>
      </c>
      <c r="J60" s="361"/>
      <c r="K60" s="361"/>
      <c r="L60" s="361"/>
      <c r="M60" s="406"/>
    </row>
    <row r="61" spans="1:13" s="289" customFormat="1" ht="12.75" customHeight="1">
      <c r="A61" s="405"/>
      <c r="B61" s="265" t="s">
        <v>160</v>
      </c>
      <c r="C61" s="357"/>
      <c r="D61" s="357"/>
      <c r="E61" s="407"/>
      <c r="F61" s="407"/>
      <c r="G61" s="407"/>
      <c r="H61" s="407"/>
      <c r="I61" s="407"/>
      <c r="J61" s="407"/>
      <c r="K61" s="407"/>
      <c r="L61" s="407"/>
      <c r="M61" s="406"/>
    </row>
    <row r="62" spans="1:13" s="289" customFormat="1" ht="20.25" customHeight="1">
      <c r="A62" s="400" t="s">
        <v>231</v>
      </c>
      <c r="B62" s="269" t="s">
        <v>232</v>
      </c>
      <c r="C62" s="357" t="s">
        <v>152</v>
      </c>
      <c r="D62" s="266" t="s">
        <v>153</v>
      </c>
      <c r="E62" s="270">
        <v>758952</v>
      </c>
      <c r="F62" s="271" t="s">
        <v>207</v>
      </c>
      <c r="G62" s="271" t="s">
        <v>233</v>
      </c>
      <c r="H62" s="271" t="s">
        <v>208</v>
      </c>
      <c r="I62" s="271" t="s">
        <v>168</v>
      </c>
      <c r="J62" s="271" t="s">
        <v>222</v>
      </c>
      <c r="K62" s="271" t="s">
        <v>202</v>
      </c>
      <c r="L62" s="271" t="s">
        <v>223</v>
      </c>
      <c r="M62" s="406" t="s">
        <v>234</v>
      </c>
    </row>
    <row r="63" spans="1:13" s="289" customFormat="1" ht="12.75">
      <c r="A63" s="401"/>
      <c r="B63" s="263" t="s">
        <v>942</v>
      </c>
      <c r="C63" s="357"/>
      <c r="D63" s="357" t="s">
        <v>159</v>
      </c>
      <c r="E63" s="407"/>
      <c r="F63" s="361">
        <v>43069</v>
      </c>
      <c r="G63" s="361">
        <v>43077</v>
      </c>
      <c r="H63" s="361">
        <v>43111</v>
      </c>
      <c r="I63" s="361">
        <v>43130</v>
      </c>
      <c r="J63" s="361"/>
      <c r="K63" s="361"/>
      <c r="L63" s="361"/>
      <c r="M63" s="406"/>
    </row>
    <row r="64" spans="1:13" s="289" customFormat="1" ht="12.75" customHeight="1">
      <c r="A64" s="405"/>
      <c r="B64" s="265" t="s">
        <v>160</v>
      </c>
      <c r="C64" s="357"/>
      <c r="D64" s="357"/>
      <c r="E64" s="407"/>
      <c r="F64" s="407"/>
      <c r="G64" s="407"/>
      <c r="H64" s="407"/>
      <c r="I64" s="407"/>
      <c r="J64" s="407"/>
      <c r="K64" s="407"/>
      <c r="L64" s="407"/>
      <c r="M64" s="406"/>
    </row>
    <row r="65" spans="1:13" s="289" customFormat="1" ht="21.75" customHeight="1">
      <c r="A65" s="400" t="s">
        <v>235</v>
      </c>
      <c r="B65" s="269" t="s">
        <v>236</v>
      </c>
      <c r="C65" s="357" t="s">
        <v>152</v>
      </c>
      <c r="D65" s="266" t="s">
        <v>153</v>
      </c>
      <c r="E65" s="270">
        <v>556573</v>
      </c>
      <c r="F65" s="271" t="s">
        <v>207</v>
      </c>
      <c r="G65" s="271" t="s">
        <v>233</v>
      </c>
      <c r="H65" s="271" t="s">
        <v>955</v>
      </c>
      <c r="I65" s="271" t="s">
        <v>950</v>
      </c>
      <c r="J65" s="271" t="s">
        <v>201</v>
      </c>
      <c r="K65" s="271" t="s">
        <v>357</v>
      </c>
      <c r="L65" s="271" t="s">
        <v>223</v>
      </c>
      <c r="M65" s="406" t="s">
        <v>237</v>
      </c>
    </row>
    <row r="66" spans="1:13" s="289" customFormat="1" ht="12.75">
      <c r="A66" s="401"/>
      <c r="B66" s="263" t="s">
        <v>942</v>
      </c>
      <c r="C66" s="357"/>
      <c r="D66" s="357" t="s">
        <v>159</v>
      </c>
      <c r="E66" s="407"/>
      <c r="F66" s="361">
        <v>42968</v>
      </c>
      <c r="G66" s="361">
        <v>43085</v>
      </c>
      <c r="H66" s="361">
        <v>43119</v>
      </c>
      <c r="I66" s="361"/>
      <c r="J66" s="361"/>
      <c r="K66" s="361"/>
      <c r="L66" s="361"/>
      <c r="M66" s="406"/>
    </row>
    <row r="67" spans="1:13" s="289" customFormat="1" ht="12.75">
      <c r="A67" s="405"/>
      <c r="B67" s="265" t="s">
        <v>160</v>
      </c>
      <c r="C67" s="357"/>
      <c r="D67" s="357"/>
      <c r="E67" s="407"/>
      <c r="F67" s="407"/>
      <c r="G67" s="407"/>
      <c r="H67" s="407"/>
      <c r="I67" s="407"/>
      <c r="J67" s="407"/>
      <c r="K67" s="407"/>
      <c r="L67" s="407"/>
      <c r="M67" s="406"/>
    </row>
    <row r="68" spans="1:13" s="289" customFormat="1" ht="21.75" customHeight="1">
      <c r="A68" s="400" t="s">
        <v>238</v>
      </c>
      <c r="B68" s="269" t="s">
        <v>239</v>
      </c>
      <c r="C68" s="357" t="s">
        <v>152</v>
      </c>
      <c r="D68" s="266" t="s">
        <v>153</v>
      </c>
      <c r="E68" s="270">
        <v>488218</v>
      </c>
      <c r="F68" s="271" t="s">
        <v>959</v>
      </c>
      <c r="G68" s="271" t="s">
        <v>958</v>
      </c>
      <c r="H68" s="271" t="s">
        <v>951</v>
      </c>
      <c r="I68" s="271" t="s">
        <v>358</v>
      </c>
      <c r="J68" s="271" t="s">
        <v>210</v>
      </c>
      <c r="K68" s="271" t="s">
        <v>960</v>
      </c>
      <c r="L68" s="271" t="s">
        <v>961</v>
      </c>
      <c r="M68" s="406" t="s">
        <v>240</v>
      </c>
    </row>
    <row r="69" spans="1:13" s="289" customFormat="1" ht="12.75">
      <c r="A69" s="401"/>
      <c r="B69" s="263" t="s">
        <v>158</v>
      </c>
      <c r="C69" s="357"/>
      <c r="D69" s="357" t="s">
        <v>159</v>
      </c>
      <c r="E69" s="407"/>
      <c r="F69" s="361"/>
      <c r="G69" s="361"/>
      <c r="H69" s="361"/>
      <c r="I69" s="361"/>
      <c r="J69" s="361"/>
      <c r="K69" s="361"/>
      <c r="L69" s="361"/>
      <c r="M69" s="406"/>
    </row>
    <row r="70" spans="1:13" s="289" customFormat="1" ht="12.75" customHeight="1">
      <c r="A70" s="405"/>
      <c r="B70" s="265" t="s">
        <v>943</v>
      </c>
      <c r="C70" s="357"/>
      <c r="D70" s="357"/>
      <c r="E70" s="407"/>
      <c r="F70" s="407"/>
      <c r="G70" s="407"/>
      <c r="H70" s="407"/>
      <c r="I70" s="407"/>
      <c r="J70" s="407"/>
      <c r="K70" s="407"/>
      <c r="L70" s="407"/>
      <c r="M70" s="406"/>
    </row>
    <row r="71" spans="1:13" s="289" customFormat="1" ht="21.75" customHeight="1">
      <c r="A71" s="331" t="s">
        <v>952</v>
      </c>
      <c r="B71" s="269" t="s">
        <v>239</v>
      </c>
      <c r="C71" s="266" t="s">
        <v>152</v>
      </c>
      <c r="D71" s="266" t="s">
        <v>153</v>
      </c>
      <c r="E71" s="270">
        <v>694708</v>
      </c>
      <c r="F71" s="271" t="s">
        <v>954</v>
      </c>
      <c r="G71" s="271" t="s">
        <v>352</v>
      </c>
      <c r="H71" s="271" t="s">
        <v>208</v>
      </c>
      <c r="I71" s="271" t="s">
        <v>168</v>
      </c>
      <c r="J71" s="271" t="s">
        <v>222</v>
      </c>
      <c r="K71" s="271" t="s">
        <v>202</v>
      </c>
      <c r="L71" s="271" t="s">
        <v>223</v>
      </c>
      <c r="M71" s="256" t="s">
        <v>240</v>
      </c>
    </row>
    <row r="72" spans="1:13" s="289" customFormat="1" ht="12.75" customHeight="1">
      <c r="A72" s="332"/>
      <c r="B72" s="263" t="s">
        <v>158</v>
      </c>
      <c r="C72" s="266"/>
      <c r="D72" s="266" t="s">
        <v>159</v>
      </c>
      <c r="E72" s="257"/>
      <c r="F72" s="258">
        <v>43069</v>
      </c>
      <c r="G72" s="258">
        <v>43077</v>
      </c>
      <c r="H72" s="258">
        <v>43111</v>
      </c>
      <c r="I72" s="258"/>
      <c r="J72" s="258"/>
      <c r="K72" s="258"/>
      <c r="L72" s="258"/>
      <c r="M72" s="256"/>
    </row>
    <row r="73" spans="1:13" s="289" customFormat="1" ht="12.75" customHeight="1">
      <c r="A73" s="333"/>
      <c r="B73" s="265" t="s">
        <v>943</v>
      </c>
      <c r="C73" s="266"/>
      <c r="D73" s="266"/>
      <c r="E73" s="257"/>
      <c r="F73" s="257"/>
      <c r="G73" s="257"/>
      <c r="H73" s="257"/>
      <c r="I73" s="257"/>
      <c r="J73" s="257"/>
      <c r="K73" s="257"/>
      <c r="L73" s="257"/>
      <c r="M73" s="256"/>
    </row>
    <row r="74" spans="1:13" s="289" customFormat="1" ht="24.75" customHeight="1">
      <c r="A74" s="400" t="s">
        <v>241</v>
      </c>
      <c r="B74" s="269" t="s">
        <v>242</v>
      </c>
      <c r="C74" s="357" t="s">
        <v>152</v>
      </c>
      <c r="D74" s="266" t="s">
        <v>153</v>
      </c>
      <c r="E74" s="270">
        <v>405600</v>
      </c>
      <c r="F74" s="271" t="s">
        <v>959</v>
      </c>
      <c r="G74" s="271" t="s">
        <v>958</v>
      </c>
      <c r="H74" s="271" t="s">
        <v>951</v>
      </c>
      <c r="I74" s="271" t="s">
        <v>358</v>
      </c>
      <c r="J74" s="271" t="s">
        <v>210</v>
      </c>
      <c r="K74" s="271" t="s">
        <v>960</v>
      </c>
      <c r="L74" s="271" t="s">
        <v>961</v>
      </c>
      <c r="M74" s="406" t="s">
        <v>243</v>
      </c>
    </row>
    <row r="75" spans="1:13" s="289" customFormat="1" ht="12.75" customHeight="1">
      <c r="A75" s="401"/>
      <c r="B75" s="263" t="s">
        <v>158</v>
      </c>
      <c r="C75" s="357"/>
      <c r="D75" s="357" t="s">
        <v>159</v>
      </c>
      <c r="E75" s="407"/>
      <c r="F75" s="361"/>
      <c r="G75" s="361"/>
      <c r="H75" s="361"/>
      <c r="I75" s="361"/>
      <c r="J75" s="361"/>
      <c r="K75" s="361"/>
      <c r="L75" s="361"/>
      <c r="M75" s="406"/>
    </row>
    <row r="76" spans="1:13" s="289" customFormat="1" ht="12.75">
      <c r="A76" s="404"/>
      <c r="B76" s="265" t="s">
        <v>943</v>
      </c>
      <c r="C76" s="357"/>
      <c r="D76" s="357"/>
      <c r="E76" s="407"/>
      <c r="F76" s="407"/>
      <c r="G76" s="407"/>
      <c r="H76" s="407"/>
      <c r="I76" s="407"/>
      <c r="J76" s="407"/>
      <c r="K76" s="407"/>
      <c r="L76" s="407"/>
      <c r="M76" s="406"/>
    </row>
    <row r="77" spans="1:13" s="289" customFormat="1" ht="12.75">
      <c r="A77" s="268" t="s">
        <v>244</v>
      </c>
      <c r="B77" s="265"/>
      <c r="C77" s="266"/>
      <c r="D77" s="266"/>
      <c r="E77" s="259">
        <f>SUM(E44:E74)</f>
        <v>6493325</v>
      </c>
      <c r="F77" s="257"/>
      <c r="G77" s="257"/>
      <c r="H77" s="257"/>
      <c r="I77" s="257"/>
      <c r="J77" s="257"/>
      <c r="K77" s="257"/>
      <c r="L77" s="257"/>
      <c r="M77" s="256"/>
    </row>
    <row r="78" spans="1:13" s="289" customFormat="1" ht="12.75" customHeight="1">
      <c r="A78" s="268"/>
      <c r="B78" s="265"/>
      <c r="C78" s="266"/>
      <c r="D78" s="266"/>
      <c r="E78" s="259"/>
      <c r="F78" s="257"/>
      <c r="G78" s="257"/>
      <c r="H78" s="257"/>
      <c r="I78" s="257"/>
      <c r="J78" s="257"/>
      <c r="K78" s="257"/>
      <c r="L78" s="257"/>
      <c r="M78" s="256"/>
    </row>
    <row r="79" spans="1:13" s="289" customFormat="1" ht="12.75" customHeight="1">
      <c r="A79" s="398" t="s">
        <v>245</v>
      </c>
      <c r="B79" s="269" t="s">
        <v>246</v>
      </c>
      <c r="C79" s="357" t="s">
        <v>152</v>
      </c>
      <c r="D79" s="266" t="s">
        <v>153</v>
      </c>
      <c r="E79" s="270">
        <v>2809029</v>
      </c>
      <c r="F79" s="271" t="s">
        <v>247</v>
      </c>
      <c r="G79" s="271" t="s">
        <v>248</v>
      </c>
      <c r="H79" s="271" t="s">
        <v>249</v>
      </c>
      <c r="I79" s="271" t="s">
        <v>250</v>
      </c>
      <c r="J79" s="271" t="s">
        <v>251</v>
      </c>
      <c r="K79" s="271" t="s">
        <v>252</v>
      </c>
      <c r="L79" s="271" t="s">
        <v>253</v>
      </c>
      <c r="M79" s="406" t="s">
        <v>254</v>
      </c>
    </row>
    <row r="80" spans="1:13" s="289" customFormat="1" ht="15">
      <c r="A80" s="398"/>
      <c r="B80" s="325" t="s">
        <v>942</v>
      </c>
      <c r="C80" s="357"/>
      <c r="D80" s="357" t="s">
        <v>159</v>
      </c>
      <c r="E80" s="407"/>
      <c r="F80" s="361">
        <v>43056</v>
      </c>
      <c r="G80" s="361">
        <v>43056</v>
      </c>
      <c r="H80" s="361">
        <v>43110</v>
      </c>
      <c r="I80" s="361"/>
      <c r="J80" s="361"/>
      <c r="K80" s="361"/>
      <c r="L80" s="361"/>
      <c r="M80" s="406"/>
    </row>
    <row r="81" spans="1:13" s="289" customFormat="1" ht="15" customHeight="1">
      <c r="A81" s="398"/>
      <c r="B81" s="327" t="s">
        <v>160</v>
      </c>
      <c r="C81" s="357"/>
      <c r="D81" s="357"/>
      <c r="E81" s="407"/>
      <c r="F81" s="407"/>
      <c r="G81" s="407"/>
      <c r="H81" s="407"/>
      <c r="I81" s="407"/>
      <c r="J81" s="407"/>
      <c r="K81" s="407"/>
      <c r="L81" s="407"/>
      <c r="M81" s="406"/>
    </row>
    <row r="82" spans="1:13" s="289" customFormat="1" ht="18.75" customHeight="1">
      <c r="A82" s="400" t="s">
        <v>256</v>
      </c>
      <c r="B82" s="269" t="s">
        <v>257</v>
      </c>
      <c r="C82" s="357" t="s">
        <v>152</v>
      </c>
      <c r="D82" s="266" t="s">
        <v>153</v>
      </c>
      <c r="E82" s="270">
        <v>3194384.98</v>
      </c>
      <c r="F82" s="271" t="s">
        <v>258</v>
      </c>
      <c r="G82" s="271" t="s">
        <v>259</v>
      </c>
      <c r="H82" s="271" t="s">
        <v>260</v>
      </c>
      <c r="I82" s="271" t="s">
        <v>261</v>
      </c>
      <c r="J82" s="271" t="s">
        <v>262</v>
      </c>
      <c r="K82" s="271" t="s">
        <v>263</v>
      </c>
      <c r="L82" s="271" t="s">
        <v>264</v>
      </c>
      <c r="M82" s="406" t="s">
        <v>265</v>
      </c>
    </row>
    <row r="83" spans="1:13" s="289" customFormat="1" ht="12.75">
      <c r="A83" s="401"/>
      <c r="B83" s="263" t="s">
        <v>255</v>
      </c>
      <c r="C83" s="357"/>
      <c r="D83" s="357" t="s">
        <v>159</v>
      </c>
      <c r="E83" s="393">
        <v>3688683.58</v>
      </c>
      <c r="F83" s="344" t="s">
        <v>258</v>
      </c>
      <c r="G83" s="344" t="s">
        <v>266</v>
      </c>
      <c r="H83" s="367" t="s">
        <v>267</v>
      </c>
      <c r="I83" s="367" t="s">
        <v>262</v>
      </c>
      <c r="J83" s="367" t="s">
        <v>268</v>
      </c>
      <c r="K83" s="344" t="s">
        <v>269</v>
      </c>
      <c r="L83" s="343"/>
      <c r="M83" s="406"/>
    </row>
    <row r="84" spans="1:13" s="289" customFormat="1" ht="12.75" customHeight="1">
      <c r="A84" s="405"/>
      <c r="B84" s="265" t="s">
        <v>160</v>
      </c>
      <c r="C84" s="357"/>
      <c r="D84" s="357"/>
      <c r="E84" s="393"/>
      <c r="F84" s="344"/>
      <c r="G84" s="344"/>
      <c r="H84" s="367"/>
      <c r="I84" s="367"/>
      <c r="J84" s="367"/>
      <c r="K84" s="344"/>
      <c r="L84" s="343"/>
      <c r="M84" s="406"/>
    </row>
    <row r="85" spans="1:13" s="289" customFormat="1" ht="32.25" customHeight="1">
      <c r="A85" s="400" t="s">
        <v>270</v>
      </c>
      <c r="B85" s="269" t="s">
        <v>271</v>
      </c>
      <c r="C85" s="357" t="s">
        <v>152</v>
      </c>
      <c r="D85" s="266" t="s">
        <v>153</v>
      </c>
      <c r="E85" s="270">
        <v>3194384.98</v>
      </c>
      <c r="F85" s="271" t="s">
        <v>258</v>
      </c>
      <c r="G85" s="271" t="s">
        <v>272</v>
      </c>
      <c r="H85" s="271" t="s">
        <v>273</v>
      </c>
      <c r="I85" s="271" t="s">
        <v>267</v>
      </c>
      <c r="J85" s="271" t="s">
        <v>261</v>
      </c>
      <c r="K85" s="271" t="s">
        <v>274</v>
      </c>
      <c r="L85" s="271" t="s">
        <v>275</v>
      </c>
      <c r="M85" s="381" t="s">
        <v>276</v>
      </c>
    </row>
    <row r="86" spans="1:13" s="289" customFormat="1" ht="12.75">
      <c r="A86" s="401"/>
      <c r="B86" s="263" t="s">
        <v>255</v>
      </c>
      <c r="C86" s="357"/>
      <c r="D86" s="357" t="s">
        <v>159</v>
      </c>
      <c r="E86" s="363">
        <v>3497945.54</v>
      </c>
      <c r="F86" s="344" t="s">
        <v>258</v>
      </c>
      <c r="G86" s="344" t="s">
        <v>272</v>
      </c>
      <c r="H86" s="344" t="s">
        <v>273</v>
      </c>
      <c r="I86" s="367" t="s">
        <v>277</v>
      </c>
      <c r="J86" s="367" t="s">
        <v>278</v>
      </c>
      <c r="K86" s="367" t="s">
        <v>279</v>
      </c>
      <c r="L86" s="343"/>
      <c r="M86" s="381"/>
    </row>
    <row r="87" spans="1:13" s="289" customFormat="1" ht="12.75" customHeight="1">
      <c r="A87" s="405"/>
      <c r="B87" s="265" t="s">
        <v>160</v>
      </c>
      <c r="C87" s="357"/>
      <c r="D87" s="357"/>
      <c r="E87" s="363"/>
      <c r="F87" s="344"/>
      <c r="G87" s="344"/>
      <c r="H87" s="344"/>
      <c r="I87" s="367"/>
      <c r="J87" s="367"/>
      <c r="K87" s="367"/>
      <c r="L87" s="343"/>
      <c r="M87" s="381"/>
    </row>
    <row r="88" spans="1:13" s="289" customFormat="1" ht="23.25" customHeight="1">
      <c r="A88" s="400" t="s">
        <v>280</v>
      </c>
      <c r="B88" s="269" t="s">
        <v>281</v>
      </c>
      <c r="C88" s="357" t="s">
        <v>152</v>
      </c>
      <c r="D88" s="266" t="s">
        <v>153</v>
      </c>
      <c r="E88" s="270">
        <v>3194384.98</v>
      </c>
      <c r="F88" s="271" t="s">
        <v>258</v>
      </c>
      <c r="G88" s="271" t="s">
        <v>272</v>
      </c>
      <c r="H88" s="271" t="s">
        <v>273</v>
      </c>
      <c r="I88" s="271" t="s">
        <v>267</v>
      </c>
      <c r="J88" s="271" t="s">
        <v>261</v>
      </c>
      <c r="K88" s="271" t="s">
        <v>274</v>
      </c>
      <c r="L88" s="271" t="s">
        <v>275</v>
      </c>
      <c r="M88" s="381" t="s">
        <v>282</v>
      </c>
    </row>
    <row r="89" spans="1:13" s="289" customFormat="1" ht="12.75">
      <c r="A89" s="401"/>
      <c r="B89" s="263" t="s">
        <v>255</v>
      </c>
      <c r="C89" s="357"/>
      <c r="D89" s="357" t="s">
        <v>159</v>
      </c>
      <c r="E89" s="363">
        <v>3325676.71</v>
      </c>
      <c r="F89" s="344" t="s">
        <v>258</v>
      </c>
      <c r="G89" s="344" t="s">
        <v>272</v>
      </c>
      <c r="H89" s="344" t="s">
        <v>273</v>
      </c>
      <c r="I89" s="367" t="s">
        <v>277</v>
      </c>
      <c r="J89" s="367" t="s">
        <v>278</v>
      </c>
      <c r="K89" s="367" t="s">
        <v>279</v>
      </c>
      <c r="L89" s="343"/>
      <c r="M89" s="381"/>
    </row>
    <row r="90" spans="1:13" s="289" customFormat="1" ht="12.75" customHeight="1">
      <c r="A90" s="405"/>
      <c r="B90" s="265" t="s">
        <v>160</v>
      </c>
      <c r="C90" s="357"/>
      <c r="D90" s="357"/>
      <c r="E90" s="363"/>
      <c r="F90" s="344"/>
      <c r="G90" s="344"/>
      <c r="H90" s="344"/>
      <c r="I90" s="367"/>
      <c r="J90" s="367"/>
      <c r="K90" s="367"/>
      <c r="L90" s="343"/>
      <c r="M90" s="381"/>
    </row>
    <row r="91" spans="1:13" s="289" customFormat="1" ht="24.75" customHeight="1">
      <c r="A91" s="400" t="s">
        <v>283</v>
      </c>
      <c r="B91" s="269" t="s">
        <v>284</v>
      </c>
      <c r="C91" s="357" t="s">
        <v>152</v>
      </c>
      <c r="D91" s="266" t="s">
        <v>153</v>
      </c>
      <c r="E91" s="270">
        <v>3194384.97</v>
      </c>
      <c r="F91" s="271" t="s">
        <v>258</v>
      </c>
      <c r="G91" s="271" t="s">
        <v>259</v>
      </c>
      <c r="H91" s="271" t="s">
        <v>260</v>
      </c>
      <c r="I91" s="271" t="s">
        <v>261</v>
      </c>
      <c r="J91" s="271" t="s">
        <v>262</v>
      </c>
      <c r="K91" s="271" t="s">
        <v>263</v>
      </c>
      <c r="L91" s="271" t="s">
        <v>264</v>
      </c>
      <c r="M91" s="381" t="s">
        <v>285</v>
      </c>
    </row>
    <row r="92" spans="1:13" s="289" customFormat="1" ht="12.75">
      <c r="A92" s="401"/>
      <c r="B92" s="263" t="s">
        <v>255</v>
      </c>
      <c r="C92" s="357"/>
      <c r="D92" s="357" t="s">
        <v>159</v>
      </c>
      <c r="E92" s="363">
        <v>3414233.35</v>
      </c>
      <c r="F92" s="344" t="s">
        <v>258</v>
      </c>
      <c r="G92" s="344" t="s">
        <v>272</v>
      </c>
      <c r="H92" s="344" t="s">
        <v>273</v>
      </c>
      <c r="I92" s="367" t="s">
        <v>277</v>
      </c>
      <c r="J92" s="367" t="s">
        <v>278</v>
      </c>
      <c r="K92" s="367" t="s">
        <v>279</v>
      </c>
      <c r="L92" s="343"/>
      <c r="M92" s="381"/>
    </row>
    <row r="93" spans="1:13" s="289" customFormat="1" ht="12.75" customHeight="1">
      <c r="A93" s="405"/>
      <c r="B93" s="265" t="s">
        <v>160</v>
      </c>
      <c r="C93" s="357"/>
      <c r="D93" s="357"/>
      <c r="E93" s="363"/>
      <c r="F93" s="344"/>
      <c r="G93" s="344"/>
      <c r="H93" s="344"/>
      <c r="I93" s="367"/>
      <c r="J93" s="367"/>
      <c r="K93" s="367"/>
      <c r="L93" s="343"/>
      <c r="M93" s="381"/>
    </row>
    <row r="94" spans="1:13" s="289" customFormat="1" ht="21.75" customHeight="1">
      <c r="A94" s="400" t="s">
        <v>286</v>
      </c>
      <c r="B94" s="269" t="s">
        <v>287</v>
      </c>
      <c r="C94" s="357" t="s">
        <v>152</v>
      </c>
      <c r="D94" s="266" t="s">
        <v>153</v>
      </c>
      <c r="E94" s="270">
        <v>2809029</v>
      </c>
      <c r="F94" s="271" t="s">
        <v>192</v>
      </c>
      <c r="G94" s="271" t="s">
        <v>288</v>
      </c>
      <c r="H94" s="271" t="s">
        <v>249</v>
      </c>
      <c r="I94" s="271" t="s">
        <v>250</v>
      </c>
      <c r="J94" s="271" t="s">
        <v>251</v>
      </c>
      <c r="K94" s="271" t="s">
        <v>252</v>
      </c>
      <c r="L94" s="271" t="s">
        <v>253</v>
      </c>
      <c r="M94" s="381" t="s">
        <v>289</v>
      </c>
    </row>
    <row r="95" spans="1:13" s="289" customFormat="1" ht="12.75">
      <c r="A95" s="401"/>
      <c r="B95" s="263" t="s">
        <v>942</v>
      </c>
      <c r="C95" s="357"/>
      <c r="D95" s="357" t="s">
        <v>159</v>
      </c>
      <c r="E95" s="363"/>
      <c r="F95" s="361">
        <v>43056</v>
      </c>
      <c r="G95" s="361">
        <v>43056</v>
      </c>
      <c r="H95" s="361">
        <v>43110</v>
      </c>
      <c r="I95" s="361"/>
      <c r="J95" s="361"/>
      <c r="K95" s="361"/>
      <c r="L95" s="361"/>
      <c r="M95" s="381"/>
    </row>
    <row r="96" spans="1:13" s="289" customFormat="1" ht="12.75" customHeight="1">
      <c r="A96" s="405"/>
      <c r="B96" s="265" t="s">
        <v>160</v>
      </c>
      <c r="C96" s="357"/>
      <c r="D96" s="357"/>
      <c r="E96" s="363"/>
      <c r="F96" s="361"/>
      <c r="G96" s="361"/>
      <c r="H96" s="361"/>
      <c r="I96" s="361"/>
      <c r="J96" s="361"/>
      <c r="K96" s="361"/>
      <c r="L96" s="361"/>
      <c r="M96" s="381"/>
    </row>
    <row r="97" spans="1:13" s="289" customFormat="1" ht="23.25" customHeight="1">
      <c r="A97" s="400" t="s">
        <v>290</v>
      </c>
      <c r="B97" s="269" t="s">
        <v>291</v>
      </c>
      <c r="C97" s="357" t="s">
        <v>152</v>
      </c>
      <c r="D97" s="266" t="s">
        <v>153</v>
      </c>
      <c r="E97" s="270">
        <v>2809029</v>
      </c>
      <c r="F97" s="271" t="s">
        <v>292</v>
      </c>
      <c r="G97" s="271" t="s">
        <v>293</v>
      </c>
      <c r="H97" s="271" t="s">
        <v>181</v>
      </c>
      <c r="I97" s="271" t="s">
        <v>294</v>
      </c>
      <c r="J97" s="271" t="s">
        <v>295</v>
      </c>
      <c r="K97" s="271" t="s">
        <v>296</v>
      </c>
      <c r="L97" s="271" t="s">
        <v>297</v>
      </c>
      <c r="M97" s="381" t="s">
        <v>298</v>
      </c>
    </row>
    <row r="98" spans="1:13" s="289" customFormat="1" ht="12.75">
      <c r="A98" s="401"/>
      <c r="B98" s="263" t="s">
        <v>942</v>
      </c>
      <c r="C98" s="357"/>
      <c r="D98" s="357" t="s">
        <v>159</v>
      </c>
      <c r="E98" s="363"/>
      <c r="F98" s="343"/>
      <c r="G98" s="361"/>
      <c r="H98" s="361"/>
      <c r="I98" s="361"/>
      <c r="J98" s="361"/>
      <c r="K98" s="361"/>
      <c r="L98" s="361"/>
      <c r="M98" s="381"/>
    </row>
    <row r="99" spans="1:13" s="289" customFormat="1" ht="12.75">
      <c r="A99" s="405"/>
      <c r="B99" s="265" t="s">
        <v>160</v>
      </c>
      <c r="C99" s="357"/>
      <c r="D99" s="357"/>
      <c r="E99" s="363"/>
      <c r="F99" s="343"/>
      <c r="G99" s="361"/>
      <c r="H99" s="361"/>
      <c r="I99" s="361"/>
      <c r="J99" s="361"/>
      <c r="K99" s="361"/>
      <c r="L99" s="361"/>
      <c r="M99" s="381"/>
    </row>
    <row r="100" spans="1:13" s="289" customFormat="1" ht="24.75" customHeight="1">
      <c r="A100" s="400" t="s">
        <v>299</v>
      </c>
      <c r="B100" s="269" t="s">
        <v>300</v>
      </c>
      <c r="C100" s="357" t="s">
        <v>152</v>
      </c>
      <c r="D100" s="266" t="s">
        <v>153</v>
      </c>
      <c r="E100" s="270">
        <v>959810</v>
      </c>
      <c r="F100" s="271" t="s">
        <v>301</v>
      </c>
      <c r="G100" s="271" t="s">
        <v>302</v>
      </c>
      <c r="H100" s="271" t="s">
        <v>955</v>
      </c>
      <c r="I100" s="271" t="s">
        <v>950</v>
      </c>
      <c r="J100" s="271" t="s">
        <v>201</v>
      </c>
      <c r="K100" s="271" t="s">
        <v>357</v>
      </c>
      <c r="L100" s="271" t="s">
        <v>223</v>
      </c>
      <c r="M100" s="381" t="s">
        <v>304</v>
      </c>
    </row>
    <row r="101" spans="1:13" s="289" customFormat="1" ht="12.75">
      <c r="A101" s="401"/>
      <c r="B101" s="263" t="s">
        <v>942</v>
      </c>
      <c r="C101" s="357"/>
      <c r="D101" s="357" t="s">
        <v>159</v>
      </c>
      <c r="E101" s="343"/>
      <c r="F101" s="361">
        <v>42968</v>
      </c>
      <c r="G101" s="361">
        <v>43085</v>
      </c>
      <c r="H101" s="361">
        <v>43119</v>
      </c>
      <c r="I101" s="361"/>
      <c r="J101" s="361"/>
      <c r="K101" s="361"/>
      <c r="L101" s="361"/>
      <c r="M101" s="381"/>
    </row>
    <row r="102" spans="1:13" s="289" customFormat="1" ht="12.75" customHeight="1">
      <c r="A102" s="401"/>
      <c r="B102" s="274"/>
      <c r="C102" s="357"/>
      <c r="D102" s="357"/>
      <c r="E102" s="343"/>
      <c r="F102" s="361"/>
      <c r="G102" s="361"/>
      <c r="H102" s="361"/>
      <c r="I102" s="361"/>
      <c r="J102" s="361"/>
      <c r="K102" s="361"/>
      <c r="L102" s="361"/>
      <c r="M102" s="381"/>
    </row>
    <row r="103" spans="1:13" s="289" customFormat="1" ht="12.75">
      <c r="A103" s="404"/>
      <c r="B103" s="265" t="s">
        <v>160</v>
      </c>
      <c r="C103" s="357"/>
      <c r="D103" s="357"/>
      <c r="E103" s="343"/>
      <c r="F103" s="361"/>
      <c r="G103" s="361"/>
      <c r="H103" s="361"/>
      <c r="I103" s="361"/>
      <c r="J103" s="361"/>
      <c r="K103" s="361"/>
      <c r="L103" s="361"/>
      <c r="M103" s="381"/>
    </row>
    <row r="104" spans="1:13" s="289" customFormat="1" ht="12.75">
      <c r="A104" s="268" t="s">
        <v>305</v>
      </c>
      <c r="B104" s="265"/>
      <c r="C104" s="266"/>
      <c r="D104" s="266"/>
      <c r="E104" s="275">
        <f>SUM(E79+E82+E85+E88+E91+E94+E97+E100)</f>
        <v>22164436.910000004</v>
      </c>
      <c r="F104" s="258"/>
      <c r="G104" s="258"/>
      <c r="H104" s="258"/>
      <c r="I104" s="258"/>
      <c r="J104" s="258"/>
      <c r="K104" s="258"/>
      <c r="L104" s="258"/>
      <c r="M104" s="254"/>
    </row>
    <row r="105" spans="1:13" s="289" customFormat="1" ht="12.75" customHeight="1">
      <c r="A105" s="315"/>
      <c r="B105" s="315"/>
      <c r="C105" s="266"/>
      <c r="D105" s="266"/>
      <c r="E105" s="275"/>
      <c r="F105" s="258"/>
      <c r="G105" s="258"/>
      <c r="H105" s="258"/>
      <c r="I105" s="258"/>
      <c r="J105" s="258"/>
      <c r="K105" s="258"/>
      <c r="L105" s="258"/>
      <c r="M105" s="254"/>
    </row>
    <row r="106" spans="1:13" s="289" customFormat="1" ht="26.25" customHeight="1">
      <c r="A106" s="400" t="s">
        <v>306</v>
      </c>
      <c r="B106" s="269" t="s">
        <v>307</v>
      </c>
      <c r="C106" s="357" t="s">
        <v>152</v>
      </c>
      <c r="D106" s="266" t="s">
        <v>153</v>
      </c>
      <c r="E106" s="270">
        <v>70000</v>
      </c>
      <c r="F106" s="271" t="s">
        <v>308</v>
      </c>
      <c r="G106" s="271" t="s">
        <v>309</v>
      </c>
      <c r="H106" s="271" t="s">
        <v>955</v>
      </c>
      <c r="I106" s="271" t="s">
        <v>963</v>
      </c>
      <c r="J106" s="271" t="s">
        <v>203</v>
      </c>
      <c r="K106" s="271" t="s">
        <v>358</v>
      </c>
      <c r="L106" s="271" t="s">
        <v>966</v>
      </c>
      <c r="M106" s="381" t="s">
        <v>310</v>
      </c>
    </row>
    <row r="107" spans="1:13" s="289" customFormat="1" ht="12.75">
      <c r="A107" s="401"/>
      <c r="B107" s="263" t="s">
        <v>942</v>
      </c>
      <c r="C107" s="357"/>
      <c r="D107" s="357" t="s">
        <v>159</v>
      </c>
      <c r="E107" s="343"/>
      <c r="F107" s="361">
        <v>42968</v>
      </c>
      <c r="G107" s="361">
        <v>43085</v>
      </c>
      <c r="H107" s="361">
        <v>43119</v>
      </c>
      <c r="I107" s="361"/>
      <c r="J107" s="361"/>
      <c r="K107" s="361"/>
      <c r="L107" s="361"/>
      <c r="M107" s="381"/>
    </row>
    <row r="108" spans="1:13" s="289" customFormat="1" ht="12.75" customHeight="1">
      <c r="A108" s="405"/>
      <c r="B108" s="265" t="s">
        <v>160</v>
      </c>
      <c r="C108" s="357"/>
      <c r="D108" s="357"/>
      <c r="E108" s="343"/>
      <c r="F108" s="361"/>
      <c r="G108" s="361"/>
      <c r="H108" s="361"/>
      <c r="I108" s="361"/>
      <c r="J108" s="361"/>
      <c r="K108" s="361"/>
      <c r="L108" s="361"/>
      <c r="M108" s="381"/>
    </row>
    <row r="109" spans="1:13" s="289" customFormat="1" ht="27" customHeight="1">
      <c r="A109" s="400" t="s">
        <v>311</v>
      </c>
      <c r="B109" s="269" t="s">
        <v>312</v>
      </c>
      <c r="C109" s="357" t="s">
        <v>152</v>
      </c>
      <c r="D109" s="266" t="s">
        <v>153</v>
      </c>
      <c r="E109" s="270">
        <v>70000</v>
      </c>
      <c r="F109" s="271" t="s">
        <v>308</v>
      </c>
      <c r="G109" s="271" t="s">
        <v>221</v>
      </c>
      <c r="H109" s="271" t="s">
        <v>208</v>
      </c>
      <c r="I109" s="271" t="s">
        <v>964</v>
      </c>
      <c r="J109" s="271" t="s">
        <v>965</v>
      </c>
      <c r="K109" s="271" t="s">
        <v>179</v>
      </c>
      <c r="L109" s="271" t="s">
        <v>967</v>
      </c>
      <c r="M109" s="381" t="s">
        <v>313</v>
      </c>
    </row>
    <row r="110" spans="1:13" s="289" customFormat="1" ht="12.75">
      <c r="A110" s="401"/>
      <c r="B110" s="263" t="s">
        <v>942</v>
      </c>
      <c r="C110" s="357"/>
      <c r="D110" s="357" t="s">
        <v>159</v>
      </c>
      <c r="E110" s="363"/>
      <c r="F110" s="361">
        <v>43434</v>
      </c>
      <c r="G110" s="361">
        <v>43077</v>
      </c>
      <c r="H110" s="361">
        <v>43111</v>
      </c>
      <c r="I110" s="361"/>
      <c r="J110" s="361"/>
      <c r="K110" s="361"/>
      <c r="L110" s="361"/>
      <c r="M110" s="381"/>
    </row>
    <row r="111" spans="1:13" s="289" customFormat="1" ht="12.75" customHeight="1">
      <c r="A111" s="405"/>
      <c r="B111" s="265" t="s">
        <v>160</v>
      </c>
      <c r="C111" s="357"/>
      <c r="D111" s="357"/>
      <c r="E111" s="363"/>
      <c r="F111" s="361"/>
      <c r="G111" s="361"/>
      <c r="H111" s="361"/>
      <c r="I111" s="361"/>
      <c r="J111" s="361"/>
      <c r="K111" s="361"/>
      <c r="L111" s="361"/>
      <c r="M111" s="381"/>
    </row>
    <row r="112" spans="1:13" s="289" customFormat="1" ht="33" customHeight="1">
      <c r="A112" s="400" t="s">
        <v>314</v>
      </c>
      <c r="B112" s="269" t="s">
        <v>315</v>
      </c>
      <c r="C112" s="357" t="s">
        <v>152</v>
      </c>
      <c r="D112" s="266" t="s">
        <v>153</v>
      </c>
      <c r="E112" s="270">
        <v>70000</v>
      </c>
      <c r="F112" s="271" t="s">
        <v>308</v>
      </c>
      <c r="G112" s="271" t="s">
        <v>221</v>
      </c>
      <c r="H112" s="271" t="s">
        <v>208</v>
      </c>
      <c r="I112" s="271" t="s">
        <v>964</v>
      </c>
      <c r="J112" s="271" t="s">
        <v>965</v>
      </c>
      <c r="K112" s="271" t="s">
        <v>179</v>
      </c>
      <c r="L112" s="271" t="s">
        <v>967</v>
      </c>
      <c r="M112" s="381" t="s">
        <v>316</v>
      </c>
    </row>
    <row r="113" spans="1:13" s="289" customFormat="1" ht="12.75">
      <c r="A113" s="401"/>
      <c r="B113" s="263" t="s">
        <v>942</v>
      </c>
      <c r="C113" s="357"/>
      <c r="D113" s="357" t="s">
        <v>159</v>
      </c>
      <c r="E113" s="363"/>
      <c r="F113" s="361">
        <v>43069</v>
      </c>
      <c r="G113" s="361">
        <v>43077</v>
      </c>
      <c r="H113" s="361">
        <v>43111</v>
      </c>
      <c r="I113" s="361"/>
      <c r="J113" s="361"/>
      <c r="K113" s="361"/>
      <c r="L113" s="361"/>
      <c r="M113" s="381"/>
    </row>
    <row r="114" spans="1:13" s="289" customFormat="1" ht="12.75" customHeight="1">
      <c r="A114" s="405"/>
      <c r="B114" s="265" t="s">
        <v>160</v>
      </c>
      <c r="C114" s="357"/>
      <c r="D114" s="357"/>
      <c r="E114" s="363"/>
      <c r="F114" s="361"/>
      <c r="G114" s="361"/>
      <c r="H114" s="361"/>
      <c r="I114" s="361"/>
      <c r="J114" s="361"/>
      <c r="K114" s="361"/>
      <c r="L114" s="361"/>
      <c r="M114" s="381"/>
    </row>
    <row r="115" spans="1:13" s="289" customFormat="1" ht="25.5" customHeight="1">
      <c r="A115" s="400" t="s">
        <v>317</v>
      </c>
      <c r="B115" s="269" t="s">
        <v>318</v>
      </c>
      <c r="C115" s="357" t="s">
        <v>152</v>
      </c>
      <c r="D115" s="266" t="s">
        <v>153</v>
      </c>
      <c r="E115" s="270">
        <v>70000</v>
      </c>
      <c r="F115" s="271" t="s">
        <v>308</v>
      </c>
      <c r="G115" s="271" t="s">
        <v>221</v>
      </c>
      <c r="H115" s="271" t="s">
        <v>208</v>
      </c>
      <c r="I115" s="271" t="s">
        <v>964</v>
      </c>
      <c r="J115" s="271" t="s">
        <v>965</v>
      </c>
      <c r="K115" s="271" t="s">
        <v>179</v>
      </c>
      <c r="L115" s="271" t="s">
        <v>967</v>
      </c>
      <c r="M115" s="381" t="s">
        <v>319</v>
      </c>
    </row>
    <row r="116" spans="1:13" s="289" customFormat="1" ht="12.75">
      <c r="A116" s="401"/>
      <c r="B116" s="263" t="s">
        <v>942</v>
      </c>
      <c r="C116" s="357"/>
      <c r="D116" s="357" t="s">
        <v>159</v>
      </c>
      <c r="E116" s="363"/>
      <c r="F116" s="361">
        <v>43069</v>
      </c>
      <c r="G116" s="361">
        <v>43077</v>
      </c>
      <c r="H116" s="361">
        <v>43111</v>
      </c>
      <c r="I116" s="361"/>
      <c r="J116" s="361"/>
      <c r="K116" s="361"/>
      <c r="L116" s="361"/>
      <c r="M116" s="381"/>
    </row>
    <row r="117" spans="1:13" s="289" customFormat="1" ht="12.75" customHeight="1">
      <c r="A117" s="405"/>
      <c r="B117" s="265" t="s">
        <v>160</v>
      </c>
      <c r="C117" s="357"/>
      <c r="D117" s="357"/>
      <c r="E117" s="363"/>
      <c r="F117" s="361"/>
      <c r="G117" s="361"/>
      <c r="H117" s="361"/>
      <c r="I117" s="361"/>
      <c r="J117" s="361"/>
      <c r="K117" s="361"/>
      <c r="L117" s="361"/>
      <c r="M117" s="381"/>
    </row>
    <row r="118" spans="1:13" s="289" customFormat="1" ht="21.75" customHeight="1">
      <c r="A118" s="400" t="s">
        <v>320</v>
      </c>
      <c r="B118" s="269" t="s">
        <v>321</v>
      </c>
      <c r="C118" s="357" t="s">
        <v>152</v>
      </c>
      <c r="D118" s="266" t="s">
        <v>153</v>
      </c>
      <c r="E118" s="270">
        <v>70000</v>
      </c>
      <c r="F118" s="271" t="s">
        <v>292</v>
      </c>
      <c r="G118" s="271" t="s">
        <v>293</v>
      </c>
      <c r="H118" s="271" t="s">
        <v>181</v>
      </c>
      <c r="I118" s="271" t="s">
        <v>294</v>
      </c>
      <c r="J118" s="271" t="s">
        <v>295</v>
      </c>
      <c r="K118" s="271" t="s">
        <v>296</v>
      </c>
      <c r="L118" s="271" t="s">
        <v>968</v>
      </c>
      <c r="M118" s="381" t="s">
        <v>322</v>
      </c>
    </row>
    <row r="119" spans="1:13" s="289" customFormat="1" ht="12.75">
      <c r="A119" s="401"/>
      <c r="B119" s="263" t="s">
        <v>158</v>
      </c>
      <c r="C119" s="357"/>
      <c r="D119" s="357" t="s">
        <v>159</v>
      </c>
      <c r="E119" s="363"/>
      <c r="F119" s="343"/>
      <c r="G119" s="361"/>
      <c r="H119" s="361"/>
      <c r="I119" s="361"/>
      <c r="J119" s="361"/>
      <c r="K119" s="361"/>
      <c r="L119" s="361"/>
      <c r="M119" s="381"/>
    </row>
    <row r="120" spans="1:13" s="289" customFormat="1" ht="12.75" customHeight="1">
      <c r="A120" s="405"/>
      <c r="B120" s="265" t="s">
        <v>943</v>
      </c>
      <c r="C120" s="357"/>
      <c r="D120" s="357"/>
      <c r="E120" s="363"/>
      <c r="F120" s="343"/>
      <c r="G120" s="361"/>
      <c r="H120" s="361"/>
      <c r="I120" s="361"/>
      <c r="J120" s="361"/>
      <c r="K120" s="361"/>
      <c r="L120" s="361"/>
      <c r="M120" s="381"/>
    </row>
    <row r="121" spans="1:13" s="289" customFormat="1" ht="33" customHeight="1">
      <c r="A121" s="400" t="s">
        <v>323</v>
      </c>
      <c r="B121" s="269" t="s">
        <v>324</v>
      </c>
      <c r="C121" s="357" t="s">
        <v>152</v>
      </c>
      <c r="D121" s="266" t="s">
        <v>153</v>
      </c>
      <c r="E121" s="270">
        <v>70000</v>
      </c>
      <c r="F121" s="271" t="s">
        <v>292</v>
      </c>
      <c r="G121" s="271" t="s">
        <v>293</v>
      </c>
      <c r="H121" s="271" t="s">
        <v>181</v>
      </c>
      <c r="I121" s="271" t="s">
        <v>294</v>
      </c>
      <c r="J121" s="271" t="s">
        <v>295</v>
      </c>
      <c r="K121" s="271" t="s">
        <v>296</v>
      </c>
      <c r="L121" s="271" t="s">
        <v>968</v>
      </c>
      <c r="M121" s="381" t="s">
        <v>325</v>
      </c>
    </row>
    <row r="122" spans="1:13" s="289" customFormat="1" ht="12.75">
      <c r="A122" s="401"/>
      <c r="B122" s="263" t="s">
        <v>158</v>
      </c>
      <c r="C122" s="357"/>
      <c r="D122" s="357" t="s">
        <v>159</v>
      </c>
      <c r="E122" s="363"/>
      <c r="F122" s="361"/>
      <c r="G122" s="361"/>
      <c r="H122" s="361"/>
      <c r="I122" s="361"/>
      <c r="J122" s="361"/>
      <c r="K122" s="361"/>
      <c r="L122" s="361"/>
      <c r="M122" s="381"/>
    </row>
    <row r="123" spans="1:13" s="289" customFormat="1" ht="12.75" customHeight="1">
      <c r="A123" s="405"/>
      <c r="B123" s="265" t="s">
        <v>943</v>
      </c>
      <c r="C123" s="357"/>
      <c r="D123" s="357"/>
      <c r="E123" s="363"/>
      <c r="F123" s="361"/>
      <c r="G123" s="361"/>
      <c r="H123" s="361"/>
      <c r="I123" s="361"/>
      <c r="J123" s="361"/>
      <c r="K123" s="361"/>
      <c r="L123" s="361"/>
      <c r="M123" s="381"/>
    </row>
    <row r="124" spans="1:13" s="289" customFormat="1" ht="24.75" customHeight="1">
      <c r="A124" s="400" t="s">
        <v>326</v>
      </c>
      <c r="B124" s="269" t="s">
        <v>327</v>
      </c>
      <c r="C124" s="357" t="s">
        <v>152</v>
      </c>
      <c r="D124" s="266" t="s">
        <v>153</v>
      </c>
      <c r="E124" s="270">
        <v>70000</v>
      </c>
      <c r="F124" s="271" t="s">
        <v>328</v>
      </c>
      <c r="G124" s="271" t="s">
        <v>221</v>
      </c>
      <c r="H124" s="271" t="s">
        <v>208</v>
      </c>
      <c r="I124" s="271" t="s">
        <v>168</v>
      </c>
      <c r="J124" s="271" t="s">
        <v>222</v>
      </c>
      <c r="K124" s="271" t="s">
        <v>202</v>
      </c>
      <c r="L124" s="271" t="s">
        <v>329</v>
      </c>
      <c r="M124" s="381" t="s">
        <v>330</v>
      </c>
    </row>
    <row r="125" spans="1:13" s="289" customFormat="1" ht="12.75">
      <c r="A125" s="401"/>
      <c r="B125" s="263" t="s">
        <v>942</v>
      </c>
      <c r="C125" s="357"/>
      <c r="D125" s="357" t="s">
        <v>159</v>
      </c>
      <c r="E125" s="363"/>
      <c r="F125" s="361">
        <v>43069</v>
      </c>
      <c r="G125" s="361">
        <v>43077</v>
      </c>
      <c r="H125" s="361">
        <v>43111</v>
      </c>
      <c r="I125" s="361"/>
      <c r="J125" s="361"/>
      <c r="K125" s="361"/>
      <c r="L125" s="361"/>
      <c r="M125" s="381"/>
    </row>
    <row r="126" spans="1:13" s="289" customFormat="1" ht="12.75" customHeight="1">
      <c r="A126" s="405"/>
      <c r="B126" s="265" t="s">
        <v>160</v>
      </c>
      <c r="C126" s="357"/>
      <c r="D126" s="357"/>
      <c r="E126" s="363"/>
      <c r="F126" s="361"/>
      <c r="G126" s="361"/>
      <c r="H126" s="361"/>
      <c r="I126" s="361"/>
      <c r="J126" s="361"/>
      <c r="K126" s="361"/>
      <c r="L126" s="361"/>
      <c r="M126" s="381"/>
    </row>
    <row r="127" spans="1:13" s="289" customFormat="1" ht="23.25" customHeight="1">
      <c r="A127" s="400" t="s">
        <v>331</v>
      </c>
      <c r="B127" s="269" t="s">
        <v>332</v>
      </c>
      <c r="C127" s="357" t="s">
        <v>152</v>
      </c>
      <c r="D127" s="266" t="s">
        <v>153</v>
      </c>
      <c r="E127" s="270">
        <v>70000</v>
      </c>
      <c r="F127" s="271"/>
      <c r="G127" s="271" t="s">
        <v>293</v>
      </c>
      <c r="H127" s="271" t="s">
        <v>181</v>
      </c>
      <c r="I127" s="271" t="s">
        <v>294</v>
      </c>
      <c r="J127" s="271"/>
      <c r="K127" s="271" t="s">
        <v>296</v>
      </c>
      <c r="L127" s="271" t="s">
        <v>968</v>
      </c>
      <c r="M127" s="381" t="s">
        <v>333</v>
      </c>
    </row>
    <row r="128" spans="1:13" s="289" customFormat="1" ht="12.75">
      <c r="A128" s="401"/>
      <c r="B128" s="263" t="s">
        <v>158</v>
      </c>
      <c r="C128" s="357"/>
      <c r="D128" s="357" t="s">
        <v>159</v>
      </c>
      <c r="E128" s="363"/>
      <c r="F128" s="361"/>
      <c r="G128" s="361"/>
      <c r="H128" s="361"/>
      <c r="I128" s="361"/>
      <c r="J128" s="361"/>
      <c r="K128" s="361"/>
      <c r="L128" s="361"/>
      <c r="M128" s="381"/>
    </row>
    <row r="129" spans="1:13" s="289" customFormat="1" ht="12.75" customHeight="1">
      <c r="A129" s="405"/>
      <c r="B129" s="265" t="s">
        <v>943</v>
      </c>
      <c r="C129" s="357"/>
      <c r="D129" s="357"/>
      <c r="E129" s="363"/>
      <c r="F129" s="361"/>
      <c r="G129" s="361"/>
      <c r="H129" s="361"/>
      <c r="I129" s="361"/>
      <c r="J129" s="361"/>
      <c r="K129" s="361"/>
      <c r="L129" s="361"/>
      <c r="M129" s="381"/>
    </row>
    <row r="130" spans="1:13" s="289" customFormat="1" ht="26.25" customHeight="1">
      <c r="A130" s="400" t="s">
        <v>334</v>
      </c>
      <c r="B130" s="269" t="s">
        <v>335</v>
      </c>
      <c r="C130" s="357" t="s">
        <v>152</v>
      </c>
      <c r="D130" s="266" t="s">
        <v>153</v>
      </c>
      <c r="E130" s="270">
        <v>70000</v>
      </c>
      <c r="F130" s="271"/>
      <c r="G130" s="271" t="s">
        <v>293</v>
      </c>
      <c r="H130" s="271" t="s">
        <v>181</v>
      </c>
      <c r="I130" s="271" t="s">
        <v>294</v>
      </c>
      <c r="J130" s="271"/>
      <c r="K130" s="271" t="s">
        <v>296</v>
      </c>
      <c r="L130" s="271" t="s">
        <v>968</v>
      </c>
      <c r="M130" s="381" t="s">
        <v>336</v>
      </c>
    </row>
    <row r="131" spans="1:13" s="289" customFormat="1" ht="12.75">
      <c r="A131" s="401"/>
      <c r="B131" s="263" t="s">
        <v>158</v>
      </c>
      <c r="C131" s="357"/>
      <c r="D131" s="357" t="s">
        <v>159</v>
      </c>
      <c r="E131" s="363"/>
      <c r="F131" s="361"/>
      <c r="G131" s="361"/>
      <c r="H131" s="361"/>
      <c r="I131" s="361"/>
      <c r="J131" s="361"/>
      <c r="K131" s="361"/>
      <c r="L131" s="361"/>
      <c r="M131" s="381"/>
    </row>
    <row r="132" spans="1:13" s="289" customFormat="1" ht="12.75" customHeight="1">
      <c r="A132" s="405"/>
      <c r="B132" s="265" t="s">
        <v>943</v>
      </c>
      <c r="C132" s="357"/>
      <c r="D132" s="357"/>
      <c r="E132" s="363"/>
      <c r="F132" s="361"/>
      <c r="G132" s="361"/>
      <c r="H132" s="361"/>
      <c r="I132" s="361"/>
      <c r="J132" s="361"/>
      <c r="K132" s="361"/>
      <c r="L132" s="361"/>
      <c r="M132" s="381"/>
    </row>
    <row r="133" spans="1:13" s="289" customFormat="1" ht="23.25" customHeight="1">
      <c r="A133" s="400" t="s">
        <v>337</v>
      </c>
      <c r="B133" s="269" t="s">
        <v>338</v>
      </c>
      <c r="C133" s="357" t="s">
        <v>152</v>
      </c>
      <c r="D133" s="266" t="s">
        <v>153</v>
      </c>
      <c r="E133" s="270">
        <v>70000</v>
      </c>
      <c r="F133" s="271" t="s">
        <v>308</v>
      </c>
      <c r="G133" s="271" t="s">
        <v>221</v>
      </c>
      <c r="H133" s="271" t="s">
        <v>208</v>
      </c>
      <c r="I133" s="271" t="s">
        <v>168</v>
      </c>
      <c r="J133" s="271" t="s">
        <v>222</v>
      </c>
      <c r="K133" s="271" t="s">
        <v>202</v>
      </c>
      <c r="L133" s="271" t="s">
        <v>223</v>
      </c>
      <c r="M133" s="381" t="s">
        <v>339</v>
      </c>
    </row>
    <row r="134" spans="1:13" s="289" customFormat="1" ht="12.75">
      <c r="A134" s="401"/>
      <c r="B134" s="263" t="s">
        <v>942</v>
      </c>
      <c r="C134" s="357"/>
      <c r="D134" s="357" t="s">
        <v>159</v>
      </c>
      <c r="E134" s="363"/>
      <c r="F134" s="361">
        <v>43069</v>
      </c>
      <c r="G134" s="361">
        <v>43077</v>
      </c>
      <c r="H134" s="361">
        <v>43111</v>
      </c>
      <c r="I134" s="361"/>
      <c r="J134" s="361"/>
      <c r="K134" s="361"/>
      <c r="L134" s="361"/>
      <c r="M134" s="381"/>
    </row>
    <row r="135" spans="1:13" s="289" customFormat="1" ht="12.75" customHeight="1">
      <c r="A135" s="405"/>
      <c r="B135" s="265" t="s">
        <v>160</v>
      </c>
      <c r="C135" s="357"/>
      <c r="D135" s="357"/>
      <c r="E135" s="363"/>
      <c r="F135" s="361"/>
      <c r="G135" s="361"/>
      <c r="H135" s="361"/>
      <c r="I135" s="361"/>
      <c r="J135" s="361"/>
      <c r="K135" s="361"/>
      <c r="L135" s="361"/>
      <c r="M135" s="381"/>
    </row>
    <row r="136" spans="1:13" s="289" customFormat="1" ht="24.75" customHeight="1">
      <c r="A136" s="400" t="s">
        <v>340</v>
      </c>
      <c r="B136" s="269" t="s">
        <v>341</v>
      </c>
      <c r="C136" s="357" t="s">
        <v>152</v>
      </c>
      <c r="D136" s="266" t="s">
        <v>153</v>
      </c>
      <c r="E136" s="270">
        <v>70000</v>
      </c>
      <c r="F136" s="271" t="s">
        <v>308</v>
      </c>
      <c r="G136" s="271" t="s">
        <v>154</v>
      </c>
      <c r="H136" s="271" t="s">
        <v>946</v>
      </c>
      <c r="I136" s="271" t="s">
        <v>209</v>
      </c>
      <c r="J136" s="271" t="s">
        <v>951</v>
      </c>
      <c r="K136" s="271" t="s">
        <v>969</v>
      </c>
      <c r="L136" s="271" t="s">
        <v>970</v>
      </c>
      <c r="M136" s="381" t="s">
        <v>342</v>
      </c>
    </row>
    <row r="137" spans="1:13" s="289" customFormat="1" ht="12.75">
      <c r="A137" s="401"/>
      <c r="B137" s="263" t="s">
        <v>942</v>
      </c>
      <c r="C137" s="357"/>
      <c r="D137" s="357" t="s">
        <v>159</v>
      </c>
      <c r="E137" s="363"/>
      <c r="F137" s="361">
        <v>42936</v>
      </c>
      <c r="G137" s="361">
        <v>43084</v>
      </c>
      <c r="H137" s="361">
        <v>43117</v>
      </c>
      <c r="I137" s="361"/>
      <c r="J137" s="361"/>
      <c r="K137" s="361"/>
      <c r="L137" s="361"/>
      <c r="M137" s="381"/>
    </row>
    <row r="138" spans="1:13" s="289" customFormat="1" ht="12.75" customHeight="1">
      <c r="A138" s="405"/>
      <c r="B138" s="265" t="s">
        <v>160</v>
      </c>
      <c r="C138" s="357"/>
      <c r="D138" s="357"/>
      <c r="E138" s="363"/>
      <c r="F138" s="361"/>
      <c r="G138" s="361"/>
      <c r="H138" s="361"/>
      <c r="I138" s="361"/>
      <c r="J138" s="361"/>
      <c r="K138" s="361"/>
      <c r="L138" s="361"/>
      <c r="M138" s="381"/>
    </row>
    <row r="139" spans="1:13" s="289" customFormat="1" ht="33.75" customHeight="1">
      <c r="A139" s="400" t="s">
        <v>343</v>
      </c>
      <c r="B139" s="269" t="s">
        <v>344</v>
      </c>
      <c r="C139" s="357" t="s">
        <v>152</v>
      </c>
      <c r="D139" s="266" t="s">
        <v>153</v>
      </c>
      <c r="E139" s="270">
        <v>70000</v>
      </c>
      <c r="F139" s="271" t="s">
        <v>308</v>
      </c>
      <c r="G139" s="271" t="s">
        <v>221</v>
      </c>
      <c r="H139" s="271" t="s">
        <v>208</v>
      </c>
      <c r="I139" s="271" t="s">
        <v>168</v>
      </c>
      <c r="J139" s="271" t="s">
        <v>222</v>
      </c>
      <c r="K139" s="271" t="s">
        <v>202</v>
      </c>
      <c r="L139" s="271" t="s">
        <v>223</v>
      </c>
      <c r="M139" s="381" t="s">
        <v>345</v>
      </c>
    </row>
    <row r="140" spans="1:13" s="289" customFormat="1" ht="12.75">
      <c r="A140" s="401"/>
      <c r="B140" s="263" t="s">
        <v>158</v>
      </c>
      <c r="C140" s="357"/>
      <c r="D140" s="357" t="s">
        <v>159</v>
      </c>
      <c r="E140" s="363"/>
      <c r="F140" s="361">
        <v>43069</v>
      </c>
      <c r="G140" s="361">
        <v>43077</v>
      </c>
      <c r="H140" s="361">
        <v>43111</v>
      </c>
      <c r="I140" s="361"/>
      <c r="J140" s="361"/>
      <c r="K140" s="361"/>
      <c r="L140" s="361"/>
      <c r="M140" s="381"/>
    </row>
    <row r="141" spans="1:13" s="289" customFormat="1" ht="12.75">
      <c r="A141" s="405"/>
      <c r="B141" s="265" t="s">
        <v>943</v>
      </c>
      <c r="C141" s="357"/>
      <c r="D141" s="357"/>
      <c r="E141" s="363"/>
      <c r="F141" s="361"/>
      <c r="G141" s="361"/>
      <c r="H141" s="361"/>
      <c r="I141" s="361"/>
      <c r="J141" s="361"/>
      <c r="K141" s="361"/>
      <c r="L141" s="361"/>
      <c r="M141" s="381"/>
    </row>
    <row r="142" spans="1:13" s="289" customFormat="1" ht="23.25" customHeight="1">
      <c r="A142" s="400" t="s">
        <v>346</v>
      </c>
      <c r="B142" s="269" t="s">
        <v>347</v>
      </c>
      <c r="C142" s="357" t="s">
        <v>152</v>
      </c>
      <c r="D142" s="266" t="s">
        <v>153</v>
      </c>
      <c r="E142" s="270">
        <v>70000</v>
      </c>
      <c r="F142" s="271"/>
      <c r="G142" s="271" t="s">
        <v>293</v>
      </c>
      <c r="H142" s="271" t="s">
        <v>181</v>
      </c>
      <c r="I142" s="271" t="s">
        <v>294</v>
      </c>
      <c r="J142" s="271"/>
      <c r="K142" s="271" t="s">
        <v>296</v>
      </c>
      <c r="L142" s="271" t="s">
        <v>968</v>
      </c>
      <c r="M142" s="381" t="s">
        <v>348</v>
      </c>
    </row>
    <row r="143" spans="1:13" s="289" customFormat="1" ht="12.75" customHeight="1">
      <c r="A143" s="401"/>
      <c r="B143" s="263" t="s">
        <v>158</v>
      </c>
      <c r="C143" s="357"/>
      <c r="D143" s="357" t="s">
        <v>159</v>
      </c>
      <c r="E143" s="343"/>
      <c r="F143" s="361"/>
      <c r="G143" s="361"/>
      <c r="H143" s="361"/>
      <c r="I143" s="361"/>
      <c r="J143" s="361"/>
      <c r="K143" s="361"/>
      <c r="L143" s="361"/>
      <c r="M143" s="381"/>
    </row>
    <row r="144" spans="1:13" s="289" customFormat="1" ht="12.75">
      <c r="A144" s="404"/>
      <c r="B144" s="265" t="s">
        <v>943</v>
      </c>
      <c r="C144" s="357"/>
      <c r="D144" s="357"/>
      <c r="E144" s="343"/>
      <c r="F144" s="361"/>
      <c r="G144" s="361"/>
      <c r="H144" s="361"/>
      <c r="I144" s="361"/>
      <c r="J144" s="361"/>
      <c r="K144" s="361"/>
      <c r="L144" s="361"/>
      <c r="M144" s="381"/>
    </row>
    <row r="145" spans="1:13" s="289" customFormat="1" ht="18.75" customHeight="1">
      <c r="A145" s="268" t="s">
        <v>349</v>
      </c>
      <c r="B145" s="265"/>
      <c r="C145" s="266"/>
      <c r="D145" s="266"/>
      <c r="E145" s="275">
        <f>SUM(E106:E142)</f>
        <v>910000</v>
      </c>
      <c r="F145" s="258"/>
      <c r="G145" s="258"/>
      <c r="H145" s="258"/>
      <c r="I145" s="258"/>
      <c r="J145" s="258"/>
      <c r="K145" s="258"/>
      <c r="L145" s="258"/>
      <c r="M145" s="254"/>
    </row>
    <row r="146" spans="1:13" s="289" customFormat="1" ht="18.75" customHeight="1">
      <c r="A146" s="315"/>
      <c r="B146" s="315"/>
      <c r="C146" s="266"/>
      <c r="D146" s="266"/>
      <c r="E146" s="275"/>
      <c r="F146" s="258"/>
      <c r="G146" s="258"/>
      <c r="H146" s="258"/>
      <c r="I146" s="258"/>
      <c r="J146" s="258"/>
      <c r="K146" s="258"/>
      <c r="L146" s="258"/>
      <c r="M146" s="254"/>
    </row>
    <row r="147" spans="1:13" s="289" customFormat="1" ht="23.25" customHeight="1">
      <c r="A147" s="272" t="s">
        <v>350</v>
      </c>
      <c r="B147" s="269" t="s">
        <v>351</v>
      </c>
      <c r="C147" s="357" t="s">
        <v>152</v>
      </c>
      <c r="D147" s="266" t="s">
        <v>153</v>
      </c>
      <c r="E147" s="270">
        <v>7840714.69</v>
      </c>
      <c r="F147" s="271" t="s">
        <v>949</v>
      </c>
      <c r="G147" s="271" t="s">
        <v>996</v>
      </c>
      <c r="H147" s="271" t="s">
        <v>358</v>
      </c>
      <c r="I147" s="271" t="s">
        <v>997</v>
      </c>
      <c r="J147" s="271" t="s">
        <v>998</v>
      </c>
      <c r="K147" s="271" t="s">
        <v>999</v>
      </c>
      <c r="L147" s="271" t="s">
        <v>1000</v>
      </c>
      <c r="M147" s="381" t="s">
        <v>353</v>
      </c>
    </row>
    <row r="148" spans="1:13" s="289" customFormat="1" ht="12.75">
      <c r="A148" s="273" t="s">
        <v>354</v>
      </c>
      <c r="B148" s="263" t="s">
        <v>942</v>
      </c>
      <c r="C148" s="357"/>
      <c r="D148" s="357" t="s">
        <v>159</v>
      </c>
      <c r="E148" s="363"/>
      <c r="F148" s="361">
        <v>43137</v>
      </c>
      <c r="G148" s="361">
        <v>43138</v>
      </c>
      <c r="H148" s="361"/>
      <c r="I148" s="361"/>
      <c r="J148" s="361"/>
      <c r="K148" s="361"/>
      <c r="L148" s="361"/>
      <c r="M148" s="381"/>
    </row>
    <row r="149" spans="1:13" s="289" customFormat="1" ht="12.75" customHeight="1">
      <c r="A149" s="264"/>
      <c r="B149" s="265" t="s">
        <v>160</v>
      </c>
      <c r="C149" s="357"/>
      <c r="D149" s="357"/>
      <c r="E149" s="363"/>
      <c r="F149" s="361"/>
      <c r="G149" s="361"/>
      <c r="H149" s="361"/>
      <c r="I149" s="361"/>
      <c r="J149" s="361"/>
      <c r="K149" s="361"/>
      <c r="L149" s="361"/>
      <c r="M149" s="381"/>
    </row>
    <row r="150" spans="1:13" s="289" customFormat="1" ht="24.75" customHeight="1">
      <c r="A150" s="272" t="s">
        <v>355</v>
      </c>
      <c r="B150" s="269" t="s">
        <v>356</v>
      </c>
      <c r="C150" s="357" t="s">
        <v>152</v>
      </c>
      <c r="D150" s="266" t="s">
        <v>153</v>
      </c>
      <c r="E150" s="270">
        <v>10966047.31</v>
      </c>
      <c r="F150" s="271" t="s">
        <v>957</v>
      </c>
      <c r="G150" s="271" t="s">
        <v>1001</v>
      </c>
      <c r="H150" s="271" t="s">
        <v>181</v>
      </c>
      <c r="I150" s="271" t="s">
        <v>1002</v>
      </c>
      <c r="J150" s="271" t="s">
        <v>1003</v>
      </c>
      <c r="K150" s="271" t="s">
        <v>1004</v>
      </c>
      <c r="L150" s="271" t="s">
        <v>1005</v>
      </c>
      <c r="M150" s="381" t="s">
        <v>359</v>
      </c>
    </row>
    <row r="151" spans="1:13" s="289" customFormat="1" ht="12.75">
      <c r="A151" s="273" t="s">
        <v>354</v>
      </c>
      <c r="B151" s="263" t="s">
        <v>942</v>
      </c>
      <c r="C151" s="357"/>
      <c r="D151" s="357" t="s">
        <v>159</v>
      </c>
      <c r="E151" s="363"/>
      <c r="F151" s="361"/>
      <c r="G151" s="361"/>
      <c r="H151" s="361"/>
      <c r="I151" s="361"/>
      <c r="J151" s="361"/>
      <c r="K151" s="361"/>
      <c r="L151" s="361"/>
      <c r="M151" s="381"/>
    </row>
    <row r="152" spans="1:13" s="289" customFormat="1" ht="24.75" customHeight="1">
      <c r="A152" s="264"/>
      <c r="B152" s="265" t="s">
        <v>160</v>
      </c>
      <c r="C152" s="357"/>
      <c r="D152" s="357"/>
      <c r="E152" s="363"/>
      <c r="F152" s="361"/>
      <c r="G152" s="361"/>
      <c r="H152" s="361"/>
      <c r="I152" s="361"/>
      <c r="J152" s="361"/>
      <c r="K152" s="361"/>
      <c r="L152" s="361"/>
      <c r="M152" s="381"/>
    </row>
    <row r="153" spans="1:13" s="289" customFormat="1" ht="25.5" customHeight="1">
      <c r="A153" s="272" t="s">
        <v>360</v>
      </c>
      <c r="B153" s="269" t="s">
        <v>361</v>
      </c>
      <c r="C153" s="357" t="s">
        <v>152</v>
      </c>
      <c r="D153" s="266" t="s">
        <v>153</v>
      </c>
      <c r="E153" s="270">
        <v>4731429</v>
      </c>
      <c r="F153" s="271"/>
      <c r="G153" s="271" t="s">
        <v>983</v>
      </c>
      <c r="H153" s="271" t="s">
        <v>374</v>
      </c>
      <c r="I153" s="271" t="s">
        <v>989</v>
      </c>
      <c r="J153" s="271"/>
      <c r="K153" s="271" t="s">
        <v>991</v>
      </c>
      <c r="L153" s="271" t="s">
        <v>990</v>
      </c>
      <c r="M153" s="381" t="s">
        <v>362</v>
      </c>
    </row>
    <row r="154" spans="1:13" s="289" customFormat="1" ht="12.75">
      <c r="A154" s="273" t="s">
        <v>363</v>
      </c>
      <c r="B154" s="263" t="s">
        <v>158</v>
      </c>
      <c r="C154" s="357"/>
      <c r="D154" s="357" t="s">
        <v>159</v>
      </c>
      <c r="E154" s="363"/>
      <c r="F154" s="361"/>
      <c r="G154" s="361"/>
      <c r="H154" s="361"/>
      <c r="I154" s="361"/>
      <c r="J154" s="361"/>
      <c r="K154" s="361"/>
      <c r="L154" s="361"/>
      <c r="M154" s="381"/>
    </row>
    <row r="155" spans="1:13" s="289" customFormat="1" ht="12.75" customHeight="1">
      <c r="A155" s="264"/>
      <c r="B155" s="265" t="s">
        <v>943</v>
      </c>
      <c r="C155" s="357"/>
      <c r="D155" s="357"/>
      <c r="E155" s="363"/>
      <c r="F155" s="361"/>
      <c r="G155" s="361"/>
      <c r="H155" s="361"/>
      <c r="I155" s="361"/>
      <c r="J155" s="361"/>
      <c r="K155" s="361"/>
      <c r="L155" s="361"/>
      <c r="M155" s="381"/>
    </row>
    <row r="156" spans="1:13" s="289" customFormat="1" ht="25.5" customHeight="1">
      <c r="A156" s="272" t="s">
        <v>364</v>
      </c>
      <c r="B156" s="269" t="s">
        <v>365</v>
      </c>
      <c r="C156" s="357" t="s">
        <v>152</v>
      </c>
      <c r="D156" s="266" t="s">
        <v>153</v>
      </c>
      <c r="E156" s="270">
        <v>3695238</v>
      </c>
      <c r="F156" s="271"/>
      <c r="G156" s="271" t="s">
        <v>366</v>
      </c>
      <c r="H156" s="271" t="s">
        <v>992</v>
      </c>
      <c r="I156" s="271" t="s">
        <v>372</v>
      </c>
      <c r="J156" s="271"/>
      <c r="K156" s="271" t="s">
        <v>993</v>
      </c>
      <c r="L156" s="271" t="s">
        <v>994</v>
      </c>
      <c r="M156" s="381" t="s">
        <v>368</v>
      </c>
    </row>
    <row r="157" spans="1:13" s="289" customFormat="1" ht="12.75">
      <c r="A157" s="273" t="s">
        <v>157</v>
      </c>
      <c r="B157" s="263" t="s">
        <v>158</v>
      </c>
      <c r="C157" s="357"/>
      <c r="D157" s="357" t="s">
        <v>159</v>
      </c>
      <c r="E157" s="363"/>
      <c r="F157" s="361"/>
      <c r="G157" s="361"/>
      <c r="H157" s="361"/>
      <c r="I157" s="361"/>
      <c r="J157" s="361"/>
      <c r="K157" s="361"/>
      <c r="L157" s="361"/>
      <c r="M157" s="381"/>
    </row>
    <row r="158" spans="1:13" s="289" customFormat="1" ht="12.75">
      <c r="A158" s="264"/>
      <c r="B158" s="265" t="s">
        <v>943</v>
      </c>
      <c r="C158" s="357"/>
      <c r="D158" s="357"/>
      <c r="E158" s="363"/>
      <c r="F158" s="361"/>
      <c r="G158" s="361"/>
      <c r="H158" s="361"/>
      <c r="I158" s="361"/>
      <c r="J158" s="361"/>
      <c r="K158" s="361"/>
      <c r="L158" s="361"/>
      <c r="M158" s="381"/>
    </row>
    <row r="159" spans="1:13" s="289" customFormat="1" ht="12.75" customHeight="1">
      <c r="A159" s="398" t="s">
        <v>369</v>
      </c>
      <c r="B159" s="269" t="s">
        <v>370</v>
      </c>
      <c r="C159" s="357" t="s">
        <v>152</v>
      </c>
      <c r="D159" s="266" t="s">
        <v>153</v>
      </c>
      <c r="E159" s="270">
        <v>1304286</v>
      </c>
      <c r="F159" s="271"/>
      <c r="G159" s="271" t="s">
        <v>371</v>
      </c>
      <c r="H159" s="271" t="s">
        <v>372</v>
      </c>
      <c r="I159" s="271" t="s">
        <v>373</v>
      </c>
      <c r="J159" s="271" t="s">
        <v>374</v>
      </c>
      <c r="K159" s="271" t="s">
        <v>375</v>
      </c>
      <c r="L159" s="271" t="s">
        <v>995</v>
      </c>
      <c r="M159" s="381" t="s">
        <v>376</v>
      </c>
    </row>
    <row r="160" spans="1:13" s="289" customFormat="1" ht="15">
      <c r="A160" s="398"/>
      <c r="B160" s="325" t="s">
        <v>158</v>
      </c>
      <c r="C160" s="357"/>
      <c r="D160" s="357" t="s">
        <v>159</v>
      </c>
      <c r="E160" s="363"/>
      <c r="F160" s="361"/>
      <c r="G160" s="361"/>
      <c r="H160" s="361"/>
      <c r="I160" s="361"/>
      <c r="J160" s="361"/>
      <c r="K160" s="361"/>
      <c r="L160" s="361"/>
      <c r="M160" s="381"/>
    </row>
    <row r="161" spans="1:13" s="289" customFormat="1" ht="12.75">
      <c r="A161" s="398"/>
      <c r="B161" s="265" t="s">
        <v>943</v>
      </c>
      <c r="C161" s="357"/>
      <c r="D161" s="357"/>
      <c r="E161" s="363"/>
      <c r="F161" s="361"/>
      <c r="G161" s="361"/>
      <c r="H161" s="361"/>
      <c r="I161" s="361"/>
      <c r="J161" s="361"/>
      <c r="K161" s="361"/>
      <c r="L161" s="361"/>
      <c r="M161" s="381"/>
    </row>
    <row r="162" spans="1:13" s="289" customFormat="1" ht="12.75">
      <c r="A162" s="335" t="s">
        <v>377</v>
      </c>
      <c r="B162" s="335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</row>
    <row r="163" spans="1:13" s="289" customFormat="1" ht="30" customHeight="1">
      <c r="A163" s="400" t="s">
        <v>378</v>
      </c>
      <c r="B163" s="269" t="s">
        <v>379</v>
      </c>
      <c r="C163" s="348" t="s">
        <v>152</v>
      </c>
      <c r="D163" s="266" t="s">
        <v>153</v>
      </c>
      <c r="E163" s="270">
        <v>40000000</v>
      </c>
      <c r="F163" s="271" t="s">
        <v>380</v>
      </c>
      <c r="G163" s="271" t="s">
        <v>381</v>
      </c>
      <c r="H163" s="271" t="s">
        <v>382</v>
      </c>
      <c r="I163" s="271" t="s">
        <v>383</v>
      </c>
      <c r="J163" s="271" t="s">
        <v>166</v>
      </c>
      <c r="K163" s="271" t="s">
        <v>248</v>
      </c>
      <c r="L163" s="271" t="s">
        <v>384</v>
      </c>
      <c r="M163" s="403" t="s">
        <v>385</v>
      </c>
    </row>
    <row r="164" spans="1:13" s="289" customFormat="1" ht="12.75">
      <c r="A164" s="401"/>
      <c r="B164" s="263" t="s">
        <v>255</v>
      </c>
      <c r="C164" s="348"/>
      <c r="D164" s="348" t="s">
        <v>159</v>
      </c>
      <c r="E164" s="387">
        <v>36398823.97</v>
      </c>
      <c r="F164" s="397" t="s">
        <v>386</v>
      </c>
      <c r="G164" s="397">
        <v>42874</v>
      </c>
      <c r="H164" s="397">
        <v>42954</v>
      </c>
      <c r="I164" s="397">
        <v>42968</v>
      </c>
      <c r="J164" s="397">
        <v>42975</v>
      </c>
      <c r="K164" s="397">
        <v>42989</v>
      </c>
      <c r="L164" s="397">
        <v>43612</v>
      </c>
      <c r="M164" s="403"/>
    </row>
    <row r="165" spans="1:13" s="289" customFormat="1" ht="13.5" thickBot="1">
      <c r="A165" s="402"/>
      <c r="B165" s="276" t="s">
        <v>160</v>
      </c>
      <c r="C165" s="348"/>
      <c r="D165" s="348"/>
      <c r="E165" s="399"/>
      <c r="F165" s="397"/>
      <c r="G165" s="397"/>
      <c r="H165" s="397"/>
      <c r="I165" s="397"/>
      <c r="J165" s="397"/>
      <c r="K165" s="397"/>
      <c r="L165" s="397"/>
      <c r="M165" s="403"/>
    </row>
    <row r="166" spans="1:13" s="289" customFormat="1" ht="13.5" customHeight="1" thickBot="1">
      <c r="A166" s="326" t="s">
        <v>387</v>
      </c>
      <c r="B166" s="277"/>
      <c r="C166" s="261"/>
      <c r="D166" s="278"/>
      <c r="E166" s="279">
        <f>SUM(E42+E77+E104+E145+E147+E150+E153+E156+E159+E163)</f>
        <v>106272822.91</v>
      </c>
      <c r="F166" s="260"/>
      <c r="G166" s="260"/>
      <c r="H166" s="260"/>
      <c r="I166" s="260"/>
      <c r="J166" s="260"/>
      <c r="K166" s="260"/>
      <c r="L166" s="260"/>
      <c r="M166" s="262"/>
    </row>
    <row r="167" spans="1:13" s="289" customFormat="1" ht="16.5" thickBot="1">
      <c r="A167" s="280" t="s">
        <v>976</v>
      </c>
      <c r="B167" s="267"/>
      <c r="C167" s="267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</row>
    <row r="168" spans="1:13" s="289" customFormat="1" ht="26.25" customHeight="1" thickBot="1">
      <c r="A168" s="389" t="s">
        <v>134</v>
      </c>
      <c r="B168" s="383" t="s">
        <v>135</v>
      </c>
      <c r="C168" s="383" t="s">
        <v>136</v>
      </c>
      <c r="D168" s="383" t="s">
        <v>137</v>
      </c>
      <c r="E168" s="384" t="s">
        <v>944</v>
      </c>
      <c r="F168" s="384" t="s">
        <v>139</v>
      </c>
      <c r="G168" s="384" t="s">
        <v>140</v>
      </c>
      <c r="H168" s="384" t="s">
        <v>141</v>
      </c>
      <c r="I168" s="384" t="s">
        <v>142</v>
      </c>
      <c r="J168" s="384" t="s">
        <v>143</v>
      </c>
      <c r="K168" s="384" t="s">
        <v>144</v>
      </c>
      <c r="L168" s="384" t="s">
        <v>146</v>
      </c>
      <c r="M168" s="396"/>
    </row>
    <row r="169" spans="1:13" s="289" customFormat="1" ht="24" customHeight="1">
      <c r="A169" s="389"/>
      <c r="B169" s="383"/>
      <c r="C169" s="383"/>
      <c r="D169" s="383"/>
      <c r="E169" s="384"/>
      <c r="F169" s="384"/>
      <c r="G169" s="384"/>
      <c r="H169" s="384"/>
      <c r="I169" s="384"/>
      <c r="J169" s="384"/>
      <c r="K169" s="384"/>
      <c r="L169" s="384"/>
      <c r="M169" s="396"/>
    </row>
    <row r="170" spans="1:13" s="289" customFormat="1" ht="12.75" customHeight="1">
      <c r="A170" s="356" t="s">
        <v>89</v>
      </c>
      <c r="B170" s="282" t="s">
        <v>388</v>
      </c>
      <c r="C170" s="357" t="s">
        <v>152</v>
      </c>
      <c r="D170" s="266" t="s">
        <v>153</v>
      </c>
      <c r="E170" s="270">
        <v>593456</v>
      </c>
      <c r="F170" s="271" t="s">
        <v>181</v>
      </c>
      <c r="G170" s="271" t="s">
        <v>389</v>
      </c>
      <c r="H170" s="271" t="s">
        <v>390</v>
      </c>
      <c r="I170" s="271" t="s">
        <v>391</v>
      </c>
      <c r="J170" s="271" t="s">
        <v>367</v>
      </c>
      <c r="K170" s="271" t="s">
        <v>392</v>
      </c>
      <c r="L170" s="271" t="s">
        <v>393</v>
      </c>
      <c r="M170" s="381" t="s">
        <v>243</v>
      </c>
    </row>
    <row r="171" spans="1:13" s="289" customFormat="1" ht="12.75">
      <c r="A171" s="356"/>
      <c r="B171" s="263" t="s">
        <v>158</v>
      </c>
      <c r="C171" s="357"/>
      <c r="D171" s="357" t="s">
        <v>159</v>
      </c>
      <c r="E171" s="363"/>
      <c r="F171" s="343"/>
      <c r="G171" s="343"/>
      <c r="H171" s="343"/>
      <c r="I171" s="343"/>
      <c r="J171" s="343"/>
      <c r="K171" s="343"/>
      <c r="L171" s="343"/>
      <c r="M171" s="381"/>
    </row>
    <row r="172" spans="1:13" s="289" customFormat="1" ht="12.75" customHeight="1">
      <c r="A172" s="356"/>
      <c r="B172" s="265" t="s">
        <v>980</v>
      </c>
      <c r="C172" s="357"/>
      <c r="D172" s="357"/>
      <c r="E172" s="363"/>
      <c r="F172" s="343"/>
      <c r="G172" s="343"/>
      <c r="H172" s="343"/>
      <c r="I172" s="343"/>
      <c r="J172" s="343"/>
      <c r="K172" s="343"/>
      <c r="L172" s="343"/>
      <c r="M172" s="381"/>
    </row>
    <row r="173" spans="1:13" s="289" customFormat="1" ht="12.75" customHeight="1">
      <c r="A173" s="356" t="s">
        <v>394</v>
      </c>
      <c r="B173" s="282" t="s">
        <v>395</v>
      </c>
      <c r="C173" s="357" t="s">
        <v>152</v>
      </c>
      <c r="D173" s="266" t="s">
        <v>153</v>
      </c>
      <c r="E173" s="270">
        <v>987061</v>
      </c>
      <c r="F173" s="271" t="s">
        <v>396</v>
      </c>
      <c r="G173" s="271" t="s">
        <v>397</v>
      </c>
      <c r="H173" s="271" t="s">
        <v>398</v>
      </c>
      <c r="I173" s="271" t="s">
        <v>399</v>
      </c>
      <c r="J173" s="271" t="s">
        <v>400</v>
      </c>
      <c r="K173" s="271" t="s">
        <v>401</v>
      </c>
      <c r="L173" s="271" t="s">
        <v>402</v>
      </c>
      <c r="M173" s="381" t="s">
        <v>403</v>
      </c>
    </row>
    <row r="174" spans="1:13" s="289" customFormat="1" ht="12.75">
      <c r="A174" s="356"/>
      <c r="B174" s="263" t="s">
        <v>158</v>
      </c>
      <c r="C174" s="357"/>
      <c r="D174" s="357" t="s">
        <v>159</v>
      </c>
      <c r="E174" s="363"/>
      <c r="F174" s="344"/>
      <c r="G174" s="344"/>
      <c r="H174" s="344"/>
      <c r="I174" s="344"/>
      <c r="J174" s="344"/>
      <c r="K174" s="344"/>
      <c r="L174" s="344"/>
      <c r="M174" s="381"/>
    </row>
    <row r="175" spans="1:13" s="289" customFormat="1" ht="12.75" customHeight="1">
      <c r="A175" s="356"/>
      <c r="B175" s="265" t="s">
        <v>980</v>
      </c>
      <c r="C175" s="357"/>
      <c r="D175" s="357"/>
      <c r="E175" s="363"/>
      <c r="F175" s="344"/>
      <c r="G175" s="344"/>
      <c r="H175" s="344"/>
      <c r="I175" s="344"/>
      <c r="J175" s="344"/>
      <c r="K175" s="344"/>
      <c r="L175" s="344"/>
      <c r="M175" s="381"/>
    </row>
    <row r="176" spans="1:13" s="289" customFormat="1" ht="12.75" customHeight="1">
      <c r="A176" s="356" t="s">
        <v>117</v>
      </c>
      <c r="B176" s="282" t="s">
        <v>404</v>
      </c>
      <c r="C176" s="357" t="s">
        <v>152</v>
      </c>
      <c r="D176" s="266" t="s">
        <v>153</v>
      </c>
      <c r="E176" s="270">
        <v>4948164</v>
      </c>
      <c r="F176" s="271" t="s">
        <v>405</v>
      </c>
      <c r="G176" s="271" t="s">
        <v>406</v>
      </c>
      <c r="H176" s="271" t="s">
        <v>407</v>
      </c>
      <c r="I176" s="271" t="s">
        <v>408</v>
      </c>
      <c r="J176" s="271" t="s">
        <v>409</v>
      </c>
      <c r="K176" s="271" t="s">
        <v>410</v>
      </c>
      <c r="L176" s="271" t="s">
        <v>411</v>
      </c>
      <c r="M176" s="381" t="s">
        <v>412</v>
      </c>
    </row>
    <row r="177" spans="1:13" s="289" customFormat="1" ht="12.75">
      <c r="A177" s="356"/>
      <c r="B177" s="263" t="s">
        <v>158</v>
      </c>
      <c r="C177" s="357"/>
      <c r="D177" s="357" t="s">
        <v>159</v>
      </c>
      <c r="E177" s="363"/>
      <c r="F177" s="343"/>
      <c r="G177" s="343"/>
      <c r="H177" s="343"/>
      <c r="I177" s="343"/>
      <c r="J177" s="343"/>
      <c r="K177" s="343"/>
      <c r="L177" s="343"/>
      <c r="M177" s="381"/>
    </row>
    <row r="178" spans="1:13" s="289" customFormat="1" ht="12.75" customHeight="1">
      <c r="A178" s="356"/>
      <c r="B178" s="265" t="s">
        <v>943</v>
      </c>
      <c r="C178" s="357"/>
      <c r="D178" s="357"/>
      <c r="E178" s="363"/>
      <c r="F178" s="343"/>
      <c r="G178" s="343"/>
      <c r="H178" s="343"/>
      <c r="I178" s="343"/>
      <c r="J178" s="343"/>
      <c r="K178" s="343"/>
      <c r="L178" s="343"/>
      <c r="M178" s="381"/>
    </row>
    <row r="179" spans="1:13" s="289" customFormat="1" ht="12.75" customHeight="1">
      <c r="A179" s="356" t="s">
        <v>413</v>
      </c>
      <c r="B179" s="282" t="s">
        <v>414</v>
      </c>
      <c r="C179" s="357" t="s">
        <v>152</v>
      </c>
      <c r="D179" s="266" t="s">
        <v>153</v>
      </c>
      <c r="E179" s="270">
        <v>24897278</v>
      </c>
      <c r="F179" s="271" t="s">
        <v>415</v>
      </c>
      <c r="G179" s="271" t="s">
        <v>410</v>
      </c>
      <c r="H179" s="271" t="s">
        <v>416</v>
      </c>
      <c r="I179" s="271" t="s">
        <v>417</v>
      </c>
      <c r="J179" s="271" t="s">
        <v>418</v>
      </c>
      <c r="K179" s="271" t="s">
        <v>419</v>
      </c>
      <c r="L179" s="271" t="s">
        <v>420</v>
      </c>
      <c r="M179" s="381" t="s">
        <v>421</v>
      </c>
    </row>
    <row r="180" spans="1:13" s="289" customFormat="1" ht="12.75">
      <c r="A180" s="356"/>
      <c r="B180" s="263" t="s">
        <v>158</v>
      </c>
      <c r="C180" s="357"/>
      <c r="D180" s="357" t="s">
        <v>159</v>
      </c>
      <c r="E180" s="363"/>
      <c r="F180" s="343"/>
      <c r="G180" s="343"/>
      <c r="H180" s="343"/>
      <c r="I180" s="343"/>
      <c r="J180" s="343"/>
      <c r="K180" s="343"/>
      <c r="L180" s="343"/>
      <c r="M180" s="381"/>
    </row>
    <row r="181" spans="1:13" s="289" customFormat="1" ht="12.75" customHeight="1">
      <c r="A181" s="356"/>
      <c r="B181" s="265" t="s">
        <v>980</v>
      </c>
      <c r="C181" s="357"/>
      <c r="D181" s="357"/>
      <c r="E181" s="363"/>
      <c r="F181" s="343"/>
      <c r="G181" s="343"/>
      <c r="H181" s="343"/>
      <c r="I181" s="343"/>
      <c r="J181" s="343"/>
      <c r="K181" s="343"/>
      <c r="L181" s="343"/>
      <c r="M181" s="381"/>
    </row>
    <row r="182" spans="1:13" s="289" customFormat="1" ht="12.75" customHeight="1">
      <c r="A182" s="356" t="s">
        <v>422</v>
      </c>
      <c r="B182" s="282" t="s">
        <v>423</v>
      </c>
      <c r="C182" s="357" t="s">
        <v>152</v>
      </c>
      <c r="D182" s="266" t="s">
        <v>153</v>
      </c>
      <c r="E182" s="270">
        <v>1043569</v>
      </c>
      <c r="F182" s="271" t="s">
        <v>424</v>
      </c>
      <c r="G182" s="271" t="s">
        <v>425</v>
      </c>
      <c r="H182" s="271" t="s">
        <v>426</v>
      </c>
      <c r="I182" s="271" t="s">
        <v>427</v>
      </c>
      <c r="J182" s="271" t="s">
        <v>428</v>
      </c>
      <c r="K182" s="271" t="s">
        <v>429</v>
      </c>
      <c r="L182" s="271" t="s">
        <v>430</v>
      </c>
      <c r="M182" s="381" t="s">
        <v>431</v>
      </c>
    </row>
    <row r="183" spans="1:13" s="289" customFormat="1" ht="12.75">
      <c r="A183" s="356"/>
      <c r="B183" s="263" t="s">
        <v>158</v>
      </c>
      <c r="C183" s="357"/>
      <c r="D183" s="357" t="s">
        <v>159</v>
      </c>
      <c r="E183" s="363"/>
      <c r="F183" s="343"/>
      <c r="G183" s="343"/>
      <c r="H183" s="343"/>
      <c r="I183" s="343"/>
      <c r="J183" s="343"/>
      <c r="K183" s="343"/>
      <c r="L183" s="343"/>
      <c r="M183" s="381"/>
    </row>
    <row r="184" spans="1:13" s="289" customFormat="1" ht="12.75" customHeight="1">
      <c r="A184" s="356"/>
      <c r="B184" s="265" t="s">
        <v>980</v>
      </c>
      <c r="C184" s="357"/>
      <c r="D184" s="357"/>
      <c r="E184" s="363"/>
      <c r="F184" s="343"/>
      <c r="G184" s="343"/>
      <c r="H184" s="343"/>
      <c r="I184" s="343"/>
      <c r="J184" s="343"/>
      <c r="K184" s="343"/>
      <c r="L184" s="343"/>
      <c r="M184" s="381"/>
    </row>
    <row r="185" spans="1:13" s="289" customFormat="1" ht="12.75" customHeight="1">
      <c r="A185" s="356" t="s">
        <v>432</v>
      </c>
      <c r="B185" s="282" t="s">
        <v>433</v>
      </c>
      <c r="C185" s="357" t="s">
        <v>152</v>
      </c>
      <c r="D185" s="266" t="s">
        <v>153</v>
      </c>
      <c r="E185" s="270">
        <v>114237</v>
      </c>
      <c r="F185" s="271" t="s">
        <v>424</v>
      </c>
      <c r="G185" s="271" t="s">
        <v>425</v>
      </c>
      <c r="H185" s="271" t="s">
        <v>426</v>
      </c>
      <c r="I185" s="271" t="s">
        <v>427</v>
      </c>
      <c r="J185" s="271" t="s">
        <v>428</v>
      </c>
      <c r="K185" s="271" t="s">
        <v>429</v>
      </c>
      <c r="L185" s="271" t="s">
        <v>430</v>
      </c>
      <c r="M185" s="381" t="s">
        <v>434</v>
      </c>
    </row>
    <row r="186" spans="1:13" s="289" customFormat="1" ht="12.75">
      <c r="A186" s="356"/>
      <c r="B186" s="263" t="s">
        <v>158</v>
      </c>
      <c r="C186" s="357"/>
      <c r="D186" s="357" t="s">
        <v>159</v>
      </c>
      <c r="E186" s="363"/>
      <c r="F186" s="343"/>
      <c r="G186" s="343"/>
      <c r="H186" s="343"/>
      <c r="I186" s="343"/>
      <c r="J186" s="343"/>
      <c r="K186" s="343"/>
      <c r="L186" s="343"/>
      <c r="M186" s="381"/>
    </row>
    <row r="187" spans="1:13" s="289" customFormat="1" ht="12.75" customHeight="1">
      <c r="A187" s="356"/>
      <c r="B187" s="265" t="s">
        <v>980</v>
      </c>
      <c r="C187" s="357"/>
      <c r="D187" s="357"/>
      <c r="E187" s="363"/>
      <c r="F187" s="343"/>
      <c r="G187" s="343"/>
      <c r="H187" s="343"/>
      <c r="I187" s="343"/>
      <c r="J187" s="343"/>
      <c r="K187" s="343"/>
      <c r="L187" s="343"/>
      <c r="M187" s="381"/>
    </row>
    <row r="188" spans="1:13" s="289" customFormat="1" ht="12.75" customHeight="1">
      <c r="A188" s="356" t="s">
        <v>435</v>
      </c>
      <c r="B188" s="282" t="s">
        <v>436</v>
      </c>
      <c r="C188" s="357" t="s">
        <v>152</v>
      </c>
      <c r="D188" s="266" t="s">
        <v>153</v>
      </c>
      <c r="E188" s="270">
        <v>87323</v>
      </c>
      <c r="F188" s="271" t="s">
        <v>424</v>
      </c>
      <c r="G188" s="271" t="s">
        <v>425</v>
      </c>
      <c r="H188" s="271" t="s">
        <v>426</v>
      </c>
      <c r="I188" s="271" t="s">
        <v>427</v>
      </c>
      <c r="J188" s="271" t="s">
        <v>428</v>
      </c>
      <c r="K188" s="271" t="s">
        <v>429</v>
      </c>
      <c r="L188" s="271" t="s">
        <v>430</v>
      </c>
      <c r="M188" s="381" t="s">
        <v>437</v>
      </c>
    </row>
    <row r="189" spans="1:13" s="289" customFormat="1" ht="12.75">
      <c r="A189" s="356"/>
      <c r="B189" s="263" t="s">
        <v>158</v>
      </c>
      <c r="C189" s="357"/>
      <c r="D189" s="357" t="s">
        <v>159</v>
      </c>
      <c r="E189" s="363"/>
      <c r="F189" s="343"/>
      <c r="G189" s="343"/>
      <c r="H189" s="343"/>
      <c r="I189" s="343"/>
      <c r="J189" s="343"/>
      <c r="K189" s="343"/>
      <c r="L189" s="343"/>
      <c r="M189" s="381"/>
    </row>
    <row r="190" spans="1:13" s="289" customFormat="1" ht="12.75" customHeight="1">
      <c r="A190" s="356"/>
      <c r="B190" s="265" t="s">
        <v>980</v>
      </c>
      <c r="C190" s="357"/>
      <c r="D190" s="357"/>
      <c r="E190" s="363"/>
      <c r="F190" s="343"/>
      <c r="G190" s="343"/>
      <c r="H190" s="343"/>
      <c r="I190" s="343"/>
      <c r="J190" s="343"/>
      <c r="K190" s="343"/>
      <c r="L190" s="343"/>
      <c r="M190" s="381"/>
    </row>
    <row r="191" spans="1:13" s="289" customFormat="1" ht="25.5" customHeight="1">
      <c r="A191" s="281" t="s">
        <v>438</v>
      </c>
      <c r="B191" s="282" t="s">
        <v>439</v>
      </c>
      <c r="C191" s="357" t="s">
        <v>152</v>
      </c>
      <c r="D191" s="266" t="s">
        <v>153</v>
      </c>
      <c r="E191" s="270">
        <v>794392</v>
      </c>
      <c r="F191" s="271" t="s">
        <v>440</v>
      </c>
      <c r="G191" s="271" t="s">
        <v>441</v>
      </c>
      <c r="H191" s="271" t="s">
        <v>442</v>
      </c>
      <c r="I191" s="271" t="s">
        <v>443</v>
      </c>
      <c r="J191" s="266" t="s">
        <v>444</v>
      </c>
      <c r="K191" s="271" t="s">
        <v>445</v>
      </c>
      <c r="L191" s="271" t="s">
        <v>446</v>
      </c>
      <c r="M191" s="381" t="s">
        <v>447</v>
      </c>
    </row>
    <row r="192" spans="1:13" s="289" customFormat="1" ht="12.75">
      <c r="A192" s="283" t="s">
        <v>448</v>
      </c>
      <c r="B192" s="263" t="s">
        <v>255</v>
      </c>
      <c r="C192" s="357"/>
      <c r="D192" s="357" t="s">
        <v>159</v>
      </c>
      <c r="E192" s="363">
        <v>653464.72</v>
      </c>
      <c r="F192" s="344" t="s">
        <v>440</v>
      </c>
      <c r="G192" s="344" t="s">
        <v>441</v>
      </c>
      <c r="H192" s="344" t="s">
        <v>442</v>
      </c>
      <c r="I192" s="344" t="s">
        <v>443</v>
      </c>
      <c r="J192" s="357" t="s">
        <v>444</v>
      </c>
      <c r="K192" s="344" t="s">
        <v>445</v>
      </c>
      <c r="L192" s="343"/>
      <c r="M192" s="381"/>
    </row>
    <row r="193" spans="1:13" s="289" customFormat="1" ht="12.75" customHeight="1">
      <c r="A193" s="264"/>
      <c r="B193" s="265" t="s">
        <v>160</v>
      </c>
      <c r="C193" s="357"/>
      <c r="D193" s="357"/>
      <c r="E193" s="363"/>
      <c r="F193" s="344"/>
      <c r="G193" s="344"/>
      <c r="H193" s="344"/>
      <c r="I193" s="344"/>
      <c r="J193" s="357"/>
      <c r="K193" s="344"/>
      <c r="L193" s="343"/>
      <c r="M193" s="381"/>
    </row>
    <row r="194" spans="1:13" s="289" customFormat="1" ht="25.5" customHeight="1">
      <c r="A194" s="281" t="s">
        <v>449</v>
      </c>
      <c r="B194" s="282" t="s">
        <v>450</v>
      </c>
      <c r="C194" s="357" t="s">
        <v>152</v>
      </c>
      <c r="D194" s="266" t="s">
        <v>153</v>
      </c>
      <c r="E194" s="270">
        <v>807143</v>
      </c>
      <c r="F194" s="271" t="s">
        <v>440</v>
      </c>
      <c r="G194" s="271" t="s">
        <v>451</v>
      </c>
      <c r="H194" s="271" t="s">
        <v>452</v>
      </c>
      <c r="I194" s="271" t="s">
        <v>453</v>
      </c>
      <c r="J194" s="266" t="s">
        <v>444</v>
      </c>
      <c r="K194" s="271" t="s">
        <v>454</v>
      </c>
      <c r="L194" s="271" t="s">
        <v>455</v>
      </c>
      <c r="M194" s="381" t="s">
        <v>456</v>
      </c>
    </row>
    <row r="195" spans="1:13" s="289" customFormat="1" ht="12.75">
      <c r="A195" s="283" t="s">
        <v>448</v>
      </c>
      <c r="B195" s="263" t="s">
        <v>255</v>
      </c>
      <c r="C195" s="357"/>
      <c r="D195" s="357" t="s">
        <v>159</v>
      </c>
      <c r="E195" s="363">
        <v>406917.6</v>
      </c>
      <c r="F195" s="344" t="s">
        <v>440</v>
      </c>
      <c r="G195" s="344" t="s">
        <v>451</v>
      </c>
      <c r="H195" s="344" t="s">
        <v>452</v>
      </c>
      <c r="I195" s="344" t="s">
        <v>453</v>
      </c>
      <c r="J195" s="357" t="s">
        <v>444</v>
      </c>
      <c r="K195" s="344" t="s">
        <v>454</v>
      </c>
      <c r="L195" s="343"/>
      <c r="M195" s="381"/>
    </row>
    <row r="196" spans="1:13" s="289" customFormat="1" ht="12.75" customHeight="1">
      <c r="A196" s="284"/>
      <c r="B196" s="265" t="s">
        <v>160</v>
      </c>
      <c r="C196" s="357"/>
      <c r="D196" s="357"/>
      <c r="E196" s="363"/>
      <c r="F196" s="344"/>
      <c r="G196" s="344"/>
      <c r="H196" s="344"/>
      <c r="I196" s="344"/>
      <c r="J196" s="357"/>
      <c r="K196" s="344"/>
      <c r="L196" s="343"/>
      <c r="M196" s="381"/>
    </row>
    <row r="197" spans="1:13" s="289" customFormat="1" ht="29.25" customHeight="1">
      <c r="A197" s="281" t="s">
        <v>457</v>
      </c>
      <c r="B197" s="282" t="s">
        <v>458</v>
      </c>
      <c r="C197" s="357" t="s">
        <v>152</v>
      </c>
      <c r="D197" s="266" t="s">
        <v>153</v>
      </c>
      <c r="E197" s="270">
        <v>9010252</v>
      </c>
      <c r="F197" s="271" t="s">
        <v>459</v>
      </c>
      <c r="G197" s="271" t="s">
        <v>460</v>
      </c>
      <c r="H197" s="271" t="s">
        <v>461</v>
      </c>
      <c r="I197" s="271" t="s">
        <v>462</v>
      </c>
      <c r="J197" s="271" t="s">
        <v>463</v>
      </c>
      <c r="K197" s="271" t="s">
        <v>464</v>
      </c>
      <c r="L197" s="271" t="s">
        <v>465</v>
      </c>
      <c r="M197" s="381" t="s">
        <v>466</v>
      </c>
    </row>
    <row r="198" spans="1:13" s="289" customFormat="1" ht="27" customHeight="1">
      <c r="A198" s="283" t="s">
        <v>448</v>
      </c>
      <c r="B198" s="263" t="s">
        <v>158</v>
      </c>
      <c r="C198" s="357"/>
      <c r="D198" s="357" t="s">
        <v>159</v>
      </c>
      <c r="E198" s="363"/>
      <c r="F198" s="343"/>
      <c r="G198" s="343"/>
      <c r="H198" s="343"/>
      <c r="I198" s="343"/>
      <c r="J198" s="343"/>
      <c r="K198" s="343"/>
      <c r="L198" s="343"/>
      <c r="M198" s="381"/>
    </row>
    <row r="199" spans="1:13" s="289" customFormat="1" ht="26.25" customHeight="1">
      <c r="A199" s="284"/>
      <c r="B199" s="265" t="s">
        <v>980</v>
      </c>
      <c r="C199" s="357"/>
      <c r="D199" s="357"/>
      <c r="E199" s="363"/>
      <c r="F199" s="343"/>
      <c r="G199" s="343"/>
      <c r="H199" s="343"/>
      <c r="I199" s="343"/>
      <c r="J199" s="343"/>
      <c r="K199" s="343"/>
      <c r="L199" s="343"/>
      <c r="M199" s="381"/>
    </row>
    <row r="200" spans="1:13" s="289" customFormat="1" ht="29.25" customHeight="1">
      <c r="A200" s="281" t="s">
        <v>467</v>
      </c>
      <c r="B200" s="282" t="s">
        <v>468</v>
      </c>
      <c r="C200" s="357" t="s">
        <v>152</v>
      </c>
      <c r="D200" s="266" t="s">
        <v>153</v>
      </c>
      <c r="E200" s="270">
        <v>1785675.96</v>
      </c>
      <c r="F200" s="271" t="s">
        <v>469</v>
      </c>
      <c r="G200" s="271" t="s">
        <v>470</v>
      </c>
      <c r="H200" s="271" t="s">
        <v>471</v>
      </c>
      <c r="I200" s="271" t="s">
        <v>472</v>
      </c>
      <c r="J200" s="266" t="s">
        <v>444</v>
      </c>
      <c r="K200" s="271" t="s">
        <v>473</v>
      </c>
      <c r="L200" s="271" t="s">
        <v>474</v>
      </c>
      <c r="M200" s="381" t="s">
        <v>475</v>
      </c>
    </row>
    <row r="201" spans="1:13" s="289" customFormat="1" ht="12.75">
      <c r="A201" s="273" t="s">
        <v>448</v>
      </c>
      <c r="B201" s="263" t="s">
        <v>158</v>
      </c>
      <c r="C201" s="357"/>
      <c r="D201" s="357" t="s">
        <v>159</v>
      </c>
      <c r="E201" s="363"/>
      <c r="F201" s="343"/>
      <c r="G201" s="343"/>
      <c r="H201" s="343"/>
      <c r="I201" s="343"/>
      <c r="J201" s="343"/>
      <c r="K201" s="343"/>
      <c r="L201" s="343"/>
      <c r="M201" s="381"/>
    </row>
    <row r="202" spans="1:13" s="289" customFormat="1" ht="12.75">
      <c r="A202" s="284"/>
      <c r="B202" s="265" t="s">
        <v>980</v>
      </c>
      <c r="C202" s="357"/>
      <c r="D202" s="357"/>
      <c r="E202" s="363"/>
      <c r="F202" s="343"/>
      <c r="G202" s="343"/>
      <c r="H202" s="343"/>
      <c r="I202" s="343"/>
      <c r="J202" s="343"/>
      <c r="K202" s="343"/>
      <c r="L202" s="343"/>
      <c r="M202" s="381"/>
    </row>
    <row r="203" spans="1:13" s="289" customFormat="1" ht="25.5">
      <c r="A203" s="281" t="s">
        <v>476</v>
      </c>
      <c r="B203" s="282" t="s">
        <v>477</v>
      </c>
      <c r="C203" s="357" t="s">
        <v>152</v>
      </c>
      <c r="D203" s="266" t="s">
        <v>153</v>
      </c>
      <c r="E203" s="270">
        <v>965544</v>
      </c>
      <c r="F203" s="271" t="s">
        <v>478</v>
      </c>
      <c r="G203" s="271" t="s">
        <v>479</v>
      </c>
      <c r="H203" s="271" t="s">
        <v>480</v>
      </c>
      <c r="I203" s="271" t="s">
        <v>481</v>
      </c>
      <c r="J203" s="266" t="s">
        <v>444</v>
      </c>
      <c r="K203" s="271" t="s">
        <v>482</v>
      </c>
      <c r="L203" s="271" t="s">
        <v>483</v>
      </c>
      <c r="M203" s="381" t="s">
        <v>484</v>
      </c>
    </row>
    <row r="204" spans="1:13" s="289" customFormat="1" ht="12.75">
      <c r="A204" s="283" t="s">
        <v>448</v>
      </c>
      <c r="B204" s="263" t="s">
        <v>255</v>
      </c>
      <c r="C204" s="357"/>
      <c r="D204" s="357" t="s">
        <v>159</v>
      </c>
      <c r="E204" s="363">
        <v>728632.07</v>
      </c>
      <c r="F204" s="344" t="s">
        <v>478</v>
      </c>
      <c r="G204" s="344" t="s">
        <v>479</v>
      </c>
      <c r="H204" s="344" t="s">
        <v>480</v>
      </c>
      <c r="I204" s="344" t="s">
        <v>481</v>
      </c>
      <c r="J204" s="357" t="s">
        <v>444</v>
      </c>
      <c r="K204" s="344" t="s">
        <v>482</v>
      </c>
      <c r="L204" s="343"/>
      <c r="M204" s="381"/>
    </row>
    <row r="205" spans="1:13" s="289" customFormat="1" ht="12.75" customHeight="1">
      <c r="A205" s="284"/>
      <c r="B205" s="265" t="s">
        <v>160</v>
      </c>
      <c r="C205" s="357"/>
      <c r="D205" s="357"/>
      <c r="E205" s="363"/>
      <c r="F205" s="344"/>
      <c r="G205" s="344"/>
      <c r="H205" s="344"/>
      <c r="I205" s="344"/>
      <c r="J205" s="357"/>
      <c r="K205" s="344"/>
      <c r="L205" s="343"/>
      <c r="M205" s="381"/>
    </row>
    <row r="206" spans="1:13" s="289" customFormat="1" ht="38.25">
      <c r="A206" s="281" t="s">
        <v>485</v>
      </c>
      <c r="B206" s="282" t="s">
        <v>486</v>
      </c>
      <c r="C206" s="357" t="s">
        <v>152</v>
      </c>
      <c r="D206" s="266" t="s">
        <v>153</v>
      </c>
      <c r="E206" s="270">
        <v>1379112.86</v>
      </c>
      <c r="F206" s="266" t="s">
        <v>444</v>
      </c>
      <c r="G206" s="266" t="s">
        <v>444</v>
      </c>
      <c r="H206" s="266" t="s">
        <v>444</v>
      </c>
      <c r="I206" s="266" t="s">
        <v>444</v>
      </c>
      <c r="J206" s="266" t="s">
        <v>444</v>
      </c>
      <c r="K206" s="271" t="s">
        <v>487</v>
      </c>
      <c r="L206" s="271" t="s">
        <v>488</v>
      </c>
      <c r="M206" s="381" t="s">
        <v>489</v>
      </c>
    </row>
    <row r="207" spans="1:13" s="289" customFormat="1" ht="12.75">
      <c r="A207" s="283" t="s">
        <v>490</v>
      </c>
      <c r="B207" s="263" t="s">
        <v>491</v>
      </c>
      <c r="C207" s="357"/>
      <c r="D207" s="357" t="s">
        <v>159</v>
      </c>
      <c r="E207" s="363">
        <v>1379112.86</v>
      </c>
      <c r="F207" s="357" t="s">
        <v>444</v>
      </c>
      <c r="G207" s="357" t="s">
        <v>444</v>
      </c>
      <c r="H207" s="357" t="s">
        <v>444</v>
      </c>
      <c r="I207" s="357" t="s">
        <v>444</v>
      </c>
      <c r="J207" s="357" t="s">
        <v>444</v>
      </c>
      <c r="K207" s="367" t="s">
        <v>443</v>
      </c>
      <c r="L207" s="344" t="s">
        <v>488</v>
      </c>
      <c r="M207" s="381"/>
    </row>
    <row r="208" spans="1:13" s="289" customFormat="1" ht="12.75" customHeight="1">
      <c r="A208" s="284"/>
      <c r="B208" s="265" t="s">
        <v>160</v>
      </c>
      <c r="C208" s="357"/>
      <c r="D208" s="357"/>
      <c r="E208" s="363"/>
      <c r="F208" s="357"/>
      <c r="G208" s="357"/>
      <c r="H208" s="357"/>
      <c r="I208" s="357"/>
      <c r="J208" s="357"/>
      <c r="K208" s="367"/>
      <c r="L208" s="344"/>
      <c r="M208" s="381"/>
    </row>
    <row r="209" spans="1:13" s="289" customFormat="1" ht="25.5" customHeight="1">
      <c r="A209" s="281" t="s">
        <v>492</v>
      </c>
      <c r="B209" s="282" t="s">
        <v>493</v>
      </c>
      <c r="C209" s="357" t="s">
        <v>152</v>
      </c>
      <c r="D209" s="266" t="s">
        <v>153</v>
      </c>
      <c r="E209" s="270">
        <v>0</v>
      </c>
      <c r="F209" s="271"/>
      <c r="G209" s="271"/>
      <c r="H209" s="271"/>
      <c r="I209" s="271"/>
      <c r="J209" s="266"/>
      <c r="K209" s="271"/>
      <c r="L209" s="271"/>
      <c r="M209" s="381" t="s">
        <v>494</v>
      </c>
    </row>
    <row r="210" spans="1:13" s="289" customFormat="1" ht="17.25" customHeight="1">
      <c r="A210" s="283" t="s">
        <v>495</v>
      </c>
      <c r="B210" s="263" t="s">
        <v>491</v>
      </c>
      <c r="C210" s="357"/>
      <c r="D210" s="357" t="s">
        <v>159</v>
      </c>
      <c r="E210" s="343"/>
      <c r="F210" s="344"/>
      <c r="G210" s="376"/>
      <c r="H210" s="376"/>
      <c r="I210" s="376"/>
      <c r="J210" s="357"/>
      <c r="K210" s="344"/>
      <c r="L210" s="344"/>
      <c r="M210" s="381"/>
    </row>
    <row r="211" spans="1:13" s="289" customFormat="1" ht="12.75">
      <c r="A211" s="284"/>
      <c r="B211" s="265" t="s">
        <v>160</v>
      </c>
      <c r="C211" s="357"/>
      <c r="D211" s="357"/>
      <c r="E211" s="343"/>
      <c r="F211" s="344"/>
      <c r="G211" s="395"/>
      <c r="H211" s="395"/>
      <c r="I211" s="395"/>
      <c r="J211" s="357"/>
      <c r="K211" s="344"/>
      <c r="L211" s="344"/>
      <c r="M211" s="381"/>
    </row>
    <row r="212" spans="1:13" s="289" customFormat="1" ht="36" customHeight="1">
      <c r="A212" s="281" t="s">
        <v>485</v>
      </c>
      <c r="B212" s="282" t="s">
        <v>496</v>
      </c>
      <c r="C212" s="357" t="s">
        <v>152</v>
      </c>
      <c r="D212" s="266" t="s">
        <v>153</v>
      </c>
      <c r="E212" s="270">
        <v>1414898.14</v>
      </c>
      <c r="F212" s="271" t="s">
        <v>273</v>
      </c>
      <c r="G212" s="266" t="s">
        <v>444</v>
      </c>
      <c r="H212" s="266" t="s">
        <v>444</v>
      </c>
      <c r="I212" s="266" t="s">
        <v>444</v>
      </c>
      <c r="J212" s="266" t="s">
        <v>444</v>
      </c>
      <c r="K212" s="271" t="s">
        <v>497</v>
      </c>
      <c r="L212" s="271" t="s">
        <v>498</v>
      </c>
      <c r="M212" s="381" t="s">
        <v>499</v>
      </c>
    </row>
    <row r="213" spans="1:13" s="289" customFormat="1" ht="25.5">
      <c r="A213" s="283" t="s">
        <v>500</v>
      </c>
      <c r="B213" s="263" t="s">
        <v>255</v>
      </c>
      <c r="C213" s="357"/>
      <c r="D213" s="357" t="s">
        <v>159</v>
      </c>
      <c r="E213" s="363">
        <v>1338185.96</v>
      </c>
      <c r="F213" s="344" t="s">
        <v>273</v>
      </c>
      <c r="G213" s="357" t="s">
        <v>444</v>
      </c>
      <c r="H213" s="357" t="s">
        <v>444</v>
      </c>
      <c r="I213" s="357" t="s">
        <v>444</v>
      </c>
      <c r="J213" s="357" t="s">
        <v>444</v>
      </c>
      <c r="K213" s="367" t="s">
        <v>501</v>
      </c>
      <c r="L213" s="343"/>
      <c r="M213" s="381"/>
    </row>
    <row r="214" spans="1:13" s="289" customFormat="1" ht="12.75">
      <c r="A214" s="284"/>
      <c r="B214" s="265" t="s">
        <v>160</v>
      </c>
      <c r="C214" s="357"/>
      <c r="D214" s="357"/>
      <c r="E214" s="363"/>
      <c r="F214" s="344"/>
      <c r="G214" s="357"/>
      <c r="H214" s="357"/>
      <c r="I214" s="357"/>
      <c r="J214" s="357"/>
      <c r="K214" s="367"/>
      <c r="L214" s="343"/>
      <c r="M214" s="381"/>
    </row>
    <row r="215" spans="1:13" s="289" customFormat="1" ht="25.5" customHeight="1">
      <c r="A215" s="281" t="s">
        <v>492</v>
      </c>
      <c r="B215" s="282" t="s">
        <v>502</v>
      </c>
      <c r="C215" s="357" t="s">
        <v>152</v>
      </c>
      <c r="D215" s="266" t="s">
        <v>153</v>
      </c>
      <c r="E215" s="270">
        <v>134407</v>
      </c>
      <c r="F215" s="271" t="s">
        <v>503</v>
      </c>
      <c r="G215" s="271" t="s">
        <v>441</v>
      </c>
      <c r="H215" s="271" t="s">
        <v>504</v>
      </c>
      <c r="I215" s="271" t="s">
        <v>505</v>
      </c>
      <c r="J215" s="266" t="s">
        <v>444</v>
      </c>
      <c r="K215" s="271" t="s">
        <v>506</v>
      </c>
      <c r="L215" s="271" t="s">
        <v>507</v>
      </c>
      <c r="M215" s="394" t="s">
        <v>508</v>
      </c>
    </row>
    <row r="216" spans="1:13" s="289" customFormat="1" ht="12.75">
      <c r="A216" s="273" t="s">
        <v>509</v>
      </c>
      <c r="B216" s="263" t="s">
        <v>255</v>
      </c>
      <c r="C216" s="357"/>
      <c r="D216" s="357" t="s">
        <v>159</v>
      </c>
      <c r="E216" s="363"/>
      <c r="F216" s="344" t="s">
        <v>503</v>
      </c>
      <c r="G216" s="344" t="s">
        <v>441</v>
      </c>
      <c r="H216" s="344" t="s">
        <v>504</v>
      </c>
      <c r="I216" s="344" t="s">
        <v>505</v>
      </c>
      <c r="J216" s="357" t="s">
        <v>444</v>
      </c>
      <c r="K216" s="344" t="s">
        <v>506</v>
      </c>
      <c r="L216" s="343"/>
      <c r="M216" s="394"/>
    </row>
    <row r="217" spans="1:13" s="289" customFormat="1" ht="12.75">
      <c r="A217" s="284"/>
      <c r="B217" s="265" t="s">
        <v>160</v>
      </c>
      <c r="C217" s="357"/>
      <c r="D217" s="357"/>
      <c r="E217" s="363"/>
      <c r="F217" s="344"/>
      <c r="G217" s="344"/>
      <c r="H217" s="344"/>
      <c r="I217" s="344"/>
      <c r="J217" s="357"/>
      <c r="K217" s="344"/>
      <c r="L217" s="343"/>
      <c r="M217" s="394"/>
    </row>
    <row r="218" spans="1:13" s="289" customFormat="1" ht="25.5">
      <c r="A218" s="281" t="s">
        <v>510</v>
      </c>
      <c r="B218" s="282" t="s">
        <v>511</v>
      </c>
      <c r="C218" s="357" t="s">
        <v>152</v>
      </c>
      <c r="D218" s="266" t="s">
        <v>153</v>
      </c>
      <c r="E218" s="270">
        <v>158820</v>
      </c>
      <c r="F218" s="271" t="s">
        <v>512</v>
      </c>
      <c r="G218" s="271" t="s">
        <v>441</v>
      </c>
      <c r="H218" s="271" t="s">
        <v>504</v>
      </c>
      <c r="I218" s="271" t="s">
        <v>505</v>
      </c>
      <c r="J218" s="266" t="s">
        <v>444</v>
      </c>
      <c r="K218" s="271" t="s">
        <v>513</v>
      </c>
      <c r="L218" s="271" t="s">
        <v>514</v>
      </c>
      <c r="M218" s="285"/>
    </row>
    <row r="219" spans="1:13" s="289" customFormat="1" ht="12.75">
      <c r="A219" s="283" t="s">
        <v>515</v>
      </c>
      <c r="B219" s="263" t="s">
        <v>491</v>
      </c>
      <c r="C219" s="357"/>
      <c r="D219" s="357" t="s">
        <v>159</v>
      </c>
      <c r="E219" s="343"/>
      <c r="F219" s="344" t="s">
        <v>512</v>
      </c>
      <c r="G219" s="344" t="s">
        <v>441</v>
      </c>
      <c r="H219" s="344" t="s">
        <v>504</v>
      </c>
      <c r="I219" s="344" t="s">
        <v>505</v>
      </c>
      <c r="J219" s="357" t="s">
        <v>444</v>
      </c>
      <c r="K219" s="344" t="s">
        <v>513</v>
      </c>
      <c r="L219" s="367" t="s">
        <v>516</v>
      </c>
      <c r="M219" s="392"/>
    </row>
    <row r="220" spans="1:13" s="289" customFormat="1" ht="12.75">
      <c r="A220" s="284"/>
      <c r="B220" s="265" t="s">
        <v>160</v>
      </c>
      <c r="C220" s="357"/>
      <c r="D220" s="357"/>
      <c r="E220" s="343"/>
      <c r="F220" s="344"/>
      <c r="G220" s="344"/>
      <c r="H220" s="344"/>
      <c r="I220" s="344"/>
      <c r="J220" s="357"/>
      <c r="K220" s="344"/>
      <c r="L220" s="367"/>
      <c r="M220" s="392"/>
    </row>
    <row r="221" spans="1:13" s="289" customFormat="1" ht="37.5" customHeight="1">
      <c r="A221" s="281" t="s">
        <v>517</v>
      </c>
      <c r="B221" s="282"/>
      <c r="C221" s="357" t="s">
        <v>152</v>
      </c>
      <c r="D221" s="266" t="s">
        <v>153</v>
      </c>
      <c r="E221" s="270">
        <v>0</v>
      </c>
      <c r="F221" s="271"/>
      <c r="G221" s="271"/>
      <c r="H221" s="271"/>
      <c r="I221" s="271"/>
      <c r="J221" s="266"/>
      <c r="K221" s="271"/>
      <c r="L221" s="271"/>
      <c r="M221" s="285"/>
    </row>
    <row r="222" spans="1:13" s="289" customFormat="1" ht="12.75">
      <c r="A222" s="283" t="s">
        <v>448</v>
      </c>
      <c r="B222" s="263"/>
      <c r="C222" s="357"/>
      <c r="D222" s="357" t="s">
        <v>159</v>
      </c>
      <c r="E222" s="363"/>
      <c r="F222" s="367"/>
      <c r="G222" s="344"/>
      <c r="H222" s="344"/>
      <c r="I222" s="344"/>
      <c r="J222" s="357"/>
      <c r="K222" s="344"/>
      <c r="L222" s="344"/>
      <c r="M222" s="392"/>
    </row>
    <row r="223" spans="1:13" s="289" customFormat="1" ht="12.75">
      <c r="A223" s="284"/>
      <c r="B223" s="265"/>
      <c r="C223" s="357"/>
      <c r="D223" s="357"/>
      <c r="E223" s="363"/>
      <c r="F223" s="367"/>
      <c r="G223" s="344"/>
      <c r="H223" s="344"/>
      <c r="I223" s="344"/>
      <c r="J223" s="357"/>
      <c r="K223" s="344"/>
      <c r="L223" s="344"/>
      <c r="M223" s="392"/>
    </row>
    <row r="224" spans="1:13" s="289" customFormat="1" ht="25.5">
      <c r="A224" s="281" t="s">
        <v>492</v>
      </c>
      <c r="B224" s="282" t="s">
        <v>523</v>
      </c>
      <c r="C224" s="357" t="s">
        <v>152</v>
      </c>
      <c r="D224" s="266" t="s">
        <v>153</v>
      </c>
      <c r="E224" s="270">
        <v>89819.5</v>
      </c>
      <c r="F224" s="271" t="s">
        <v>524</v>
      </c>
      <c r="G224" s="266" t="s">
        <v>444</v>
      </c>
      <c r="H224" s="271" t="s">
        <v>524</v>
      </c>
      <c r="I224" s="271" t="s">
        <v>524</v>
      </c>
      <c r="J224" s="266" t="s">
        <v>444</v>
      </c>
      <c r="K224" s="271" t="s">
        <v>525</v>
      </c>
      <c r="L224" s="271" t="s">
        <v>526</v>
      </c>
      <c r="M224" s="285"/>
    </row>
    <row r="225" spans="1:13" s="289" customFormat="1" ht="25.5">
      <c r="A225" s="283" t="s">
        <v>527</v>
      </c>
      <c r="B225" s="263" t="s">
        <v>981</v>
      </c>
      <c r="C225" s="357"/>
      <c r="D225" s="357" t="s">
        <v>159</v>
      </c>
      <c r="E225" s="363"/>
      <c r="F225" s="344" t="s">
        <v>524</v>
      </c>
      <c r="G225" s="357" t="s">
        <v>444</v>
      </c>
      <c r="H225" s="344" t="s">
        <v>524</v>
      </c>
      <c r="I225" s="344" t="s">
        <v>524</v>
      </c>
      <c r="J225" s="357" t="s">
        <v>444</v>
      </c>
      <c r="K225" s="344" t="s">
        <v>522</v>
      </c>
      <c r="L225" s="343"/>
      <c r="M225" s="392"/>
    </row>
    <row r="226" spans="1:13" s="289" customFormat="1" ht="12.75">
      <c r="A226" s="284"/>
      <c r="B226" s="265" t="s">
        <v>160</v>
      </c>
      <c r="C226" s="357"/>
      <c r="D226" s="357"/>
      <c r="E226" s="363"/>
      <c r="F226" s="344"/>
      <c r="G226" s="357"/>
      <c r="H226" s="344"/>
      <c r="I226" s="344"/>
      <c r="J226" s="357"/>
      <c r="K226" s="344"/>
      <c r="L226" s="343"/>
      <c r="M226" s="392"/>
    </row>
    <row r="227" spans="1:13" s="289" customFormat="1" ht="38.25">
      <c r="A227" s="281" t="s">
        <v>528</v>
      </c>
      <c r="B227" s="282" t="s">
        <v>529</v>
      </c>
      <c r="C227" s="357" t="s">
        <v>152</v>
      </c>
      <c r="D227" s="266" t="s">
        <v>153</v>
      </c>
      <c r="E227" s="270">
        <v>52016.86</v>
      </c>
      <c r="F227" s="271" t="s">
        <v>524</v>
      </c>
      <c r="G227" s="266" t="s">
        <v>444</v>
      </c>
      <c r="H227" s="271" t="s">
        <v>524</v>
      </c>
      <c r="I227" s="271" t="s">
        <v>524</v>
      </c>
      <c r="J227" s="266" t="s">
        <v>444</v>
      </c>
      <c r="K227" s="271" t="s">
        <v>530</v>
      </c>
      <c r="L227" s="271" t="s">
        <v>531</v>
      </c>
      <c r="M227" s="285"/>
    </row>
    <row r="228" spans="1:13" s="289" customFormat="1" ht="12.75">
      <c r="A228" s="273" t="s">
        <v>448</v>
      </c>
      <c r="B228" s="263" t="s">
        <v>491</v>
      </c>
      <c r="C228" s="357"/>
      <c r="D228" s="357" t="s">
        <v>159</v>
      </c>
      <c r="E228" s="363"/>
      <c r="F228" s="344" t="s">
        <v>524</v>
      </c>
      <c r="G228" s="357" t="s">
        <v>444</v>
      </c>
      <c r="H228" s="344" t="s">
        <v>524</v>
      </c>
      <c r="I228" s="344" t="s">
        <v>524</v>
      </c>
      <c r="J228" s="357" t="s">
        <v>444</v>
      </c>
      <c r="K228" s="344" t="s">
        <v>530</v>
      </c>
      <c r="L228" s="344" t="s">
        <v>522</v>
      </c>
      <c r="M228" s="392"/>
    </row>
    <row r="229" spans="1:13" s="289" customFormat="1" ht="12.75">
      <c r="A229" s="284"/>
      <c r="B229" s="265" t="s">
        <v>160</v>
      </c>
      <c r="C229" s="357"/>
      <c r="D229" s="357"/>
      <c r="E229" s="363"/>
      <c r="F229" s="344"/>
      <c r="G229" s="357"/>
      <c r="H229" s="344"/>
      <c r="I229" s="344"/>
      <c r="J229" s="357"/>
      <c r="K229" s="344"/>
      <c r="L229" s="344"/>
      <c r="M229" s="392"/>
    </row>
    <row r="230" spans="1:13" s="289" customFormat="1" ht="38.25">
      <c r="A230" s="281" t="s">
        <v>532</v>
      </c>
      <c r="B230" s="282" t="s">
        <v>533</v>
      </c>
      <c r="C230" s="357" t="s">
        <v>152</v>
      </c>
      <c r="D230" s="266" t="s">
        <v>153</v>
      </c>
      <c r="E230" s="270">
        <v>12010.84</v>
      </c>
      <c r="F230" s="271" t="s">
        <v>534</v>
      </c>
      <c r="G230" s="271" t="s">
        <v>482</v>
      </c>
      <c r="H230" s="271" t="s">
        <v>535</v>
      </c>
      <c r="I230" s="271" t="s">
        <v>536</v>
      </c>
      <c r="J230" s="266" t="s">
        <v>444</v>
      </c>
      <c r="K230" s="271" t="s">
        <v>537</v>
      </c>
      <c r="L230" s="271" t="s">
        <v>524</v>
      </c>
      <c r="M230" s="285"/>
    </row>
    <row r="231" spans="1:13" s="289" customFormat="1" ht="12.75">
      <c r="A231" s="283" t="s">
        <v>448</v>
      </c>
      <c r="B231" s="263" t="s">
        <v>491</v>
      </c>
      <c r="C231" s="357"/>
      <c r="D231" s="357" t="s">
        <v>159</v>
      </c>
      <c r="E231" s="363"/>
      <c r="F231" s="344" t="s">
        <v>534</v>
      </c>
      <c r="G231" s="344" t="s">
        <v>482</v>
      </c>
      <c r="H231" s="344" t="s">
        <v>535</v>
      </c>
      <c r="I231" s="344" t="s">
        <v>536</v>
      </c>
      <c r="J231" s="357" t="s">
        <v>444</v>
      </c>
      <c r="K231" s="344" t="s">
        <v>537</v>
      </c>
      <c r="L231" s="344" t="s">
        <v>524</v>
      </c>
      <c r="M231" s="392"/>
    </row>
    <row r="232" spans="1:13" s="289" customFormat="1" ht="12.75" customHeight="1">
      <c r="A232" s="284"/>
      <c r="B232" s="265" t="s">
        <v>160</v>
      </c>
      <c r="C232" s="357"/>
      <c r="D232" s="357"/>
      <c r="E232" s="363"/>
      <c r="F232" s="344"/>
      <c r="G232" s="344"/>
      <c r="H232" s="344"/>
      <c r="I232" s="344"/>
      <c r="J232" s="357"/>
      <c r="K232" s="344"/>
      <c r="L232" s="344"/>
      <c r="M232" s="392"/>
    </row>
    <row r="233" spans="1:13" s="289" customFormat="1" ht="25.5">
      <c r="A233" s="281" t="s">
        <v>538</v>
      </c>
      <c r="B233" s="282" t="s">
        <v>539</v>
      </c>
      <c r="C233" s="357" t="s">
        <v>152</v>
      </c>
      <c r="D233" s="266" t="s">
        <v>153</v>
      </c>
      <c r="E233" s="270">
        <v>331125.83</v>
      </c>
      <c r="F233" s="271" t="s">
        <v>518</v>
      </c>
      <c r="G233" s="271" t="s">
        <v>519</v>
      </c>
      <c r="H233" s="271" t="s">
        <v>520</v>
      </c>
      <c r="I233" s="271" t="s">
        <v>521</v>
      </c>
      <c r="J233" s="266" t="s">
        <v>444</v>
      </c>
      <c r="K233" s="271" t="s">
        <v>540</v>
      </c>
      <c r="L233" s="271" t="s">
        <v>501</v>
      </c>
      <c r="M233" s="285"/>
    </row>
    <row r="234" spans="1:13" s="289" customFormat="1" ht="12.75">
      <c r="A234" s="283" t="s">
        <v>448</v>
      </c>
      <c r="B234" s="263" t="s">
        <v>491</v>
      </c>
      <c r="C234" s="357"/>
      <c r="D234" s="357" t="s">
        <v>159</v>
      </c>
      <c r="E234" s="393">
        <v>348652.93</v>
      </c>
      <c r="F234" s="344" t="s">
        <v>518</v>
      </c>
      <c r="G234" s="344" t="s">
        <v>519</v>
      </c>
      <c r="H234" s="344" t="s">
        <v>520</v>
      </c>
      <c r="I234" s="344" t="s">
        <v>521</v>
      </c>
      <c r="J234" s="357" t="s">
        <v>444</v>
      </c>
      <c r="K234" s="344" t="s">
        <v>522</v>
      </c>
      <c r="L234" s="343"/>
      <c r="M234" s="392"/>
    </row>
    <row r="235" spans="1:13" s="289" customFormat="1" ht="12.75" customHeight="1">
      <c r="A235" s="284"/>
      <c r="B235" s="265" t="s">
        <v>160</v>
      </c>
      <c r="C235" s="357"/>
      <c r="D235" s="357"/>
      <c r="E235" s="393"/>
      <c r="F235" s="344"/>
      <c r="G235" s="344"/>
      <c r="H235" s="344"/>
      <c r="I235" s="344"/>
      <c r="J235" s="357"/>
      <c r="K235" s="344"/>
      <c r="L235" s="343"/>
      <c r="M235" s="392"/>
    </row>
    <row r="236" spans="1:13" s="289" customFormat="1" ht="14.25" customHeight="1">
      <c r="A236" s="356" t="s">
        <v>541</v>
      </c>
      <c r="B236" s="282" t="s">
        <v>542</v>
      </c>
      <c r="C236" s="357" t="s">
        <v>152</v>
      </c>
      <c r="D236" s="266" t="s">
        <v>153</v>
      </c>
      <c r="E236" s="270">
        <v>5000000</v>
      </c>
      <c r="F236" s="271" t="s">
        <v>543</v>
      </c>
      <c r="G236" s="271" t="s">
        <v>544</v>
      </c>
      <c r="H236" s="271" t="s">
        <v>545</v>
      </c>
      <c r="I236" s="271" t="s">
        <v>546</v>
      </c>
      <c r="J236" s="271" t="s">
        <v>547</v>
      </c>
      <c r="K236" s="271" t="s">
        <v>548</v>
      </c>
      <c r="L236" s="271" t="s">
        <v>549</v>
      </c>
      <c r="M236" s="381" t="s">
        <v>550</v>
      </c>
    </row>
    <row r="237" spans="1:13" s="289" customFormat="1" ht="12.75">
      <c r="A237" s="356"/>
      <c r="B237" s="263" t="s">
        <v>158</v>
      </c>
      <c r="C237" s="357"/>
      <c r="D237" s="357" t="s">
        <v>159</v>
      </c>
      <c r="E237" s="363"/>
      <c r="F237" s="343"/>
      <c r="G237" s="343"/>
      <c r="H237" s="343"/>
      <c r="I237" s="343"/>
      <c r="J237" s="343"/>
      <c r="K237" s="343"/>
      <c r="L237" s="343"/>
      <c r="M237" s="381"/>
    </row>
    <row r="238" spans="1:13" s="289" customFormat="1" ht="57" customHeight="1">
      <c r="A238" s="356"/>
      <c r="B238" s="265" t="s">
        <v>980</v>
      </c>
      <c r="C238" s="357"/>
      <c r="D238" s="357"/>
      <c r="E238" s="363"/>
      <c r="F238" s="343"/>
      <c r="G238" s="343"/>
      <c r="H238" s="343"/>
      <c r="I238" s="343"/>
      <c r="J238" s="343"/>
      <c r="K238" s="343"/>
      <c r="L238" s="343"/>
      <c r="M238" s="381"/>
    </row>
    <row r="239" spans="1:13" s="289" customFormat="1" ht="14.25" customHeight="1">
      <c r="A239" s="356" t="s">
        <v>551</v>
      </c>
      <c r="B239" s="282" t="s">
        <v>552</v>
      </c>
      <c r="C239" s="357" t="s">
        <v>152</v>
      </c>
      <c r="D239" s="266" t="s">
        <v>153</v>
      </c>
      <c r="E239" s="270">
        <v>5000000</v>
      </c>
      <c r="F239" s="271" t="s">
        <v>553</v>
      </c>
      <c r="G239" s="271" t="s">
        <v>554</v>
      </c>
      <c r="H239" s="271" t="s">
        <v>555</v>
      </c>
      <c r="I239" s="271" t="s">
        <v>556</v>
      </c>
      <c r="J239" s="271" t="s">
        <v>557</v>
      </c>
      <c r="K239" s="271" t="s">
        <v>558</v>
      </c>
      <c r="L239" s="271" t="s">
        <v>559</v>
      </c>
      <c r="M239" s="381" t="s">
        <v>560</v>
      </c>
    </row>
    <row r="240" spans="1:13" s="289" customFormat="1" ht="12.75">
      <c r="A240" s="356"/>
      <c r="B240" s="263" t="s">
        <v>255</v>
      </c>
      <c r="C240" s="357"/>
      <c r="D240" s="357" t="s">
        <v>159</v>
      </c>
      <c r="E240" s="363">
        <v>5189610.56</v>
      </c>
      <c r="F240" s="344" t="s">
        <v>561</v>
      </c>
      <c r="G240" s="344" t="s">
        <v>562</v>
      </c>
      <c r="H240" s="390">
        <v>42886</v>
      </c>
      <c r="I240" s="390">
        <v>42886</v>
      </c>
      <c r="J240" s="391" t="s">
        <v>444</v>
      </c>
      <c r="K240" s="390">
        <v>42893</v>
      </c>
      <c r="L240" s="390">
        <v>43251</v>
      </c>
      <c r="M240" s="381"/>
    </row>
    <row r="241" spans="1:13" s="289" customFormat="1" ht="12.75">
      <c r="A241" s="356"/>
      <c r="B241" s="265" t="s">
        <v>160</v>
      </c>
      <c r="C241" s="357"/>
      <c r="D241" s="357"/>
      <c r="E241" s="363"/>
      <c r="F241" s="344"/>
      <c r="G241" s="344"/>
      <c r="H241" s="390"/>
      <c r="I241" s="390"/>
      <c r="J241" s="391"/>
      <c r="K241" s="390"/>
      <c r="L241" s="390"/>
      <c r="M241" s="381"/>
    </row>
    <row r="242" spans="1:13" s="289" customFormat="1" ht="14.25" customHeight="1">
      <c r="A242" s="346" t="s">
        <v>563</v>
      </c>
      <c r="B242" s="282" t="s">
        <v>564</v>
      </c>
      <c r="C242" s="348" t="s">
        <v>152</v>
      </c>
      <c r="D242" s="266" t="s">
        <v>153</v>
      </c>
      <c r="E242" s="270">
        <v>1988611</v>
      </c>
      <c r="F242" s="271" t="s">
        <v>543</v>
      </c>
      <c r="G242" s="271" t="s">
        <v>544</v>
      </c>
      <c r="H242" s="271" t="s">
        <v>545</v>
      </c>
      <c r="I242" s="271" t="s">
        <v>546</v>
      </c>
      <c r="J242" s="271" t="s">
        <v>547</v>
      </c>
      <c r="K242" s="271" t="s">
        <v>548</v>
      </c>
      <c r="L242" s="271" t="s">
        <v>549</v>
      </c>
      <c r="M242" s="380" t="s">
        <v>565</v>
      </c>
    </row>
    <row r="243" spans="1:13" s="289" customFormat="1" ht="12.75">
      <c r="A243" s="346"/>
      <c r="B243" s="263" t="s">
        <v>158</v>
      </c>
      <c r="C243" s="348"/>
      <c r="D243" s="348" t="s">
        <v>159</v>
      </c>
      <c r="E243" s="342"/>
      <c r="F243" s="342"/>
      <c r="G243" s="342"/>
      <c r="H243" s="342"/>
      <c r="I243" s="342"/>
      <c r="J243" s="342"/>
      <c r="K243" s="342"/>
      <c r="L243" s="342"/>
      <c r="M243" s="380"/>
    </row>
    <row r="244" spans="1:13" s="289" customFormat="1" ht="22.5" customHeight="1" thickBot="1">
      <c r="A244" s="346"/>
      <c r="B244" s="265" t="s">
        <v>980</v>
      </c>
      <c r="C244" s="348"/>
      <c r="D244" s="348"/>
      <c r="E244" s="342"/>
      <c r="F244" s="342"/>
      <c r="G244" s="342"/>
      <c r="H244" s="342"/>
      <c r="I244" s="342"/>
      <c r="J244" s="342"/>
      <c r="K244" s="342"/>
      <c r="L244" s="342"/>
      <c r="M244" s="380"/>
    </row>
    <row r="245" spans="1:13" s="289" customFormat="1" ht="13.5" customHeight="1" thickBot="1">
      <c r="A245" s="286" t="s">
        <v>566</v>
      </c>
      <c r="B245" s="278"/>
      <c r="C245" s="261"/>
      <c r="D245" s="278"/>
      <c r="E245" s="279">
        <f>SUM(E170+E173+E176+E179+E182+E185+E188+E191+E194+E197+E200+E203+E206+E209+E212+E215+E218+E221+E224+E227+E230+E233+E236+E239+E242)</f>
        <v>61594916.99</v>
      </c>
      <c r="F245" s="287"/>
      <c r="G245" s="287"/>
      <c r="H245" s="287"/>
      <c r="I245" s="287"/>
      <c r="J245" s="287"/>
      <c r="K245" s="287"/>
      <c r="L245" s="287"/>
      <c r="M245" s="321"/>
    </row>
    <row r="246" s="289" customFormat="1" ht="16.5" thickBot="1">
      <c r="A246" s="288" t="s">
        <v>975</v>
      </c>
    </row>
    <row r="247" spans="1:13" s="289" customFormat="1" ht="26.25" customHeight="1" thickBot="1">
      <c r="A247" s="389" t="s">
        <v>134</v>
      </c>
      <c r="B247" s="383" t="s">
        <v>135</v>
      </c>
      <c r="C247" s="383" t="s">
        <v>136</v>
      </c>
      <c r="D247" s="383" t="s">
        <v>137</v>
      </c>
      <c r="E247" s="383" t="s">
        <v>138</v>
      </c>
      <c r="F247" s="383" t="s">
        <v>139</v>
      </c>
      <c r="G247" s="383" t="s">
        <v>140</v>
      </c>
      <c r="H247" s="383" t="s">
        <v>141</v>
      </c>
      <c r="I247" s="384" t="s">
        <v>142</v>
      </c>
      <c r="J247" s="384" t="s">
        <v>143</v>
      </c>
      <c r="K247" s="384" t="s">
        <v>144</v>
      </c>
      <c r="L247" s="384" t="s">
        <v>146</v>
      </c>
      <c r="M247" s="385" t="s">
        <v>148</v>
      </c>
    </row>
    <row r="248" spans="1:13" s="289" customFormat="1" ht="16.5" customHeight="1">
      <c r="A248" s="389"/>
      <c r="B248" s="383"/>
      <c r="C248" s="383"/>
      <c r="D248" s="383"/>
      <c r="E248" s="383"/>
      <c r="F248" s="383"/>
      <c r="G248" s="383"/>
      <c r="H248" s="383"/>
      <c r="I248" s="384"/>
      <c r="J248" s="384"/>
      <c r="K248" s="384"/>
      <c r="L248" s="384"/>
      <c r="M248" s="385"/>
    </row>
    <row r="249" spans="1:14" s="289" customFormat="1" ht="14.25" customHeight="1" thickBot="1">
      <c r="A249" s="356" t="s">
        <v>567</v>
      </c>
      <c r="B249" s="282" t="s">
        <v>568</v>
      </c>
      <c r="C249" s="357" t="s">
        <v>152</v>
      </c>
      <c r="D249" s="266" t="s">
        <v>153</v>
      </c>
      <c r="E249" s="270">
        <v>3776809.44</v>
      </c>
      <c r="F249" s="271" t="s">
        <v>543</v>
      </c>
      <c r="G249" s="271" t="s">
        <v>544</v>
      </c>
      <c r="H249" s="271" t="s">
        <v>545</v>
      </c>
      <c r="I249" s="271" t="s">
        <v>546</v>
      </c>
      <c r="J249" s="271" t="s">
        <v>547</v>
      </c>
      <c r="K249" s="271" t="s">
        <v>548</v>
      </c>
      <c r="L249" s="271" t="s">
        <v>549</v>
      </c>
      <c r="M249" s="386" t="s">
        <v>569</v>
      </c>
      <c r="N249" s="297"/>
    </row>
    <row r="250" spans="1:14" s="289" customFormat="1" ht="13.5" thickBot="1">
      <c r="A250" s="356"/>
      <c r="B250" s="263" t="s">
        <v>158</v>
      </c>
      <c r="C250" s="357"/>
      <c r="D250" s="357" t="s">
        <v>159</v>
      </c>
      <c r="E250" s="387" t="s">
        <v>988</v>
      </c>
      <c r="F250" s="363"/>
      <c r="G250" s="343"/>
      <c r="H250" s="343"/>
      <c r="I250" s="343"/>
      <c r="J250" s="343"/>
      <c r="K250" s="343"/>
      <c r="L250" s="343"/>
      <c r="M250" s="386"/>
      <c r="N250" s="297"/>
    </row>
    <row r="251" spans="1:14" s="289" customFormat="1" ht="48.75" customHeight="1" thickBot="1">
      <c r="A251" s="356"/>
      <c r="B251" s="265" t="s">
        <v>980</v>
      </c>
      <c r="C251" s="357"/>
      <c r="D251" s="357"/>
      <c r="E251" s="388"/>
      <c r="F251" s="343"/>
      <c r="G251" s="343"/>
      <c r="H251" s="343"/>
      <c r="I251" s="343"/>
      <c r="J251" s="343"/>
      <c r="K251" s="343"/>
      <c r="L251" s="343"/>
      <c r="M251" s="386"/>
      <c r="N251" s="297"/>
    </row>
    <row r="252" spans="1:14" s="289" customFormat="1" ht="14.25" customHeight="1" thickBot="1">
      <c r="A252" s="356" t="s">
        <v>570</v>
      </c>
      <c r="B252" s="282" t="s">
        <v>571</v>
      </c>
      <c r="C252" s="357" t="s">
        <v>152</v>
      </c>
      <c r="D252" s="266" t="s">
        <v>153</v>
      </c>
      <c r="E252" s="270">
        <v>4661134.46</v>
      </c>
      <c r="F252" s="271"/>
      <c r="G252" s="271" t="s">
        <v>544</v>
      </c>
      <c r="H252" s="271" t="s">
        <v>545</v>
      </c>
      <c r="I252" s="271" t="s">
        <v>546</v>
      </c>
      <c r="J252" s="271" t="s">
        <v>547</v>
      </c>
      <c r="K252" s="271" t="s">
        <v>548</v>
      </c>
      <c r="L252" s="271" t="s">
        <v>549</v>
      </c>
      <c r="M252" s="382" t="s">
        <v>572</v>
      </c>
      <c r="N252" s="297"/>
    </row>
    <row r="253" spans="1:14" s="289" customFormat="1" ht="13.5" thickBot="1">
      <c r="A253" s="356"/>
      <c r="B253" s="263" t="s">
        <v>158</v>
      </c>
      <c r="C253" s="357"/>
      <c r="D253" s="357" t="s">
        <v>159</v>
      </c>
      <c r="E253" s="343"/>
      <c r="F253" s="343"/>
      <c r="G253" s="343"/>
      <c r="H253" s="343"/>
      <c r="I253" s="343"/>
      <c r="J253" s="343"/>
      <c r="K253" s="343"/>
      <c r="L253" s="343"/>
      <c r="M253" s="382"/>
      <c r="N253" s="297"/>
    </row>
    <row r="254" spans="1:14" s="289" customFormat="1" ht="48" customHeight="1">
      <c r="A254" s="356"/>
      <c r="B254" s="265" t="s">
        <v>943</v>
      </c>
      <c r="C254" s="357"/>
      <c r="D254" s="357"/>
      <c r="E254" s="343"/>
      <c r="F254" s="343"/>
      <c r="G254" s="343"/>
      <c r="H254" s="343"/>
      <c r="I254" s="343"/>
      <c r="J254" s="343"/>
      <c r="K254" s="343"/>
      <c r="L254" s="343"/>
      <c r="M254" s="382"/>
      <c r="N254" s="297"/>
    </row>
    <row r="255" spans="1:14" s="289" customFormat="1" ht="14.25" customHeight="1">
      <c r="A255" s="356" t="s">
        <v>573</v>
      </c>
      <c r="B255" s="282" t="s">
        <v>574</v>
      </c>
      <c r="C255" s="357" t="s">
        <v>152</v>
      </c>
      <c r="D255" s="266" t="s">
        <v>153</v>
      </c>
      <c r="E255" s="270">
        <v>1867915.08</v>
      </c>
      <c r="F255" s="271"/>
      <c r="G255" s="271" t="s">
        <v>544</v>
      </c>
      <c r="H255" s="271" t="s">
        <v>545</v>
      </c>
      <c r="I255" s="271" t="s">
        <v>546</v>
      </c>
      <c r="J255" s="271" t="s">
        <v>547</v>
      </c>
      <c r="K255" s="271" t="s">
        <v>548</v>
      </c>
      <c r="L255" s="271" t="s">
        <v>549</v>
      </c>
      <c r="M255" s="381" t="s">
        <v>575</v>
      </c>
      <c r="N255" s="297"/>
    </row>
    <row r="256" spans="1:14" s="289" customFormat="1" ht="12.75">
      <c r="A256" s="356"/>
      <c r="B256" s="263" t="s">
        <v>158</v>
      </c>
      <c r="C256" s="357"/>
      <c r="D256" s="357" t="s">
        <v>159</v>
      </c>
      <c r="E256" s="343"/>
      <c r="F256" s="343"/>
      <c r="G256" s="343"/>
      <c r="H256" s="343"/>
      <c r="I256" s="343"/>
      <c r="J256" s="343"/>
      <c r="K256" s="343"/>
      <c r="L256" s="343"/>
      <c r="M256" s="381"/>
      <c r="N256" s="297"/>
    </row>
    <row r="257" spans="1:14" s="289" customFormat="1" ht="28.5" customHeight="1">
      <c r="A257" s="356"/>
      <c r="B257" s="265" t="s">
        <v>943</v>
      </c>
      <c r="C257" s="357"/>
      <c r="D257" s="357"/>
      <c r="E257" s="343"/>
      <c r="F257" s="343"/>
      <c r="G257" s="343"/>
      <c r="H257" s="343"/>
      <c r="I257" s="343"/>
      <c r="J257" s="343"/>
      <c r="K257" s="343"/>
      <c r="L257" s="343"/>
      <c r="M257" s="381"/>
      <c r="N257" s="297"/>
    </row>
    <row r="258" spans="1:14" s="289" customFormat="1" ht="14.25" customHeight="1">
      <c r="A258" s="356" t="s">
        <v>576</v>
      </c>
      <c r="B258" s="282" t="s">
        <v>577</v>
      </c>
      <c r="C258" s="357" t="s">
        <v>152</v>
      </c>
      <c r="D258" s="266" t="s">
        <v>153</v>
      </c>
      <c r="E258" s="270">
        <v>580441.02</v>
      </c>
      <c r="F258" s="271"/>
      <c r="G258" s="271" t="s">
        <v>544</v>
      </c>
      <c r="H258" s="271" t="s">
        <v>545</v>
      </c>
      <c r="I258" s="271" t="s">
        <v>546</v>
      </c>
      <c r="J258" s="271" t="s">
        <v>547</v>
      </c>
      <c r="K258" s="271" t="s">
        <v>548</v>
      </c>
      <c r="L258" s="271" t="s">
        <v>549</v>
      </c>
      <c r="M258" s="381" t="s">
        <v>578</v>
      </c>
      <c r="N258" s="297"/>
    </row>
    <row r="259" spans="1:14" s="289" customFormat="1" ht="12.75">
      <c r="A259" s="356"/>
      <c r="B259" s="263" t="s">
        <v>158</v>
      </c>
      <c r="C259" s="357"/>
      <c r="D259" s="357" t="s">
        <v>159</v>
      </c>
      <c r="E259" s="343"/>
      <c r="F259" s="343"/>
      <c r="G259" s="343"/>
      <c r="H259" s="343"/>
      <c r="I259" s="343"/>
      <c r="J259" s="343"/>
      <c r="K259" s="343"/>
      <c r="L259" s="343"/>
      <c r="M259" s="381"/>
      <c r="N259" s="297"/>
    </row>
    <row r="260" spans="1:14" s="289" customFormat="1" ht="12.75">
      <c r="A260" s="356"/>
      <c r="B260" s="265" t="s">
        <v>943</v>
      </c>
      <c r="C260" s="357"/>
      <c r="D260" s="357"/>
      <c r="E260" s="343"/>
      <c r="F260" s="343"/>
      <c r="G260" s="343"/>
      <c r="H260" s="343"/>
      <c r="I260" s="343"/>
      <c r="J260" s="343"/>
      <c r="K260" s="343"/>
      <c r="L260" s="343"/>
      <c r="M260" s="381"/>
      <c r="N260" s="297"/>
    </row>
    <row r="261" spans="1:14" s="289" customFormat="1" ht="14.25" customHeight="1">
      <c r="A261" s="346" t="s">
        <v>579</v>
      </c>
      <c r="B261" s="282" t="s">
        <v>580</v>
      </c>
      <c r="C261" s="348" t="s">
        <v>152</v>
      </c>
      <c r="D261" s="266" t="s">
        <v>153</v>
      </c>
      <c r="E261" s="270">
        <v>28131</v>
      </c>
      <c r="F261" s="271" t="s">
        <v>581</v>
      </c>
      <c r="G261" s="271" t="s">
        <v>582</v>
      </c>
      <c r="H261" s="266" t="s">
        <v>444</v>
      </c>
      <c r="I261" s="271" t="s">
        <v>583</v>
      </c>
      <c r="J261" s="271" t="s">
        <v>584</v>
      </c>
      <c r="K261" s="271" t="s">
        <v>585</v>
      </c>
      <c r="L261" s="271" t="s">
        <v>586</v>
      </c>
      <c r="M261" s="380" t="s">
        <v>587</v>
      </c>
      <c r="N261" s="297"/>
    </row>
    <row r="262" spans="1:14" s="289" customFormat="1" ht="12.75">
      <c r="A262" s="346"/>
      <c r="B262" s="263" t="s">
        <v>255</v>
      </c>
      <c r="C262" s="348"/>
      <c r="D262" s="348" t="s">
        <v>159</v>
      </c>
      <c r="E262" s="352">
        <v>35501.43</v>
      </c>
      <c r="F262" s="376" t="s">
        <v>581</v>
      </c>
      <c r="G262" s="376" t="s">
        <v>582</v>
      </c>
      <c r="H262" s="348" t="s">
        <v>444</v>
      </c>
      <c r="I262" s="376" t="s">
        <v>583</v>
      </c>
      <c r="J262" s="376" t="s">
        <v>584</v>
      </c>
      <c r="K262" s="376" t="s">
        <v>585</v>
      </c>
      <c r="L262" s="377">
        <v>43136</v>
      </c>
      <c r="M262" s="380"/>
      <c r="N262" s="297"/>
    </row>
    <row r="263" spans="1:14" s="289" customFormat="1" ht="13.5" thickBot="1">
      <c r="A263" s="346"/>
      <c r="B263" s="276" t="s">
        <v>160</v>
      </c>
      <c r="C263" s="348"/>
      <c r="D263" s="348"/>
      <c r="E263" s="352"/>
      <c r="F263" s="376"/>
      <c r="G263" s="376"/>
      <c r="H263" s="348"/>
      <c r="I263" s="376"/>
      <c r="J263" s="376"/>
      <c r="K263" s="376"/>
      <c r="L263" s="378"/>
      <c r="M263" s="380"/>
      <c r="N263" s="297"/>
    </row>
    <row r="264" spans="1:14" s="289" customFormat="1" ht="13.5" thickBot="1">
      <c r="A264" s="290"/>
      <c r="B264" s="291"/>
      <c r="C264" s="292"/>
      <c r="D264" s="292"/>
      <c r="E264" s="279">
        <f>SUM(E249+E252+E255+E258+E261)</f>
        <v>10914431</v>
      </c>
      <c r="F264" s="293"/>
      <c r="G264" s="293"/>
      <c r="H264" s="292"/>
      <c r="I264" s="293"/>
      <c r="J264" s="293"/>
      <c r="K264" s="293"/>
      <c r="L264" s="294"/>
      <c r="M264" s="255"/>
      <c r="N264" s="297"/>
    </row>
    <row r="265" spans="1:14" s="289" customFormat="1" ht="16.5" thickBot="1">
      <c r="A265" s="296" t="s">
        <v>974</v>
      </c>
      <c r="B265" s="297"/>
      <c r="C265" s="297"/>
      <c r="D265" s="297"/>
      <c r="E265" s="297"/>
      <c r="F265" s="297"/>
      <c r="G265" s="297"/>
      <c r="H265" s="297"/>
      <c r="I265" s="297"/>
      <c r="J265" s="297"/>
      <c r="K265" s="297"/>
      <c r="L265" s="297"/>
      <c r="M265" s="297"/>
      <c r="N265" s="297"/>
    </row>
    <row r="266" spans="1:14" s="289" customFormat="1" ht="12.75">
      <c r="A266" s="298" t="s">
        <v>134</v>
      </c>
      <c r="B266" s="299" t="s">
        <v>135</v>
      </c>
      <c r="C266" s="299" t="s">
        <v>136</v>
      </c>
      <c r="D266" s="299" t="s">
        <v>137</v>
      </c>
      <c r="E266" s="299" t="s">
        <v>138</v>
      </c>
      <c r="F266" s="299" t="s">
        <v>588</v>
      </c>
      <c r="G266" s="299" t="s">
        <v>145</v>
      </c>
      <c r="H266" s="299" t="s">
        <v>589</v>
      </c>
      <c r="I266" s="379" t="s">
        <v>147</v>
      </c>
      <c r="J266" s="379"/>
      <c r="K266" s="297"/>
      <c r="L266" s="297"/>
      <c r="M266" s="297"/>
      <c r="N266" s="297"/>
    </row>
    <row r="267" spans="1:14" s="289" customFormat="1" ht="29.25" customHeight="1">
      <c r="A267" s="281" t="s">
        <v>590</v>
      </c>
      <c r="B267" s="282" t="s">
        <v>591</v>
      </c>
      <c r="C267" s="357" t="s">
        <v>152</v>
      </c>
      <c r="D267" s="266" t="s">
        <v>153</v>
      </c>
      <c r="E267" s="270">
        <v>685422</v>
      </c>
      <c r="F267" s="271" t="s">
        <v>592</v>
      </c>
      <c r="G267" s="266"/>
      <c r="H267" s="271" t="s">
        <v>593</v>
      </c>
      <c r="I267" s="349" t="s">
        <v>184</v>
      </c>
      <c r="J267" s="349"/>
      <c r="K267" s="358"/>
      <c r="L267" s="297"/>
      <c r="M267" s="297"/>
      <c r="N267" s="297"/>
    </row>
    <row r="268" spans="1:14" s="289" customFormat="1" ht="12.75">
      <c r="A268" s="273" t="s">
        <v>595</v>
      </c>
      <c r="B268" s="263" t="s">
        <v>158</v>
      </c>
      <c r="C268" s="357"/>
      <c r="D268" s="357" t="s">
        <v>159</v>
      </c>
      <c r="E268" s="363"/>
      <c r="F268" s="343"/>
      <c r="G268" s="343"/>
      <c r="H268" s="343"/>
      <c r="I268" s="349"/>
      <c r="J268" s="349"/>
      <c r="K268" s="358"/>
      <c r="L268" s="297"/>
      <c r="M268" s="297"/>
      <c r="N268" s="297"/>
    </row>
    <row r="269" spans="1:14" s="289" customFormat="1" ht="12.75">
      <c r="A269" s="264"/>
      <c r="B269" s="265" t="s">
        <v>980</v>
      </c>
      <c r="C269" s="357"/>
      <c r="D269" s="357"/>
      <c r="E269" s="363"/>
      <c r="F269" s="343"/>
      <c r="G269" s="343"/>
      <c r="H269" s="343"/>
      <c r="I269" s="349"/>
      <c r="J269" s="349"/>
      <c r="K269" s="358"/>
      <c r="L269" s="297"/>
      <c r="M269" s="297"/>
      <c r="N269" s="297"/>
    </row>
    <row r="270" spans="1:14" s="289" customFormat="1" ht="12.75" customHeight="1">
      <c r="A270" s="375" t="s">
        <v>596</v>
      </c>
      <c r="B270" s="282" t="s">
        <v>597</v>
      </c>
      <c r="C270" s="357" t="s">
        <v>152</v>
      </c>
      <c r="D270" s="266" t="s">
        <v>153</v>
      </c>
      <c r="E270" s="270">
        <v>411253</v>
      </c>
      <c r="F270" s="271" t="s">
        <v>605</v>
      </c>
      <c r="G270" s="266"/>
      <c r="H270" s="271" t="s">
        <v>593</v>
      </c>
      <c r="I270" s="349" t="s">
        <v>184</v>
      </c>
      <c r="J270" s="349"/>
      <c r="K270" s="358"/>
      <c r="L270" s="297"/>
      <c r="M270" s="297"/>
      <c r="N270" s="297"/>
    </row>
    <row r="271" spans="1:14" s="289" customFormat="1" ht="12.75">
      <c r="A271" s="375"/>
      <c r="B271" s="263" t="s">
        <v>158</v>
      </c>
      <c r="C271" s="357"/>
      <c r="D271" s="357" t="s">
        <v>159</v>
      </c>
      <c r="E271" s="343"/>
      <c r="F271" s="343"/>
      <c r="G271" s="343"/>
      <c r="H271" s="343"/>
      <c r="I271" s="349"/>
      <c r="J271" s="349"/>
      <c r="K271" s="358"/>
      <c r="L271" s="297"/>
      <c r="M271" s="297"/>
      <c r="N271" s="297"/>
    </row>
    <row r="272" spans="1:14" s="289" customFormat="1" ht="12.75">
      <c r="A272" s="375"/>
      <c r="B272" s="265" t="s">
        <v>980</v>
      </c>
      <c r="C272" s="357"/>
      <c r="D272" s="357"/>
      <c r="E272" s="343"/>
      <c r="F272" s="343"/>
      <c r="G272" s="343"/>
      <c r="H272" s="343"/>
      <c r="I272" s="349"/>
      <c r="J272" s="349"/>
      <c r="K272" s="358"/>
      <c r="L272" s="297"/>
      <c r="M272" s="297"/>
      <c r="N272" s="297"/>
    </row>
    <row r="273" spans="1:14" s="289" customFormat="1" ht="12.75">
      <c r="A273" s="374" t="s">
        <v>599</v>
      </c>
      <c r="B273" s="374"/>
      <c r="C273" s="374"/>
      <c r="D273" s="374"/>
      <c r="E273" s="374"/>
      <c r="F273" s="374"/>
      <c r="G273" s="374"/>
      <c r="H273" s="374"/>
      <c r="I273" s="374"/>
      <c r="J273" s="374"/>
      <c r="K273" s="297"/>
      <c r="L273" s="297"/>
      <c r="M273" s="297"/>
      <c r="N273" s="297"/>
    </row>
    <row r="274" spans="1:14" s="289" customFormat="1" ht="12.75" customHeight="1">
      <c r="A274" s="356" t="s">
        <v>600</v>
      </c>
      <c r="B274" s="282" t="s">
        <v>601</v>
      </c>
      <c r="C274" s="357" t="s">
        <v>152</v>
      </c>
      <c r="D274" s="266" t="s">
        <v>153</v>
      </c>
      <c r="E274" s="270">
        <v>411253</v>
      </c>
      <c r="F274" s="271" t="s">
        <v>592</v>
      </c>
      <c r="G274" s="266"/>
      <c r="H274" s="271" t="s">
        <v>593</v>
      </c>
      <c r="I274" s="349" t="s">
        <v>184</v>
      </c>
      <c r="J274" s="349"/>
      <c r="K274" s="358"/>
      <c r="L274" s="297"/>
      <c r="M274" s="297"/>
      <c r="N274" s="297"/>
    </row>
    <row r="275" spans="1:14" s="289" customFormat="1" ht="12.75">
      <c r="A275" s="356"/>
      <c r="B275" s="263" t="s">
        <v>158</v>
      </c>
      <c r="C275" s="357"/>
      <c r="D275" s="357" t="s">
        <v>159</v>
      </c>
      <c r="E275" s="343"/>
      <c r="F275" s="343"/>
      <c r="G275" s="343"/>
      <c r="H275" s="343"/>
      <c r="I275" s="349"/>
      <c r="J275" s="349"/>
      <c r="K275" s="358"/>
      <c r="L275" s="297"/>
      <c r="M275" s="297"/>
      <c r="N275" s="297"/>
    </row>
    <row r="276" spans="1:14" s="289" customFormat="1" ht="12.75">
      <c r="A276" s="356"/>
      <c r="B276" s="265" t="s">
        <v>980</v>
      </c>
      <c r="C276" s="357"/>
      <c r="D276" s="357"/>
      <c r="E276" s="343"/>
      <c r="F276" s="343"/>
      <c r="G276" s="343"/>
      <c r="H276" s="343"/>
      <c r="I276" s="349"/>
      <c r="J276" s="349"/>
      <c r="K276" s="358"/>
      <c r="L276" s="297"/>
      <c r="M276" s="297"/>
      <c r="N276" s="297"/>
    </row>
    <row r="277" spans="1:14" s="289" customFormat="1" ht="13.5" customHeight="1">
      <c r="A277" s="373" t="s">
        <v>603</v>
      </c>
      <c r="B277" s="282" t="s">
        <v>604</v>
      </c>
      <c r="C277" s="348" t="s">
        <v>152</v>
      </c>
      <c r="D277" s="266" t="s">
        <v>153</v>
      </c>
      <c r="E277" s="270">
        <v>47862</v>
      </c>
      <c r="F277" s="271" t="s">
        <v>605</v>
      </c>
      <c r="G277" s="266"/>
      <c r="H277" s="271" t="s">
        <v>593</v>
      </c>
      <c r="I277" s="350" t="s">
        <v>184</v>
      </c>
      <c r="J277" s="350"/>
      <c r="K277" s="358"/>
      <c r="L277" s="297"/>
      <c r="M277" s="297"/>
      <c r="N277" s="297"/>
    </row>
    <row r="278" spans="1:14" s="289" customFormat="1" ht="12.75">
      <c r="A278" s="373"/>
      <c r="B278" s="263" t="s">
        <v>158</v>
      </c>
      <c r="C278" s="348"/>
      <c r="D278" s="348" t="s">
        <v>159</v>
      </c>
      <c r="E278" s="342"/>
      <c r="F278" s="342"/>
      <c r="G278" s="342"/>
      <c r="H278" s="342"/>
      <c r="I278" s="350"/>
      <c r="J278" s="350"/>
      <c r="K278" s="358"/>
      <c r="L278" s="297"/>
      <c r="M278" s="297"/>
      <c r="N278" s="297"/>
    </row>
    <row r="279" spans="1:14" s="289" customFormat="1" ht="13.5" thickBot="1">
      <c r="A279" s="373"/>
      <c r="B279" s="276" t="s">
        <v>980</v>
      </c>
      <c r="C279" s="348"/>
      <c r="D279" s="348"/>
      <c r="E279" s="342"/>
      <c r="F279" s="342"/>
      <c r="G279" s="342"/>
      <c r="H279" s="342"/>
      <c r="I279" s="350"/>
      <c r="J279" s="350"/>
      <c r="K279" s="358"/>
      <c r="L279" s="297"/>
      <c r="M279" s="297"/>
      <c r="N279" s="297"/>
    </row>
    <row r="280" spans="1:14" s="289" customFormat="1" ht="13.5" thickBot="1">
      <c r="A280" s="300"/>
      <c r="B280" s="291"/>
      <c r="C280" s="292"/>
      <c r="D280" s="292"/>
      <c r="E280" s="279">
        <f>SUM(E267+E270+E274+E277)</f>
        <v>1555790</v>
      </c>
      <c r="F280" s="294"/>
      <c r="G280" s="294"/>
      <c r="H280" s="294"/>
      <c r="I280" s="295"/>
      <c r="J280" s="301"/>
      <c r="K280" s="253"/>
      <c r="L280" s="297"/>
      <c r="M280" s="297"/>
      <c r="N280" s="297"/>
    </row>
    <row r="281" spans="1:14" s="289" customFormat="1" ht="16.5" thickBot="1">
      <c r="A281" s="296" t="s">
        <v>972</v>
      </c>
      <c r="B281" s="297"/>
      <c r="C281" s="297"/>
      <c r="D281" s="297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</row>
    <row r="282" spans="1:14" s="289" customFormat="1" ht="13.5" customHeight="1" thickBot="1">
      <c r="A282" s="371" t="s">
        <v>134</v>
      </c>
      <c r="B282" s="372" t="s">
        <v>135</v>
      </c>
      <c r="C282" s="372" t="s">
        <v>136</v>
      </c>
      <c r="D282" s="372" t="s">
        <v>137</v>
      </c>
      <c r="E282" s="368" t="s">
        <v>138</v>
      </c>
      <c r="F282" s="368" t="s">
        <v>607</v>
      </c>
      <c r="G282" s="368" t="s">
        <v>608</v>
      </c>
      <c r="H282" s="368" t="s">
        <v>609</v>
      </c>
      <c r="I282" s="368" t="s">
        <v>141</v>
      </c>
      <c r="J282" s="368" t="s">
        <v>610</v>
      </c>
      <c r="K282" s="368" t="s">
        <v>611</v>
      </c>
      <c r="L282" s="368" t="s">
        <v>612</v>
      </c>
      <c r="M282" s="322" t="s">
        <v>145</v>
      </c>
      <c r="N282" s="369" t="s">
        <v>146</v>
      </c>
    </row>
    <row r="283" spans="1:14" s="289" customFormat="1" ht="38.25">
      <c r="A283" s="371"/>
      <c r="B283" s="372"/>
      <c r="C283" s="372"/>
      <c r="D283" s="372"/>
      <c r="E283" s="368"/>
      <c r="F283" s="368"/>
      <c r="G283" s="368"/>
      <c r="H283" s="368"/>
      <c r="I283" s="368"/>
      <c r="J283" s="368"/>
      <c r="K283" s="368"/>
      <c r="L283" s="368"/>
      <c r="M283" s="323" t="s">
        <v>149</v>
      </c>
      <c r="N283" s="370"/>
    </row>
    <row r="284" spans="1:15" s="289" customFormat="1" ht="14.25" customHeight="1">
      <c r="A284" s="356" t="s">
        <v>613</v>
      </c>
      <c r="B284" s="282" t="s">
        <v>614</v>
      </c>
      <c r="C284" s="357" t="s">
        <v>152</v>
      </c>
      <c r="D284" s="266" t="s">
        <v>153</v>
      </c>
      <c r="E284" s="270">
        <v>4588039.1</v>
      </c>
      <c r="F284" s="271" t="s">
        <v>615</v>
      </c>
      <c r="G284" s="271" t="s">
        <v>616</v>
      </c>
      <c r="H284" s="271" t="s">
        <v>617</v>
      </c>
      <c r="I284" s="271" t="s">
        <v>440</v>
      </c>
      <c r="J284" s="271" t="s">
        <v>618</v>
      </c>
      <c r="K284" s="271" t="s">
        <v>619</v>
      </c>
      <c r="L284" s="271" t="s">
        <v>620</v>
      </c>
      <c r="M284" s="266">
        <v>155</v>
      </c>
      <c r="N284" s="271" t="s">
        <v>621</v>
      </c>
      <c r="O284" s="358" t="s">
        <v>622</v>
      </c>
    </row>
    <row r="285" spans="1:17" s="289" customFormat="1" ht="12.75">
      <c r="A285" s="356"/>
      <c r="B285" s="263" t="s">
        <v>255</v>
      </c>
      <c r="C285" s="357"/>
      <c r="D285" s="357" t="s">
        <v>159</v>
      </c>
      <c r="E285" s="363">
        <v>2596581.41</v>
      </c>
      <c r="F285" s="344" t="s">
        <v>615</v>
      </c>
      <c r="G285" s="344" t="s">
        <v>616</v>
      </c>
      <c r="H285" s="344" t="s">
        <v>617</v>
      </c>
      <c r="I285" s="344" t="s">
        <v>440</v>
      </c>
      <c r="J285" s="344" t="s">
        <v>618</v>
      </c>
      <c r="K285" s="344" t="s">
        <v>619</v>
      </c>
      <c r="L285" s="344" t="s">
        <v>620</v>
      </c>
      <c r="M285" s="357">
        <v>155</v>
      </c>
      <c r="N285" s="359"/>
      <c r="O285" s="358"/>
      <c r="Q285" s="311"/>
    </row>
    <row r="286" spans="1:17" s="289" customFormat="1" ht="12.75">
      <c r="A286" s="356"/>
      <c r="B286" s="265" t="s">
        <v>160</v>
      </c>
      <c r="C286" s="357"/>
      <c r="D286" s="357"/>
      <c r="E286" s="363"/>
      <c r="F286" s="344"/>
      <c r="G286" s="344"/>
      <c r="H286" s="344"/>
      <c r="I286" s="344"/>
      <c r="J286" s="344"/>
      <c r="K286" s="344"/>
      <c r="L286" s="344"/>
      <c r="M286" s="357"/>
      <c r="N286" s="364"/>
      <c r="O286" s="358"/>
      <c r="Q286" s="310"/>
    </row>
    <row r="287" spans="1:17" s="289" customFormat="1" ht="14.25" customHeight="1">
      <c r="A287" s="356" t="s">
        <v>623</v>
      </c>
      <c r="B287" s="282" t="s">
        <v>624</v>
      </c>
      <c r="C287" s="357" t="s">
        <v>152</v>
      </c>
      <c r="D287" s="266" t="s">
        <v>153</v>
      </c>
      <c r="E287" s="270">
        <v>14095000</v>
      </c>
      <c r="F287" s="271" t="s">
        <v>615</v>
      </c>
      <c r="G287" s="271" t="s">
        <v>616</v>
      </c>
      <c r="H287" s="271" t="s">
        <v>625</v>
      </c>
      <c r="I287" s="271" t="s">
        <v>440</v>
      </c>
      <c r="J287" s="271" t="s">
        <v>619</v>
      </c>
      <c r="K287" s="271" t="s">
        <v>626</v>
      </c>
      <c r="L287" s="271" t="s">
        <v>258</v>
      </c>
      <c r="M287" s="266">
        <v>219</v>
      </c>
      <c r="N287" s="271" t="s">
        <v>627</v>
      </c>
      <c r="O287" s="358" t="s">
        <v>628</v>
      </c>
      <c r="Q287" s="311"/>
    </row>
    <row r="288" spans="1:17" s="289" customFormat="1" ht="12.75">
      <c r="A288" s="356"/>
      <c r="B288" s="263" t="s">
        <v>255</v>
      </c>
      <c r="C288" s="357"/>
      <c r="D288" s="357" t="s">
        <v>159</v>
      </c>
      <c r="E288" s="363">
        <v>5774875.12</v>
      </c>
      <c r="F288" s="344" t="s">
        <v>615</v>
      </c>
      <c r="G288" s="344" t="s">
        <v>616</v>
      </c>
      <c r="H288" s="344" t="s">
        <v>625</v>
      </c>
      <c r="I288" s="344" t="s">
        <v>440</v>
      </c>
      <c r="J288" s="344" t="s">
        <v>619</v>
      </c>
      <c r="K288" s="344" t="s">
        <v>626</v>
      </c>
      <c r="L288" s="344" t="s">
        <v>258</v>
      </c>
      <c r="M288" s="357">
        <v>219</v>
      </c>
      <c r="N288" s="359"/>
      <c r="O288" s="358"/>
      <c r="Q288" s="310"/>
    </row>
    <row r="289" spans="1:17" s="289" customFormat="1" ht="12.75">
      <c r="A289" s="356"/>
      <c r="B289" s="265" t="s">
        <v>160</v>
      </c>
      <c r="C289" s="357"/>
      <c r="D289" s="357"/>
      <c r="E289" s="363"/>
      <c r="F289" s="344"/>
      <c r="G289" s="344"/>
      <c r="H289" s="344"/>
      <c r="I289" s="344"/>
      <c r="J289" s="344"/>
      <c r="K289" s="344"/>
      <c r="L289" s="344"/>
      <c r="M289" s="357"/>
      <c r="N289" s="364"/>
      <c r="O289" s="358"/>
      <c r="Q289" s="310"/>
    </row>
    <row r="290" spans="1:17" s="289" customFormat="1" ht="12.75" customHeight="1">
      <c r="A290" s="336" t="s">
        <v>629</v>
      </c>
      <c r="B290" s="336"/>
      <c r="C290" s="336"/>
      <c r="D290" s="336"/>
      <c r="E290" s="336"/>
      <c r="F290" s="336"/>
      <c r="G290" s="336"/>
      <c r="H290" s="336"/>
      <c r="I290" s="336"/>
      <c r="J290" s="336"/>
      <c r="K290" s="336"/>
      <c r="L290" s="336"/>
      <c r="M290" s="336"/>
      <c r="N290" s="336"/>
      <c r="Q290" s="310"/>
    </row>
    <row r="291" spans="1:17" s="289" customFormat="1" ht="14.25" customHeight="1">
      <c r="A291" s="356" t="s">
        <v>630</v>
      </c>
      <c r="B291" s="282" t="s">
        <v>631</v>
      </c>
      <c r="C291" s="357" t="s">
        <v>152</v>
      </c>
      <c r="D291" s="266" t="s">
        <v>153</v>
      </c>
      <c r="E291" s="270">
        <v>200000</v>
      </c>
      <c r="F291" s="271" t="s">
        <v>632</v>
      </c>
      <c r="G291" s="271" t="s">
        <v>633</v>
      </c>
      <c r="H291" s="271" t="s">
        <v>272</v>
      </c>
      <c r="I291" s="271" t="s">
        <v>634</v>
      </c>
      <c r="J291" s="271" t="s">
        <v>635</v>
      </c>
      <c r="K291" s="271" t="s">
        <v>636</v>
      </c>
      <c r="L291" s="271" t="s">
        <v>637</v>
      </c>
      <c r="M291" s="266">
        <v>168</v>
      </c>
      <c r="N291" s="271" t="s">
        <v>638</v>
      </c>
      <c r="O291" s="358" t="s">
        <v>639</v>
      </c>
      <c r="Q291" s="310"/>
    </row>
    <row r="292" spans="1:17" s="289" customFormat="1" ht="12.75">
      <c r="A292" s="356"/>
      <c r="B292" s="263" t="s">
        <v>255</v>
      </c>
      <c r="C292" s="357"/>
      <c r="D292" s="357" t="s">
        <v>159</v>
      </c>
      <c r="E292" s="363">
        <v>158726.65</v>
      </c>
      <c r="F292" s="344" t="s">
        <v>632</v>
      </c>
      <c r="G292" s="344" t="s">
        <v>633</v>
      </c>
      <c r="H292" s="344" t="s">
        <v>272</v>
      </c>
      <c r="I292" s="367" t="s">
        <v>522</v>
      </c>
      <c r="J292" s="344" t="s">
        <v>635</v>
      </c>
      <c r="K292" s="344" t="s">
        <v>640</v>
      </c>
      <c r="L292" s="343"/>
      <c r="M292" s="343"/>
      <c r="N292" s="365">
        <v>43803</v>
      </c>
      <c r="O292" s="358"/>
      <c r="Q292" s="311"/>
    </row>
    <row r="293" spans="1:17" s="289" customFormat="1" ht="12.75">
      <c r="A293" s="356"/>
      <c r="B293" s="265" t="s">
        <v>160</v>
      </c>
      <c r="C293" s="357"/>
      <c r="D293" s="357"/>
      <c r="E293" s="363"/>
      <c r="F293" s="344"/>
      <c r="G293" s="344"/>
      <c r="H293" s="344"/>
      <c r="I293" s="367"/>
      <c r="J293" s="344"/>
      <c r="K293" s="344"/>
      <c r="L293" s="343"/>
      <c r="M293" s="343"/>
      <c r="N293" s="366"/>
      <c r="O293" s="358"/>
      <c r="Q293" s="311"/>
    </row>
    <row r="294" spans="1:15" s="289" customFormat="1" ht="14.25" customHeight="1">
      <c r="A294" s="356" t="s">
        <v>641</v>
      </c>
      <c r="B294" s="282" t="s">
        <v>642</v>
      </c>
      <c r="C294" s="357" t="s">
        <v>152</v>
      </c>
      <c r="D294" s="266" t="s">
        <v>153</v>
      </c>
      <c r="E294" s="270">
        <v>200000</v>
      </c>
      <c r="F294" s="271" t="s">
        <v>537</v>
      </c>
      <c r="G294" s="271" t="s">
        <v>520</v>
      </c>
      <c r="H294" s="271" t="s">
        <v>643</v>
      </c>
      <c r="I294" s="271" t="s">
        <v>634</v>
      </c>
      <c r="J294" s="271" t="s">
        <v>644</v>
      </c>
      <c r="K294" s="271" t="s">
        <v>645</v>
      </c>
      <c r="L294" s="271" t="s">
        <v>987</v>
      </c>
      <c r="M294" s="266">
        <v>168</v>
      </c>
      <c r="N294" s="271" t="s">
        <v>646</v>
      </c>
      <c r="O294" s="358" t="s">
        <v>647</v>
      </c>
    </row>
    <row r="295" spans="1:15" s="289" customFormat="1" ht="12.75">
      <c r="A295" s="356"/>
      <c r="B295" s="263" t="s">
        <v>255</v>
      </c>
      <c r="C295" s="357"/>
      <c r="D295" s="357" t="s">
        <v>159</v>
      </c>
      <c r="E295" s="363">
        <v>203795.22</v>
      </c>
      <c r="F295" s="344" t="s">
        <v>537</v>
      </c>
      <c r="G295" s="344" t="s">
        <v>520</v>
      </c>
      <c r="H295" s="344" t="s">
        <v>643</v>
      </c>
      <c r="I295" s="344" t="s">
        <v>634</v>
      </c>
      <c r="J295" s="344" t="s">
        <v>522</v>
      </c>
      <c r="K295" s="344" t="s">
        <v>522</v>
      </c>
      <c r="L295" s="344"/>
      <c r="M295" s="343"/>
      <c r="N295" s="359"/>
      <c r="O295" s="358"/>
    </row>
    <row r="296" spans="1:15" s="289" customFormat="1" ht="12.75">
      <c r="A296" s="356"/>
      <c r="B296" s="265" t="s">
        <v>160</v>
      </c>
      <c r="C296" s="357"/>
      <c r="D296" s="357"/>
      <c r="E296" s="363"/>
      <c r="F296" s="344"/>
      <c r="G296" s="344"/>
      <c r="H296" s="344"/>
      <c r="I296" s="344"/>
      <c r="J296" s="344"/>
      <c r="K296" s="344"/>
      <c r="L296" s="344"/>
      <c r="M296" s="343"/>
      <c r="N296" s="364"/>
      <c r="O296" s="358"/>
    </row>
    <row r="297" spans="1:15" s="330" customFormat="1" ht="14.25" customHeight="1">
      <c r="A297" s="356" t="s">
        <v>648</v>
      </c>
      <c r="B297" s="282" t="s">
        <v>649</v>
      </c>
      <c r="C297" s="357" t="s">
        <v>152</v>
      </c>
      <c r="D297" s="266" t="s">
        <v>153</v>
      </c>
      <c r="E297" s="270">
        <v>200000</v>
      </c>
      <c r="F297" s="271"/>
      <c r="G297" s="271" t="s">
        <v>984</v>
      </c>
      <c r="H297" s="271" t="s">
        <v>985</v>
      </c>
      <c r="I297" s="271" t="s">
        <v>986</v>
      </c>
      <c r="J297" s="271"/>
      <c r="K297" s="271"/>
      <c r="L297" s="271"/>
      <c r="M297" s="328">
        <v>49</v>
      </c>
      <c r="N297" s="329" t="s">
        <v>650</v>
      </c>
      <c r="O297" s="362" t="s">
        <v>651</v>
      </c>
    </row>
    <row r="298" spans="1:15" s="330" customFormat="1" ht="12.75">
      <c r="A298" s="356"/>
      <c r="B298" s="263" t="s">
        <v>158</v>
      </c>
      <c r="C298" s="357"/>
      <c r="D298" s="357" t="s">
        <v>159</v>
      </c>
      <c r="E298" s="343"/>
      <c r="F298" s="343"/>
      <c r="G298" s="343"/>
      <c r="H298" s="343"/>
      <c r="I298" s="343"/>
      <c r="J298" s="343"/>
      <c r="K298" s="343"/>
      <c r="L298" s="343"/>
      <c r="M298" s="353"/>
      <c r="N298" s="354"/>
      <c r="O298" s="362"/>
    </row>
    <row r="299" spans="1:15" s="330" customFormat="1" ht="12.75">
      <c r="A299" s="356"/>
      <c r="B299" s="265" t="s">
        <v>943</v>
      </c>
      <c r="C299" s="357"/>
      <c r="D299" s="357"/>
      <c r="E299" s="343"/>
      <c r="F299" s="343"/>
      <c r="G299" s="343"/>
      <c r="H299" s="343"/>
      <c r="I299" s="343"/>
      <c r="J299" s="343"/>
      <c r="K299" s="343"/>
      <c r="L299" s="343"/>
      <c r="M299" s="353"/>
      <c r="N299" s="355"/>
      <c r="O299" s="362"/>
    </row>
    <row r="300" spans="1:15" s="330" customFormat="1" ht="14.25" customHeight="1">
      <c r="A300" s="356" t="s">
        <v>652</v>
      </c>
      <c r="B300" s="282" t="s">
        <v>653</v>
      </c>
      <c r="C300" s="357" t="s">
        <v>152</v>
      </c>
      <c r="D300" s="266" t="s">
        <v>153</v>
      </c>
      <c r="E300" s="270">
        <v>200000</v>
      </c>
      <c r="F300" s="271"/>
      <c r="G300" s="271" t="s">
        <v>984</v>
      </c>
      <c r="H300" s="271" t="s">
        <v>985</v>
      </c>
      <c r="I300" s="271" t="s">
        <v>986</v>
      </c>
      <c r="J300" s="271"/>
      <c r="K300" s="271"/>
      <c r="L300" s="271"/>
      <c r="M300" s="328">
        <v>66</v>
      </c>
      <c r="N300" s="329" t="s">
        <v>654</v>
      </c>
      <c r="O300" s="362" t="s">
        <v>655</v>
      </c>
    </row>
    <row r="301" spans="1:15" s="330" customFormat="1" ht="12.75">
      <c r="A301" s="356"/>
      <c r="B301" s="263" t="s">
        <v>158</v>
      </c>
      <c r="C301" s="357"/>
      <c r="D301" s="357" t="s">
        <v>159</v>
      </c>
      <c r="E301" s="363"/>
      <c r="F301" s="343"/>
      <c r="G301" s="343"/>
      <c r="H301" s="343"/>
      <c r="I301" s="343"/>
      <c r="J301" s="343"/>
      <c r="K301" s="343"/>
      <c r="L301" s="343"/>
      <c r="M301" s="353"/>
      <c r="N301" s="354"/>
      <c r="O301" s="362"/>
    </row>
    <row r="302" spans="1:15" s="330" customFormat="1" ht="12.75">
      <c r="A302" s="356"/>
      <c r="B302" s="265" t="s">
        <v>943</v>
      </c>
      <c r="C302" s="357"/>
      <c r="D302" s="357"/>
      <c r="E302" s="363"/>
      <c r="F302" s="343"/>
      <c r="G302" s="343"/>
      <c r="H302" s="343"/>
      <c r="I302" s="343"/>
      <c r="J302" s="343"/>
      <c r="K302" s="343"/>
      <c r="L302" s="343"/>
      <c r="M302" s="353"/>
      <c r="N302" s="355"/>
      <c r="O302" s="362"/>
    </row>
    <row r="303" spans="1:15" s="330" customFormat="1" ht="14.25" customHeight="1">
      <c r="A303" s="346" t="s">
        <v>656</v>
      </c>
      <c r="B303" s="282" t="s">
        <v>657</v>
      </c>
      <c r="C303" s="348" t="s">
        <v>152</v>
      </c>
      <c r="D303" s="266" t="s">
        <v>153</v>
      </c>
      <c r="E303" s="270">
        <v>119000</v>
      </c>
      <c r="F303" s="271"/>
      <c r="G303" s="271" t="s">
        <v>658</v>
      </c>
      <c r="H303" s="271" t="s">
        <v>659</v>
      </c>
      <c r="I303" s="271" t="s">
        <v>660</v>
      </c>
      <c r="J303" s="271"/>
      <c r="K303" s="271"/>
      <c r="L303" s="271"/>
      <c r="M303" s="328">
        <v>51</v>
      </c>
      <c r="N303" s="329" t="s">
        <v>661</v>
      </c>
      <c r="O303" s="358" t="s">
        <v>662</v>
      </c>
    </row>
    <row r="304" spans="1:15" s="330" customFormat="1" ht="12.75">
      <c r="A304" s="346"/>
      <c r="B304" s="263" t="s">
        <v>158</v>
      </c>
      <c r="C304" s="348"/>
      <c r="D304" s="348" t="s">
        <v>159</v>
      </c>
      <c r="E304" s="352"/>
      <c r="F304" s="342"/>
      <c r="G304" s="342"/>
      <c r="H304" s="342"/>
      <c r="I304" s="342"/>
      <c r="J304" s="342"/>
      <c r="K304" s="342"/>
      <c r="L304" s="342"/>
      <c r="M304" s="342"/>
      <c r="N304" s="359"/>
      <c r="O304" s="358"/>
    </row>
    <row r="305" spans="1:15" s="289" customFormat="1" ht="13.5" thickBot="1">
      <c r="A305" s="346"/>
      <c r="B305" s="265" t="s">
        <v>943</v>
      </c>
      <c r="C305" s="348"/>
      <c r="D305" s="348"/>
      <c r="E305" s="352"/>
      <c r="F305" s="342"/>
      <c r="G305" s="342"/>
      <c r="H305" s="342"/>
      <c r="I305" s="342"/>
      <c r="J305" s="342"/>
      <c r="K305" s="342"/>
      <c r="L305" s="342"/>
      <c r="M305" s="342"/>
      <c r="N305" s="360"/>
      <c r="O305" s="358"/>
    </row>
    <row r="306" spans="1:15" s="289" customFormat="1" ht="13.5" thickBot="1">
      <c r="A306" s="290"/>
      <c r="B306" s="292"/>
      <c r="C306" s="292"/>
      <c r="D306" s="292"/>
      <c r="E306" s="279">
        <f>SUM(E284+E287+E291+E294+E297+E300+E303)</f>
        <v>19602039.1</v>
      </c>
      <c r="F306" s="294"/>
      <c r="G306" s="294"/>
      <c r="H306" s="294"/>
      <c r="I306" s="294"/>
      <c r="J306" s="294"/>
      <c r="K306" s="294"/>
      <c r="L306" s="294"/>
      <c r="M306" s="324"/>
      <c r="N306" s="312"/>
      <c r="O306" s="313"/>
    </row>
    <row r="307" spans="1:14" s="289" customFormat="1" ht="16.5" thickBot="1">
      <c r="A307" s="296" t="s">
        <v>973</v>
      </c>
      <c r="B307" s="297"/>
      <c r="C307" s="297"/>
      <c r="D307" s="297"/>
      <c r="E307" s="297"/>
      <c r="F307" s="297"/>
      <c r="G307" s="297"/>
      <c r="H307" s="297"/>
      <c r="I307" s="297"/>
      <c r="J307" s="297"/>
      <c r="K307" s="297"/>
      <c r="L307" s="297"/>
      <c r="M307" s="297"/>
      <c r="N307" s="297"/>
    </row>
    <row r="308" spans="1:14" s="289" customFormat="1" ht="25.5">
      <c r="A308" s="298" t="s">
        <v>134</v>
      </c>
      <c r="B308" s="299" t="s">
        <v>135</v>
      </c>
      <c r="C308" s="299" t="s">
        <v>136</v>
      </c>
      <c r="D308" s="299" t="s">
        <v>137</v>
      </c>
      <c r="E308" s="302" t="s">
        <v>138</v>
      </c>
      <c r="F308" s="302" t="s">
        <v>663</v>
      </c>
      <c r="G308" s="302" t="s">
        <v>144</v>
      </c>
      <c r="H308" s="302" t="s">
        <v>145</v>
      </c>
      <c r="I308" s="302" t="s">
        <v>664</v>
      </c>
      <c r="J308" s="299" t="s">
        <v>147</v>
      </c>
      <c r="K308" s="303"/>
      <c r="L308" s="297"/>
      <c r="M308" s="297"/>
      <c r="N308" s="297"/>
    </row>
    <row r="309" spans="1:14" s="289" customFormat="1" ht="14.25" customHeight="1" thickBot="1">
      <c r="A309" s="345" t="s">
        <v>665</v>
      </c>
      <c r="B309" s="282" t="s">
        <v>666</v>
      </c>
      <c r="C309" s="347" t="s">
        <v>152</v>
      </c>
      <c r="D309" s="266" t="s">
        <v>153</v>
      </c>
      <c r="E309" s="270">
        <v>60000</v>
      </c>
      <c r="F309" s="271"/>
      <c r="G309" s="271" t="s">
        <v>667</v>
      </c>
      <c r="H309" s="266"/>
      <c r="I309" s="271" t="s">
        <v>668</v>
      </c>
      <c r="J309" s="349" t="s">
        <v>184</v>
      </c>
      <c r="K309" s="349"/>
      <c r="L309" s="297"/>
      <c r="M309" s="297"/>
      <c r="N309" s="297"/>
    </row>
    <row r="310" spans="1:14" s="289" customFormat="1" ht="13.5" thickBot="1">
      <c r="A310" s="345"/>
      <c r="B310" s="263" t="s">
        <v>158</v>
      </c>
      <c r="C310" s="347"/>
      <c r="D310" s="347" t="s">
        <v>159</v>
      </c>
      <c r="E310" s="351"/>
      <c r="F310" s="341"/>
      <c r="G310" s="341"/>
      <c r="H310" s="341"/>
      <c r="I310" s="341"/>
      <c r="J310" s="349"/>
      <c r="K310" s="349"/>
      <c r="L310" s="297"/>
      <c r="M310" s="297"/>
      <c r="N310" s="297"/>
    </row>
    <row r="311" spans="1:14" s="289" customFormat="1" ht="13.5" thickBot="1">
      <c r="A311" s="346"/>
      <c r="B311" s="276" t="s">
        <v>943</v>
      </c>
      <c r="C311" s="348"/>
      <c r="D311" s="348"/>
      <c r="E311" s="352"/>
      <c r="F311" s="342"/>
      <c r="G311" s="342"/>
      <c r="H311" s="342"/>
      <c r="I311" s="342"/>
      <c r="J311" s="350"/>
      <c r="K311" s="350"/>
      <c r="L311" s="297"/>
      <c r="M311" s="297"/>
      <c r="N311" s="297"/>
    </row>
    <row r="312" spans="1:11" s="289" customFormat="1" ht="13.5" thickBot="1">
      <c r="A312" s="337"/>
      <c r="B312" s="338"/>
      <c r="C312" s="338"/>
      <c r="D312" s="338"/>
      <c r="E312" s="339">
        <f>SUM(E309)</f>
        <v>60000</v>
      </c>
      <c r="F312" s="338"/>
      <c r="G312" s="338"/>
      <c r="H312" s="338"/>
      <c r="I312" s="338"/>
      <c r="J312" s="338"/>
      <c r="K312" s="340"/>
    </row>
    <row r="313" spans="1:13" s="289" customFormat="1" ht="12.75">
      <c r="A313" s="305"/>
      <c r="B313" s="25"/>
      <c r="C313" s="25"/>
      <c r="D313" s="25"/>
      <c r="E313" s="304"/>
      <c r="F313" s="25"/>
      <c r="G313" s="25"/>
      <c r="H313" s="25"/>
      <c r="I313" s="25"/>
      <c r="J313" s="25"/>
      <c r="K313" s="25"/>
      <c r="L313" s="25"/>
      <c r="M313" s="25"/>
    </row>
    <row r="314" spans="1:13" s="289" customFormat="1" ht="12.75">
      <c r="A314" s="305"/>
      <c r="B314" s="25"/>
      <c r="C314" s="25"/>
      <c r="D314" s="25"/>
      <c r="E314" s="308">
        <f>SUM(E166+E245+E264+E280+E306+E312)</f>
        <v>200000000</v>
      </c>
      <c r="F314" s="25"/>
      <c r="G314" s="25"/>
      <c r="H314" s="25"/>
      <c r="I314" s="25"/>
      <c r="J314" s="25"/>
      <c r="K314" s="25"/>
      <c r="L314" s="25"/>
      <c r="M314" s="25"/>
    </row>
    <row r="315" spans="1:13" s="289" customFormat="1" ht="12.75">
      <c r="A315" s="305"/>
      <c r="B315" s="25"/>
      <c r="C315" s="25"/>
      <c r="D315" s="25"/>
      <c r="E315" s="308"/>
      <c r="F315" s="25"/>
      <c r="G315" s="25"/>
      <c r="H315" s="25"/>
      <c r="I315" s="25"/>
      <c r="J315" s="25"/>
      <c r="K315" s="25"/>
      <c r="L315" s="25"/>
      <c r="M315" s="25"/>
    </row>
    <row r="316" spans="1:13" s="289" customFormat="1" ht="12.75">
      <c r="A316" s="25"/>
      <c r="B316" s="25"/>
      <c r="C316" s="25"/>
      <c r="D316" s="25"/>
      <c r="E316" s="304"/>
      <c r="F316" s="25"/>
      <c r="G316" s="25"/>
      <c r="H316" s="25"/>
      <c r="I316" s="25"/>
      <c r="J316" s="25"/>
      <c r="K316" s="25"/>
      <c r="L316" s="25"/>
      <c r="M316" s="25"/>
    </row>
    <row r="317" spans="1:13" s="289" customFormat="1" ht="12.75">
      <c r="A317" s="309"/>
      <c r="B317" s="309"/>
      <c r="C317" s="309"/>
      <c r="D317" s="309"/>
      <c r="E317" s="308"/>
      <c r="F317" s="25"/>
      <c r="G317" s="25"/>
      <c r="H317" s="25"/>
      <c r="I317" s="25"/>
      <c r="J317" s="25"/>
      <c r="K317" s="25"/>
      <c r="L317" s="25"/>
      <c r="M317" s="25"/>
    </row>
    <row r="318" spans="1:13" s="289" customFormat="1" ht="12.75">
      <c r="A318" s="25"/>
      <c r="B318" s="25"/>
      <c r="C318" s="25"/>
      <c r="D318" s="25"/>
      <c r="E318" s="306"/>
      <c r="F318" s="25"/>
      <c r="G318" s="25"/>
      <c r="H318" s="25"/>
      <c r="I318" s="25"/>
      <c r="J318" s="25"/>
      <c r="K318" s="25"/>
      <c r="L318" s="25"/>
      <c r="M318" s="25"/>
    </row>
    <row r="319" spans="1:13" s="289" customFormat="1" ht="12.75">
      <c r="A319" s="25"/>
      <c r="B319" s="25"/>
      <c r="C319" s="25"/>
      <c r="D319" s="25"/>
      <c r="E319" s="306"/>
      <c r="F319" s="25"/>
      <c r="G319" s="25"/>
      <c r="H319" s="25"/>
      <c r="I319" s="25"/>
      <c r="J319" s="25"/>
      <c r="K319" s="25"/>
      <c r="L319" s="25"/>
      <c r="M319" s="25"/>
    </row>
    <row r="320" spans="1:13" s="289" customFormat="1" ht="12.75">
      <c r="A320" s="25"/>
      <c r="B320" s="25"/>
      <c r="C320" s="25"/>
      <c r="D320" s="25"/>
      <c r="E320" s="306"/>
      <c r="F320" s="25"/>
      <c r="G320" s="25"/>
      <c r="H320" s="25"/>
      <c r="I320" s="25"/>
      <c r="J320" s="25"/>
      <c r="K320" s="25"/>
      <c r="L320" s="25"/>
      <c r="M320" s="25"/>
    </row>
    <row r="321" ht="12.75">
      <c r="E321" s="304"/>
    </row>
    <row r="322" ht="12.75">
      <c r="E322" s="307"/>
    </row>
  </sheetData>
  <sheetProtection selectLockedCells="1" selectUnlockedCells="1"/>
  <mergeCells count="1112">
    <mergeCell ref="E6:E7"/>
    <mergeCell ref="F6:F7"/>
    <mergeCell ref="G6:G7"/>
    <mergeCell ref="H6:H7"/>
    <mergeCell ref="A6:A7"/>
    <mergeCell ref="B6:B7"/>
    <mergeCell ref="C6:C7"/>
    <mergeCell ref="I6:I7"/>
    <mergeCell ref="L10:L11"/>
    <mergeCell ref="D6:D7"/>
    <mergeCell ref="K6:K7"/>
    <mergeCell ref="L6:L7"/>
    <mergeCell ref="H10:H11"/>
    <mergeCell ref="I10:I11"/>
    <mergeCell ref="J10:J11"/>
    <mergeCell ref="K10:K11"/>
    <mergeCell ref="J6:J7"/>
    <mergeCell ref="A12:A14"/>
    <mergeCell ref="C12:C14"/>
    <mergeCell ref="L13:L14"/>
    <mergeCell ref="A9:A11"/>
    <mergeCell ref="C9:C11"/>
    <mergeCell ref="G13:G14"/>
    <mergeCell ref="H13:H14"/>
    <mergeCell ref="I13:I14"/>
    <mergeCell ref="J13:J14"/>
    <mergeCell ref="M9:M11"/>
    <mergeCell ref="D10:D11"/>
    <mergeCell ref="E10:E11"/>
    <mergeCell ref="F10:F11"/>
    <mergeCell ref="G10:G11"/>
    <mergeCell ref="M12:M14"/>
    <mergeCell ref="D13:D14"/>
    <mergeCell ref="E13:E14"/>
    <mergeCell ref="F13:F14"/>
    <mergeCell ref="K13:K14"/>
    <mergeCell ref="M15:M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18:A20"/>
    <mergeCell ref="C18:C20"/>
    <mergeCell ref="L19:L20"/>
    <mergeCell ref="A15:A17"/>
    <mergeCell ref="C15:C17"/>
    <mergeCell ref="M18:M20"/>
    <mergeCell ref="D19:D20"/>
    <mergeCell ref="E19:E20"/>
    <mergeCell ref="F19:F20"/>
    <mergeCell ref="G19:G20"/>
    <mergeCell ref="H19:H20"/>
    <mergeCell ref="I19:I20"/>
    <mergeCell ref="J19:J20"/>
    <mergeCell ref="K19:K20"/>
    <mergeCell ref="M21:M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4:A26"/>
    <mergeCell ref="C24:C26"/>
    <mergeCell ref="L25:L26"/>
    <mergeCell ref="A21:A23"/>
    <mergeCell ref="C21:C23"/>
    <mergeCell ref="M24:M26"/>
    <mergeCell ref="D25:D26"/>
    <mergeCell ref="E25:E26"/>
    <mergeCell ref="F25:F26"/>
    <mergeCell ref="G25:G26"/>
    <mergeCell ref="H25:H26"/>
    <mergeCell ref="I25:I26"/>
    <mergeCell ref="J25:J26"/>
    <mergeCell ref="K25:K26"/>
    <mergeCell ref="M27:M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30:A32"/>
    <mergeCell ref="C30:C32"/>
    <mergeCell ref="L31:L32"/>
    <mergeCell ref="A27:A29"/>
    <mergeCell ref="C27:C29"/>
    <mergeCell ref="M30:M32"/>
    <mergeCell ref="D31:D32"/>
    <mergeCell ref="E31:E32"/>
    <mergeCell ref="F31:F32"/>
    <mergeCell ref="G31:G32"/>
    <mergeCell ref="H31:H32"/>
    <mergeCell ref="I31:I32"/>
    <mergeCell ref="J31:J32"/>
    <mergeCell ref="K31:K32"/>
    <mergeCell ref="M33:M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A36:A38"/>
    <mergeCell ref="C36:C38"/>
    <mergeCell ref="L37:L38"/>
    <mergeCell ref="A33:A35"/>
    <mergeCell ref="C33:C35"/>
    <mergeCell ref="M36:M38"/>
    <mergeCell ref="D37:D38"/>
    <mergeCell ref="E37:E38"/>
    <mergeCell ref="F37:F38"/>
    <mergeCell ref="G37:G38"/>
    <mergeCell ref="H37:H38"/>
    <mergeCell ref="I37:I38"/>
    <mergeCell ref="J37:J38"/>
    <mergeCell ref="K37:K38"/>
    <mergeCell ref="M39:M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A44:A46"/>
    <mergeCell ref="C44:C46"/>
    <mergeCell ref="L45:L46"/>
    <mergeCell ref="A39:A41"/>
    <mergeCell ref="C39:C41"/>
    <mergeCell ref="M44:M46"/>
    <mergeCell ref="D45:D46"/>
    <mergeCell ref="E45:E46"/>
    <mergeCell ref="F45:F46"/>
    <mergeCell ref="G45:G46"/>
    <mergeCell ref="H45:H46"/>
    <mergeCell ref="I45:I46"/>
    <mergeCell ref="J45:J46"/>
    <mergeCell ref="K45:K46"/>
    <mergeCell ref="M47:M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50:A52"/>
    <mergeCell ref="C50:C52"/>
    <mergeCell ref="L51:L52"/>
    <mergeCell ref="A47:A49"/>
    <mergeCell ref="C47:C49"/>
    <mergeCell ref="M50:M52"/>
    <mergeCell ref="D51:D52"/>
    <mergeCell ref="E51:E52"/>
    <mergeCell ref="F51:F52"/>
    <mergeCell ref="G51:G52"/>
    <mergeCell ref="H51:H52"/>
    <mergeCell ref="I51:I52"/>
    <mergeCell ref="J51:J52"/>
    <mergeCell ref="K51:K52"/>
    <mergeCell ref="M53:M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A56:A58"/>
    <mergeCell ref="C56:C58"/>
    <mergeCell ref="L57:L58"/>
    <mergeCell ref="A53:A55"/>
    <mergeCell ref="C53:C55"/>
    <mergeCell ref="M56:M58"/>
    <mergeCell ref="D57:D58"/>
    <mergeCell ref="E57:E58"/>
    <mergeCell ref="F57:F58"/>
    <mergeCell ref="G57:G58"/>
    <mergeCell ref="H57:H58"/>
    <mergeCell ref="I57:I58"/>
    <mergeCell ref="J57:J58"/>
    <mergeCell ref="K57:K58"/>
    <mergeCell ref="M59:M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A62:A64"/>
    <mergeCell ref="C62:C64"/>
    <mergeCell ref="L63:L64"/>
    <mergeCell ref="A59:A61"/>
    <mergeCell ref="C59:C61"/>
    <mergeCell ref="M62:M64"/>
    <mergeCell ref="D63:D64"/>
    <mergeCell ref="E63:E64"/>
    <mergeCell ref="F63:F64"/>
    <mergeCell ref="G63:G64"/>
    <mergeCell ref="H63:H64"/>
    <mergeCell ref="I63:I64"/>
    <mergeCell ref="J63:J64"/>
    <mergeCell ref="K63:K64"/>
    <mergeCell ref="M65:M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A68:A70"/>
    <mergeCell ref="C68:C70"/>
    <mergeCell ref="L69:L70"/>
    <mergeCell ref="A65:A67"/>
    <mergeCell ref="C65:C67"/>
    <mergeCell ref="M68:M70"/>
    <mergeCell ref="D69:D70"/>
    <mergeCell ref="E69:E70"/>
    <mergeCell ref="F69:F70"/>
    <mergeCell ref="G69:G70"/>
    <mergeCell ref="H69:H70"/>
    <mergeCell ref="I69:I70"/>
    <mergeCell ref="J69:J70"/>
    <mergeCell ref="K69:K70"/>
    <mergeCell ref="M74:M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A79:A81"/>
    <mergeCell ref="C79:C81"/>
    <mergeCell ref="L80:L81"/>
    <mergeCell ref="A74:A76"/>
    <mergeCell ref="C74:C76"/>
    <mergeCell ref="M79:M81"/>
    <mergeCell ref="D80:D81"/>
    <mergeCell ref="E80:E81"/>
    <mergeCell ref="F80:F81"/>
    <mergeCell ref="G80:G81"/>
    <mergeCell ref="H80:H81"/>
    <mergeCell ref="I80:I81"/>
    <mergeCell ref="J80:J81"/>
    <mergeCell ref="K80:K81"/>
    <mergeCell ref="M82:M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A85:A87"/>
    <mergeCell ref="C85:C87"/>
    <mergeCell ref="L86:L87"/>
    <mergeCell ref="A82:A84"/>
    <mergeCell ref="C82:C84"/>
    <mergeCell ref="M85:M87"/>
    <mergeCell ref="D86:D87"/>
    <mergeCell ref="E86:E87"/>
    <mergeCell ref="F86:F87"/>
    <mergeCell ref="G86:G87"/>
    <mergeCell ref="H86:H87"/>
    <mergeCell ref="I86:I87"/>
    <mergeCell ref="J86:J87"/>
    <mergeCell ref="K86:K87"/>
    <mergeCell ref="M88:M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A91:A93"/>
    <mergeCell ref="C91:C93"/>
    <mergeCell ref="L92:L93"/>
    <mergeCell ref="A88:A90"/>
    <mergeCell ref="C88:C90"/>
    <mergeCell ref="M91:M93"/>
    <mergeCell ref="D92:D93"/>
    <mergeCell ref="E92:E93"/>
    <mergeCell ref="F92:F93"/>
    <mergeCell ref="G92:G93"/>
    <mergeCell ref="H92:H93"/>
    <mergeCell ref="I92:I93"/>
    <mergeCell ref="J92:J93"/>
    <mergeCell ref="K92:K93"/>
    <mergeCell ref="M94:M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A97:A99"/>
    <mergeCell ref="C97:C99"/>
    <mergeCell ref="L98:L99"/>
    <mergeCell ref="A94:A96"/>
    <mergeCell ref="C94:C96"/>
    <mergeCell ref="M97:M99"/>
    <mergeCell ref="D98:D99"/>
    <mergeCell ref="E98:E99"/>
    <mergeCell ref="F98:F99"/>
    <mergeCell ref="G98:G99"/>
    <mergeCell ref="H98:H99"/>
    <mergeCell ref="I98:I99"/>
    <mergeCell ref="J98:J99"/>
    <mergeCell ref="K98:K99"/>
    <mergeCell ref="M100:M103"/>
    <mergeCell ref="D101:D103"/>
    <mergeCell ref="E101:E103"/>
    <mergeCell ref="F101:F103"/>
    <mergeCell ref="G101:G103"/>
    <mergeCell ref="H101:H103"/>
    <mergeCell ref="I101:I103"/>
    <mergeCell ref="J101:J103"/>
    <mergeCell ref="K101:K103"/>
    <mergeCell ref="L101:L103"/>
    <mergeCell ref="A106:A108"/>
    <mergeCell ref="C106:C108"/>
    <mergeCell ref="L107:L108"/>
    <mergeCell ref="A100:A103"/>
    <mergeCell ref="C100:C103"/>
    <mergeCell ref="M106:M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M109:M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A112:A114"/>
    <mergeCell ref="C112:C114"/>
    <mergeCell ref="L113:L114"/>
    <mergeCell ref="A109:A111"/>
    <mergeCell ref="C109:C111"/>
    <mergeCell ref="M112:M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M115:M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A118:A120"/>
    <mergeCell ref="C118:C120"/>
    <mergeCell ref="L119:L120"/>
    <mergeCell ref="A115:A117"/>
    <mergeCell ref="C115:C117"/>
    <mergeCell ref="M118:M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M121:M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A124:A126"/>
    <mergeCell ref="C124:C126"/>
    <mergeCell ref="L125:L126"/>
    <mergeCell ref="A121:A123"/>
    <mergeCell ref="C121:C123"/>
    <mergeCell ref="M124:M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M127:M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A130:A132"/>
    <mergeCell ref="C130:C132"/>
    <mergeCell ref="L131:L132"/>
    <mergeCell ref="A127:A129"/>
    <mergeCell ref="C127:C129"/>
    <mergeCell ref="M130:M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3:M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A136:A138"/>
    <mergeCell ref="C136:C138"/>
    <mergeCell ref="L137:L138"/>
    <mergeCell ref="A133:A135"/>
    <mergeCell ref="C133:C135"/>
    <mergeCell ref="M136:M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M139:M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A142:A144"/>
    <mergeCell ref="C142:C144"/>
    <mergeCell ref="L143:L144"/>
    <mergeCell ref="A139:A141"/>
    <mergeCell ref="C139:C141"/>
    <mergeCell ref="M142:M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M147:M149"/>
    <mergeCell ref="D148:D149"/>
    <mergeCell ref="E148:E149"/>
    <mergeCell ref="F148:F149"/>
    <mergeCell ref="G148:G149"/>
    <mergeCell ref="H148:H149"/>
    <mergeCell ref="I148:I149"/>
    <mergeCell ref="J148:J149"/>
    <mergeCell ref="M150:M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K148:K149"/>
    <mergeCell ref="L148:L149"/>
    <mergeCell ref="C153:C155"/>
    <mergeCell ref="C150:C152"/>
    <mergeCell ref="C147:C149"/>
    <mergeCell ref="I157:I158"/>
    <mergeCell ref="J157:J158"/>
    <mergeCell ref="M153:M155"/>
    <mergeCell ref="D154:D155"/>
    <mergeCell ref="E154:E155"/>
    <mergeCell ref="F154:F155"/>
    <mergeCell ref="G154:G155"/>
    <mergeCell ref="H154:H155"/>
    <mergeCell ref="I154:I155"/>
    <mergeCell ref="J154:J155"/>
    <mergeCell ref="C159:C161"/>
    <mergeCell ref="C156:C158"/>
    <mergeCell ref="M156:M158"/>
    <mergeCell ref="D157:D158"/>
    <mergeCell ref="E157:E158"/>
    <mergeCell ref="F157:F158"/>
    <mergeCell ref="G157:G158"/>
    <mergeCell ref="H157:H158"/>
    <mergeCell ref="J160:J161"/>
    <mergeCell ref="K160:K161"/>
    <mergeCell ref="L160:L161"/>
    <mergeCell ref="K157:K158"/>
    <mergeCell ref="L157:L158"/>
    <mergeCell ref="K154:K155"/>
    <mergeCell ref="L154:L155"/>
    <mergeCell ref="M163:M165"/>
    <mergeCell ref="D164:D165"/>
    <mergeCell ref="J164:J165"/>
    <mergeCell ref="M159:M161"/>
    <mergeCell ref="D160:D161"/>
    <mergeCell ref="E160:E161"/>
    <mergeCell ref="F160:F161"/>
    <mergeCell ref="G160:G161"/>
    <mergeCell ref="H160:H161"/>
    <mergeCell ref="I160:I161"/>
    <mergeCell ref="A159:A161"/>
    <mergeCell ref="E164:E165"/>
    <mergeCell ref="F164:F165"/>
    <mergeCell ref="G164:G165"/>
    <mergeCell ref="H164:H165"/>
    <mergeCell ref="I164:I165"/>
    <mergeCell ref="A163:A165"/>
    <mergeCell ref="C163:C165"/>
    <mergeCell ref="A168:A169"/>
    <mergeCell ref="B168:B169"/>
    <mergeCell ref="C168:C169"/>
    <mergeCell ref="D168:D169"/>
    <mergeCell ref="E168:E169"/>
    <mergeCell ref="F168:F169"/>
    <mergeCell ref="J168:J169"/>
    <mergeCell ref="K168:K169"/>
    <mergeCell ref="L168:L169"/>
    <mergeCell ref="K164:K165"/>
    <mergeCell ref="L164:L165"/>
    <mergeCell ref="E171:E172"/>
    <mergeCell ref="F171:F172"/>
    <mergeCell ref="G171:G172"/>
    <mergeCell ref="H171:H172"/>
    <mergeCell ref="H168:H169"/>
    <mergeCell ref="I168:I169"/>
    <mergeCell ref="G168:G169"/>
    <mergeCell ref="L171:L172"/>
    <mergeCell ref="A173:A175"/>
    <mergeCell ref="C173:C175"/>
    <mergeCell ref="L174:L175"/>
    <mergeCell ref="M168:M169"/>
    <mergeCell ref="A170:A172"/>
    <mergeCell ref="C170:C172"/>
    <mergeCell ref="M170:M172"/>
    <mergeCell ref="D171:D172"/>
    <mergeCell ref="I174:I175"/>
    <mergeCell ref="J174:J175"/>
    <mergeCell ref="K174:K175"/>
    <mergeCell ref="I171:I172"/>
    <mergeCell ref="J171:J172"/>
    <mergeCell ref="K171:K172"/>
    <mergeCell ref="E177:E178"/>
    <mergeCell ref="F177:F178"/>
    <mergeCell ref="G177:G178"/>
    <mergeCell ref="M173:M175"/>
    <mergeCell ref="D174:D175"/>
    <mergeCell ref="E174:E175"/>
    <mergeCell ref="F174:F175"/>
    <mergeCell ref="G174:G175"/>
    <mergeCell ref="H174:H175"/>
    <mergeCell ref="M179:M181"/>
    <mergeCell ref="J180:J181"/>
    <mergeCell ref="K180:K181"/>
    <mergeCell ref="L180:L181"/>
    <mergeCell ref="A176:A178"/>
    <mergeCell ref="C176:C178"/>
    <mergeCell ref="L177:L178"/>
    <mergeCell ref="M176:M178"/>
    <mergeCell ref="D177:D178"/>
    <mergeCell ref="I180:I181"/>
    <mergeCell ref="H177:H178"/>
    <mergeCell ref="I177:I178"/>
    <mergeCell ref="J177:J178"/>
    <mergeCell ref="K177:K178"/>
    <mergeCell ref="A182:A184"/>
    <mergeCell ref="C182:C184"/>
    <mergeCell ref="L183:L184"/>
    <mergeCell ref="A179:A181"/>
    <mergeCell ref="C179:C181"/>
    <mergeCell ref="D180:D181"/>
    <mergeCell ref="E180:E181"/>
    <mergeCell ref="F180:F181"/>
    <mergeCell ref="G180:G181"/>
    <mergeCell ref="H180:H181"/>
    <mergeCell ref="M182:M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M185:M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A188:A190"/>
    <mergeCell ref="C188:C190"/>
    <mergeCell ref="L189:L190"/>
    <mergeCell ref="A185:A187"/>
    <mergeCell ref="C185:C187"/>
    <mergeCell ref="M188:M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M191:M193"/>
    <mergeCell ref="D192:D193"/>
    <mergeCell ref="E192:E193"/>
    <mergeCell ref="F192:F193"/>
    <mergeCell ref="G192:G193"/>
    <mergeCell ref="H192:H193"/>
    <mergeCell ref="I192:I193"/>
    <mergeCell ref="J192:J193"/>
    <mergeCell ref="M194:M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K192:K193"/>
    <mergeCell ref="L192:L193"/>
    <mergeCell ref="C197:C199"/>
    <mergeCell ref="C194:C196"/>
    <mergeCell ref="C191:C193"/>
    <mergeCell ref="M197:M199"/>
    <mergeCell ref="D198:D199"/>
    <mergeCell ref="E198:E199"/>
    <mergeCell ref="F198:F199"/>
    <mergeCell ref="G198:G199"/>
    <mergeCell ref="H198:H199"/>
    <mergeCell ref="I198:I199"/>
    <mergeCell ref="J198:J199"/>
    <mergeCell ref="M200:M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K198:K199"/>
    <mergeCell ref="L198:L199"/>
    <mergeCell ref="C203:C205"/>
    <mergeCell ref="C200:C202"/>
    <mergeCell ref="M203:M205"/>
    <mergeCell ref="D204:D205"/>
    <mergeCell ref="E204:E205"/>
    <mergeCell ref="F204:F205"/>
    <mergeCell ref="G204:G205"/>
    <mergeCell ref="H204:H205"/>
    <mergeCell ref="I204:I205"/>
    <mergeCell ref="J204:J205"/>
    <mergeCell ref="M206:M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K204:K205"/>
    <mergeCell ref="L204:L205"/>
    <mergeCell ref="C209:C211"/>
    <mergeCell ref="C206:C208"/>
    <mergeCell ref="M209:M211"/>
    <mergeCell ref="D210:D211"/>
    <mergeCell ref="E210:E211"/>
    <mergeCell ref="F210:F211"/>
    <mergeCell ref="J210:J211"/>
    <mergeCell ref="K210:K211"/>
    <mergeCell ref="L210:L211"/>
    <mergeCell ref="G210:G211"/>
    <mergeCell ref="H210:H211"/>
    <mergeCell ref="I210:I211"/>
    <mergeCell ref="M212:M214"/>
    <mergeCell ref="D213:D214"/>
    <mergeCell ref="E213:E214"/>
    <mergeCell ref="F213:F214"/>
    <mergeCell ref="G213:G214"/>
    <mergeCell ref="H213:H214"/>
    <mergeCell ref="I213:I214"/>
    <mergeCell ref="J213:J214"/>
    <mergeCell ref="L213:L214"/>
    <mergeCell ref="C215:C217"/>
    <mergeCell ref="M215:M217"/>
    <mergeCell ref="D216:D217"/>
    <mergeCell ref="E216:E217"/>
    <mergeCell ref="F216:F217"/>
    <mergeCell ref="G216:G217"/>
    <mergeCell ref="H216:H217"/>
    <mergeCell ref="C212:C214"/>
    <mergeCell ref="C218:C220"/>
    <mergeCell ref="D219:D220"/>
    <mergeCell ref="E219:E220"/>
    <mergeCell ref="F219:F220"/>
    <mergeCell ref="G219:G220"/>
    <mergeCell ref="K213:K214"/>
    <mergeCell ref="H219:H220"/>
    <mergeCell ref="I219:I220"/>
    <mergeCell ref="J219:J220"/>
    <mergeCell ref="K219:K220"/>
    <mergeCell ref="L219:L220"/>
    <mergeCell ref="I216:I217"/>
    <mergeCell ref="J216:J217"/>
    <mergeCell ref="K216:K217"/>
    <mergeCell ref="L216:L217"/>
    <mergeCell ref="M219:M220"/>
    <mergeCell ref="C221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C224:C226"/>
    <mergeCell ref="D225:D226"/>
    <mergeCell ref="E225:E226"/>
    <mergeCell ref="F225:F226"/>
    <mergeCell ref="G225:G226"/>
    <mergeCell ref="H225:H226"/>
    <mergeCell ref="I225:I226"/>
    <mergeCell ref="M225:M226"/>
    <mergeCell ref="C227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J225:J226"/>
    <mergeCell ref="K225:K226"/>
    <mergeCell ref="L225:L226"/>
    <mergeCell ref="M228:M229"/>
    <mergeCell ref="C230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J234:J235"/>
    <mergeCell ref="L231:L232"/>
    <mergeCell ref="M231:M232"/>
    <mergeCell ref="C233:C235"/>
    <mergeCell ref="D234:D235"/>
    <mergeCell ref="E234:E235"/>
    <mergeCell ref="F234:F235"/>
    <mergeCell ref="G234:G235"/>
    <mergeCell ref="H234:H235"/>
    <mergeCell ref="I234:I235"/>
    <mergeCell ref="K234:K235"/>
    <mergeCell ref="K237:K238"/>
    <mergeCell ref="L237:L238"/>
    <mergeCell ref="L234:L235"/>
    <mergeCell ref="M234:M235"/>
    <mergeCell ref="A236:A238"/>
    <mergeCell ref="C236:C238"/>
    <mergeCell ref="M236:M238"/>
    <mergeCell ref="D237:D238"/>
    <mergeCell ref="A239:A241"/>
    <mergeCell ref="C239:C241"/>
    <mergeCell ref="L240:L241"/>
    <mergeCell ref="E237:E238"/>
    <mergeCell ref="F237:F238"/>
    <mergeCell ref="G237:G238"/>
    <mergeCell ref="H237:H238"/>
    <mergeCell ref="I237:I238"/>
    <mergeCell ref="J237:J238"/>
    <mergeCell ref="M239:M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A242:A244"/>
    <mergeCell ref="C242:C244"/>
    <mergeCell ref="M242:M244"/>
    <mergeCell ref="D243:D244"/>
    <mergeCell ref="E243:E244"/>
    <mergeCell ref="F243:F244"/>
    <mergeCell ref="G243:G244"/>
    <mergeCell ref="H243:H244"/>
    <mergeCell ref="I243:I244"/>
    <mergeCell ref="L247:L248"/>
    <mergeCell ref="J243:J244"/>
    <mergeCell ref="K243:K244"/>
    <mergeCell ref="L243:L244"/>
    <mergeCell ref="A247:A248"/>
    <mergeCell ref="B247:B248"/>
    <mergeCell ref="C247:C248"/>
    <mergeCell ref="D247:D248"/>
    <mergeCell ref="E247:E248"/>
    <mergeCell ref="F247:F248"/>
    <mergeCell ref="M247:M248"/>
    <mergeCell ref="A249:A251"/>
    <mergeCell ref="C249:C251"/>
    <mergeCell ref="M249:M251"/>
    <mergeCell ref="D250:D251"/>
    <mergeCell ref="E250:E251"/>
    <mergeCell ref="F250:F251"/>
    <mergeCell ref="G250:G251"/>
    <mergeCell ref="G247:G248"/>
    <mergeCell ref="H250:H251"/>
    <mergeCell ref="I250:I251"/>
    <mergeCell ref="J250:J251"/>
    <mergeCell ref="K250:K251"/>
    <mergeCell ref="L250:L251"/>
    <mergeCell ref="H247:H248"/>
    <mergeCell ref="I247:I248"/>
    <mergeCell ref="J247:J248"/>
    <mergeCell ref="K247:K248"/>
    <mergeCell ref="A252:A254"/>
    <mergeCell ref="C252:C254"/>
    <mergeCell ref="M252:M254"/>
    <mergeCell ref="D253:D254"/>
    <mergeCell ref="E253:E254"/>
    <mergeCell ref="F253:F254"/>
    <mergeCell ref="G253:G254"/>
    <mergeCell ref="H253:H254"/>
    <mergeCell ref="I253:I254"/>
    <mergeCell ref="I256:I257"/>
    <mergeCell ref="J253:J254"/>
    <mergeCell ref="K253:K254"/>
    <mergeCell ref="L253:L254"/>
    <mergeCell ref="M255:M257"/>
    <mergeCell ref="J256:J257"/>
    <mergeCell ref="K256:K257"/>
    <mergeCell ref="L256:L257"/>
    <mergeCell ref="A258:A260"/>
    <mergeCell ref="C258:C260"/>
    <mergeCell ref="L259:L260"/>
    <mergeCell ref="A255:A257"/>
    <mergeCell ref="C255:C257"/>
    <mergeCell ref="D256:D257"/>
    <mergeCell ref="E256:E257"/>
    <mergeCell ref="F256:F257"/>
    <mergeCell ref="G256:G257"/>
    <mergeCell ref="H256:H257"/>
    <mergeCell ref="M258:M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A261:A263"/>
    <mergeCell ref="C261:C263"/>
    <mergeCell ref="M261:M263"/>
    <mergeCell ref="D262:D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I266:J266"/>
    <mergeCell ref="C267:C269"/>
    <mergeCell ref="I267:J269"/>
    <mergeCell ref="K267:K269"/>
    <mergeCell ref="D268:D269"/>
    <mergeCell ref="E268:E269"/>
    <mergeCell ref="F268:F269"/>
    <mergeCell ref="G268:G269"/>
    <mergeCell ref="H268:H269"/>
    <mergeCell ref="A270:A272"/>
    <mergeCell ref="C270:C272"/>
    <mergeCell ref="I270:J272"/>
    <mergeCell ref="H275:H276"/>
    <mergeCell ref="K270:K272"/>
    <mergeCell ref="D271:D272"/>
    <mergeCell ref="E271:E272"/>
    <mergeCell ref="F271:F272"/>
    <mergeCell ref="G271:G272"/>
    <mergeCell ref="H271:H272"/>
    <mergeCell ref="H278:H279"/>
    <mergeCell ref="A273:J273"/>
    <mergeCell ref="A274:A276"/>
    <mergeCell ref="C274:C276"/>
    <mergeCell ref="I274:J276"/>
    <mergeCell ref="K274:K276"/>
    <mergeCell ref="D275:D276"/>
    <mergeCell ref="E275:E276"/>
    <mergeCell ref="F275:F276"/>
    <mergeCell ref="G275:G276"/>
    <mergeCell ref="J282:J283"/>
    <mergeCell ref="K282:K283"/>
    <mergeCell ref="A277:A279"/>
    <mergeCell ref="C277:C279"/>
    <mergeCell ref="I277:J279"/>
    <mergeCell ref="K277:K279"/>
    <mergeCell ref="D278:D279"/>
    <mergeCell ref="E278:E279"/>
    <mergeCell ref="F278:F279"/>
    <mergeCell ref="G278:G279"/>
    <mergeCell ref="C282:C283"/>
    <mergeCell ref="D282:D283"/>
    <mergeCell ref="E282:E283"/>
    <mergeCell ref="F282:F283"/>
    <mergeCell ref="I282:I283"/>
    <mergeCell ref="H282:H283"/>
    <mergeCell ref="G282:G283"/>
    <mergeCell ref="N282:N283"/>
    <mergeCell ref="A284:A286"/>
    <mergeCell ref="C284:C286"/>
    <mergeCell ref="L285:L286"/>
    <mergeCell ref="M285:M286"/>
    <mergeCell ref="L282:L283"/>
    <mergeCell ref="A282:A283"/>
    <mergeCell ref="B282:B283"/>
    <mergeCell ref="O284:O286"/>
    <mergeCell ref="D285:D286"/>
    <mergeCell ref="E285:E286"/>
    <mergeCell ref="F285:F286"/>
    <mergeCell ref="G285:G286"/>
    <mergeCell ref="H285:H286"/>
    <mergeCell ref="N285:N286"/>
    <mergeCell ref="K285:K286"/>
    <mergeCell ref="J285:J286"/>
    <mergeCell ref="D288:D289"/>
    <mergeCell ref="E288:E289"/>
    <mergeCell ref="F288:F289"/>
    <mergeCell ref="G288:G289"/>
    <mergeCell ref="H288:H289"/>
    <mergeCell ref="M288:M289"/>
    <mergeCell ref="M292:M293"/>
    <mergeCell ref="I288:I289"/>
    <mergeCell ref="L292:L293"/>
    <mergeCell ref="O287:O289"/>
    <mergeCell ref="N288:N289"/>
    <mergeCell ref="J288:J289"/>
    <mergeCell ref="K288:K289"/>
    <mergeCell ref="L288:L289"/>
    <mergeCell ref="N292:N293"/>
    <mergeCell ref="A287:A289"/>
    <mergeCell ref="I292:I293"/>
    <mergeCell ref="J292:J293"/>
    <mergeCell ref="K292:K293"/>
    <mergeCell ref="C287:C289"/>
    <mergeCell ref="D292:D293"/>
    <mergeCell ref="O294:O296"/>
    <mergeCell ref="D295:D296"/>
    <mergeCell ref="N295:N296"/>
    <mergeCell ref="E295:E296"/>
    <mergeCell ref="F295:F296"/>
    <mergeCell ref="A291:A293"/>
    <mergeCell ref="C291:C293"/>
    <mergeCell ref="O291:O293"/>
    <mergeCell ref="E292:E293"/>
    <mergeCell ref="F292:F293"/>
    <mergeCell ref="O300:O302"/>
    <mergeCell ref="D301:D302"/>
    <mergeCell ref="E301:E302"/>
    <mergeCell ref="F301:F302"/>
    <mergeCell ref="G301:G302"/>
    <mergeCell ref="H298:H299"/>
    <mergeCell ref="L298:L299"/>
    <mergeCell ref="O297:O299"/>
    <mergeCell ref="D298:D299"/>
    <mergeCell ref="E298:E299"/>
    <mergeCell ref="A294:A296"/>
    <mergeCell ref="C294:C296"/>
    <mergeCell ref="G295:G296"/>
    <mergeCell ref="H295:H296"/>
    <mergeCell ref="L295:L296"/>
    <mergeCell ref="M298:M299"/>
    <mergeCell ref="N298:N299"/>
    <mergeCell ref="N304:N305"/>
    <mergeCell ref="L304:L305"/>
    <mergeCell ref="I295:I296"/>
    <mergeCell ref="J295:J296"/>
    <mergeCell ref="K295:K296"/>
    <mergeCell ref="M295:M296"/>
    <mergeCell ref="J304:J305"/>
    <mergeCell ref="O303:O305"/>
    <mergeCell ref="D304:D305"/>
    <mergeCell ref="E304:E305"/>
    <mergeCell ref="F304:F305"/>
    <mergeCell ref="G304:G305"/>
    <mergeCell ref="A300:A302"/>
    <mergeCell ref="C300:C302"/>
    <mergeCell ref="I298:I299"/>
    <mergeCell ref="J298:J299"/>
    <mergeCell ref="K298:K299"/>
    <mergeCell ref="A297:A299"/>
    <mergeCell ref="C297:C299"/>
    <mergeCell ref="F298:F299"/>
    <mergeCell ref="G298:G299"/>
    <mergeCell ref="M301:M302"/>
    <mergeCell ref="N301:N302"/>
    <mergeCell ref="K304:K305"/>
    <mergeCell ref="L301:L302"/>
    <mergeCell ref="M304:M305"/>
    <mergeCell ref="A309:A311"/>
    <mergeCell ref="C309:C311"/>
    <mergeCell ref="J309:K311"/>
    <mergeCell ref="A303:A305"/>
    <mergeCell ref="C303:C305"/>
    <mergeCell ref="J301:J302"/>
    <mergeCell ref="K301:K302"/>
    <mergeCell ref="D310:D311"/>
    <mergeCell ref="E310:E311"/>
    <mergeCell ref="F310:F311"/>
    <mergeCell ref="G310:G311"/>
    <mergeCell ref="H310:H311"/>
    <mergeCell ref="I310:I311"/>
    <mergeCell ref="I301:I302"/>
    <mergeCell ref="H292:H293"/>
    <mergeCell ref="I285:I286"/>
    <mergeCell ref="H304:H305"/>
    <mergeCell ref="H301:H302"/>
    <mergeCell ref="I304:I305"/>
    <mergeCell ref="G292:G293"/>
  </mergeCells>
  <printOptions/>
  <pageMargins left="0.31496062992125984" right="0.31496062992125984" top="0.1968503937007874" bottom="0.1968503937007874" header="0.5118110236220472" footer="0.5118110236220472"/>
  <pageSetup horizontalDpi="300" verticalDpi="300" orientation="landscape" paperSize="9" scale="68" r:id="rId1"/>
  <rowBreaks count="6" manualBreakCount="6">
    <brk id="42" max="15" man="1"/>
    <brk id="93" max="15" man="1"/>
    <brk id="138" max="15" man="1"/>
    <brk id="187" max="15" man="1"/>
    <brk id="226" max="15" man="1"/>
    <brk id="264" max="15" man="1"/>
  </rowBreaks>
  <colBreaks count="1" manualBreakCount="1">
    <brk id="12" max="3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56"/>
  <sheetViews>
    <sheetView showGridLines="0" zoomScale="90" zoomScaleNormal="90" zoomScaleSheetLayoutView="100" zoomScalePageLayoutView="0" workbookViewId="0" topLeftCell="B135">
      <selection activeCell="F142" sqref="F142"/>
    </sheetView>
  </sheetViews>
  <sheetFormatPr defaultColWidth="9.140625" defaultRowHeight="12.75"/>
  <cols>
    <col min="1" max="1" width="9.7109375" style="26" hidden="1" customWidth="1"/>
    <col min="2" max="2" width="6.140625" style="26" customWidth="1"/>
    <col min="3" max="3" width="88.7109375" style="27" customWidth="1"/>
    <col min="4" max="4" width="17.00390625" style="27" hidden="1" customWidth="1"/>
    <col min="5" max="5" width="17.00390625" style="28" hidden="1" customWidth="1"/>
    <col min="6" max="6" width="18.57421875" style="28" customWidth="1"/>
    <col min="7" max="7" width="15.28125" style="28" hidden="1" customWidth="1"/>
    <col min="8" max="8" width="17.421875" style="28" hidden="1" customWidth="1"/>
    <col min="9" max="9" width="14.28125" style="28" hidden="1" customWidth="1"/>
    <col min="10" max="10" width="8.140625" style="28" hidden="1" customWidth="1"/>
    <col min="11" max="11" width="7.421875" style="28" hidden="1" customWidth="1"/>
    <col min="12" max="12" width="5.57421875" style="27" hidden="1" customWidth="1"/>
    <col min="13" max="13" width="14.140625" style="27" hidden="1" customWidth="1"/>
    <col min="14" max="14" width="15.421875" style="27" customWidth="1"/>
    <col min="15" max="15" width="10.140625" style="27" hidden="1" customWidth="1"/>
    <col min="16" max="16" width="7.00390625" style="27" hidden="1" customWidth="1"/>
    <col min="17" max="17" width="7.28125" style="27" hidden="1" customWidth="1"/>
    <col min="18" max="18" width="13.28125" style="27" hidden="1" customWidth="1"/>
    <col min="19" max="19" width="12.7109375" style="27" hidden="1" customWidth="1"/>
    <col min="20" max="20" width="14.28125" style="27" customWidth="1"/>
    <col min="21" max="21" width="15.421875" style="27" customWidth="1"/>
    <col min="22" max="22" width="6.57421875" style="27" hidden="1" customWidth="1"/>
    <col min="23" max="23" width="6.7109375" style="27" hidden="1" customWidth="1"/>
    <col min="24" max="24" width="11.7109375" style="27" hidden="1" customWidth="1"/>
    <col min="25" max="27" width="10.140625" style="27" hidden="1" customWidth="1"/>
    <col min="28" max="28" width="12.7109375" style="27" hidden="1" customWidth="1"/>
    <col min="29" max="29" width="11.7109375" style="27" hidden="1" customWidth="1"/>
    <col min="30" max="30" width="6.57421875" style="27" hidden="1" customWidth="1"/>
    <col min="31" max="31" width="6.8515625" style="27" hidden="1" customWidth="1"/>
    <col min="32" max="32" width="7.140625" style="27" hidden="1" customWidth="1"/>
    <col min="33" max="33" width="7.00390625" style="27" hidden="1" customWidth="1"/>
    <col min="34" max="34" width="15.57421875" style="27" hidden="1" customWidth="1"/>
    <col min="35" max="35" width="14.140625" style="27" customWidth="1"/>
    <col min="36" max="36" width="14.8515625" style="27" hidden="1" customWidth="1"/>
    <col min="37" max="37" width="14.140625" style="27" customWidth="1"/>
    <col min="38" max="38" width="14.8515625" style="27" hidden="1" customWidth="1"/>
    <col min="39" max="39" width="17.00390625" style="27" customWidth="1"/>
    <col min="40" max="40" width="14.8515625" style="27" customWidth="1"/>
    <col min="41" max="41" width="12.8515625" style="28" customWidth="1"/>
    <col min="42" max="42" width="16.7109375" style="28" customWidth="1"/>
    <col min="43" max="43" width="13.421875" style="29" customWidth="1"/>
    <col min="44" max="16384" width="9.140625" style="28" customWidth="1"/>
  </cols>
  <sheetData>
    <row r="1" spans="1:40" ht="18.75" customHeight="1">
      <c r="A1" s="28"/>
      <c r="B1" s="414" t="s">
        <v>669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30"/>
      <c r="AM1" s="30"/>
      <c r="AN1" s="30"/>
    </row>
    <row r="2" spans="1:40" ht="18.75" customHeight="1">
      <c r="A2" s="28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30"/>
      <c r="AM2" s="30"/>
      <c r="AN2" s="30"/>
    </row>
    <row r="3" spans="1:40" ht="18.75" customHeight="1">
      <c r="A3" s="28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30"/>
      <c r="AM3" s="30"/>
      <c r="AN3" s="28"/>
    </row>
    <row r="4" spans="1:40" ht="15.75" customHeight="1">
      <c r="A4" s="28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30"/>
      <c r="AM4" s="30"/>
      <c r="AN4" s="28"/>
    </row>
    <row r="5" spans="1:40" ht="40.5" customHeight="1">
      <c r="A5" s="415" t="s">
        <v>670</v>
      </c>
      <c r="B5" s="415" t="s">
        <v>671</v>
      </c>
      <c r="C5" s="416" t="s">
        <v>672</v>
      </c>
      <c r="D5" s="416" t="s">
        <v>673</v>
      </c>
      <c r="E5" s="416" t="s">
        <v>674</v>
      </c>
      <c r="F5" s="416" t="s">
        <v>675</v>
      </c>
      <c r="G5" s="416" t="s">
        <v>676</v>
      </c>
      <c r="H5" s="416" t="s">
        <v>677</v>
      </c>
      <c r="I5" s="416" t="s">
        <v>678</v>
      </c>
      <c r="J5" s="412" t="s">
        <v>679</v>
      </c>
      <c r="K5" s="412"/>
      <c r="L5" s="412" t="s">
        <v>680</v>
      </c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32"/>
      <c r="AM5" s="32"/>
      <c r="AN5" s="32"/>
    </row>
    <row r="6" spans="1:40" ht="28.5" customHeight="1">
      <c r="A6" s="415"/>
      <c r="B6" s="415"/>
      <c r="C6" s="416"/>
      <c r="D6" s="416"/>
      <c r="E6" s="416"/>
      <c r="F6" s="416"/>
      <c r="G6" s="416"/>
      <c r="H6" s="416"/>
      <c r="I6" s="416"/>
      <c r="J6" s="33" t="s">
        <v>681</v>
      </c>
      <c r="K6" s="33" t="s">
        <v>682</v>
      </c>
      <c r="L6" s="33" t="s">
        <v>9</v>
      </c>
      <c r="M6" s="33" t="s">
        <v>683</v>
      </c>
      <c r="N6" s="33" t="s">
        <v>684</v>
      </c>
      <c r="O6" s="34">
        <v>42583</v>
      </c>
      <c r="P6" s="34">
        <v>42614</v>
      </c>
      <c r="Q6" s="34">
        <v>42644</v>
      </c>
      <c r="R6" s="34">
        <v>42675</v>
      </c>
      <c r="S6" s="34">
        <v>42705</v>
      </c>
      <c r="T6" s="33" t="s">
        <v>685</v>
      </c>
      <c r="U6" s="33" t="s">
        <v>686</v>
      </c>
      <c r="V6" s="34">
        <v>42736</v>
      </c>
      <c r="W6" s="34">
        <v>42767</v>
      </c>
      <c r="X6" s="34">
        <v>42795</v>
      </c>
      <c r="Y6" s="34">
        <v>42826</v>
      </c>
      <c r="Z6" s="34">
        <v>42856</v>
      </c>
      <c r="AA6" s="34">
        <v>42887</v>
      </c>
      <c r="AB6" s="34">
        <v>42917</v>
      </c>
      <c r="AC6" s="34">
        <v>42948</v>
      </c>
      <c r="AD6" s="34">
        <v>42979</v>
      </c>
      <c r="AE6" s="34">
        <v>43009</v>
      </c>
      <c r="AF6" s="34">
        <v>43040</v>
      </c>
      <c r="AG6" s="34">
        <v>43070</v>
      </c>
      <c r="AH6" s="34" t="s">
        <v>687</v>
      </c>
      <c r="AI6" s="33" t="s">
        <v>688</v>
      </c>
      <c r="AJ6" s="33" t="s">
        <v>689</v>
      </c>
      <c r="AK6" s="33" t="s">
        <v>690</v>
      </c>
      <c r="AL6" s="33" t="s">
        <v>691</v>
      </c>
      <c r="AM6" s="33" t="s">
        <v>692</v>
      </c>
      <c r="AN6" s="32"/>
    </row>
    <row r="7" spans="1:40" ht="15" hidden="1">
      <c r="A7" s="35"/>
      <c r="B7" s="35"/>
      <c r="C7" s="36"/>
      <c r="D7" s="37">
        <v>2.8</v>
      </c>
      <c r="E7" s="38">
        <v>0</v>
      </c>
      <c r="F7" s="38"/>
      <c r="G7" s="38"/>
      <c r="H7" s="38"/>
      <c r="I7" s="38"/>
      <c r="J7" s="38"/>
      <c r="K7" s="38"/>
      <c r="L7" s="38">
        <v>0</v>
      </c>
      <c r="M7" s="38"/>
      <c r="N7" s="38">
        <v>0</v>
      </c>
      <c r="O7" s="38"/>
      <c r="P7" s="38"/>
      <c r="Q7" s="38"/>
      <c r="R7" s="38"/>
      <c r="S7" s="38"/>
      <c r="T7" s="38">
        <v>0</v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>
        <v>0</v>
      </c>
      <c r="AJ7" s="38"/>
      <c r="AK7" s="38">
        <v>0</v>
      </c>
      <c r="AL7" s="38"/>
      <c r="AM7" s="38"/>
      <c r="AN7" s="39"/>
    </row>
    <row r="8" spans="1:40" ht="15" hidden="1">
      <c r="A8" s="40"/>
      <c r="B8" s="40"/>
      <c r="C8" s="41"/>
      <c r="D8" s="41"/>
      <c r="E8" s="42">
        <v>0</v>
      </c>
      <c r="F8" s="42"/>
      <c r="G8" s="42"/>
      <c r="H8" s="42"/>
      <c r="I8" s="42"/>
      <c r="J8" s="42"/>
      <c r="K8" s="42"/>
      <c r="L8" s="42">
        <v>0</v>
      </c>
      <c r="M8" s="42"/>
      <c r="N8" s="42">
        <v>0</v>
      </c>
      <c r="O8" s="42"/>
      <c r="P8" s="42"/>
      <c r="Q8" s="42"/>
      <c r="R8" s="42"/>
      <c r="S8" s="42"/>
      <c r="T8" s="42">
        <v>0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>
        <v>0</v>
      </c>
      <c r="AJ8" s="42"/>
      <c r="AK8" s="42">
        <v>0</v>
      </c>
      <c r="AL8" s="42"/>
      <c r="AM8" s="42"/>
      <c r="AN8" s="39"/>
    </row>
    <row r="9" spans="1:40" ht="34.5" customHeight="1">
      <c r="A9" s="31"/>
      <c r="B9" s="31">
        <v>1</v>
      </c>
      <c r="C9" s="43" t="s">
        <v>17</v>
      </c>
      <c r="D9" s="44"/>
      <c r="E9" s="44"/>
      <c r="F9" s="44"/>
      <c r="G9" s="45"/>
      <c r="H9" s="44"/>
      <c r="I9" s="44"/>
      <c r="J9" s="44"/>
      <c r="K9" s="44"/>
      <c r="L9" s="45"/>
      <c r="M9" s="45"/>
      <c r="N9" s="44"/>
      <c r="O9" s="44"/>
      <c r="P9" s="44"/>
      <c r="Q9" s="44"/>
      <c r="R9" s="44"/>
      <c r="S9" s="44"/>
      <c r="T9" s="45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6"/>
    </row>
    <row r="10" spans="1:41" ht="34.5" customHeight="1">
      <c r="A10" s="31"/>
      <c r="B10" s="31" t="s">
        <v>693</v>
      </c>
      <c r="C10" s="43" t="s">
        <v>694</v>
      </c>
      <c r="D10" s="45" t="e">
        <f aca="true" t="shared" si="0" ref="D10:I10">D21+D25+D30</f>
        <v>#REF!</v>
      </c>
      <c r="E10" s="45" t="e">
        <f t="shared" si="0"/>
        <v>#REF!</v>
      </c>
      <c r="F10" s="45" t="e">
        <f t="shared" si="0"/>
        <v>#REF!</v>
      </c>
      <c r="G10" s="45" t="e">
        <f t="shared" si="0"/>
        <v>#REF!</v>
      </c>
      <c r="H10" s="45">
        <f t="shared" si="0"/>
        <v>38081014.17357143</v>
      </c>
      <c r="I10" s="45" t="e">
        <f t="shared" si="0"/>
        <v>#REF!</v>
      </c>
      <c r="J10" s="47">
        <v>1</v>
      </c>
      <c r="K10" s="47">
        <v>0</v>
      </c>
      <c r="L10" s="45">
        <f aca="true" t="shared" si="1" ref="L10:T10">L21+L25+L30</f>
        <v>0</v>
      </c>
      <c r="M10" s="45">
        <f t="shared" si="1"/>
        <v>4687604.6</v>
      </c>
      <c r="N10" s="45">
        <f t="shared" si="1"/>
        <v>4687604.6</v>
      </c>
      <c r="O10" s="45">
        <f t="shared" si="1"/>
        <v>0</v>
      </c>
      <c r="P10" s="45">
        <f t="shared" si="1"/>
        <v>0</v>
      </c>
      <c r="Q10" s="45">
        <f t="shared" si="1"/>
        <v>0</v>
      </c>
      <c r="R10" s="45">
        <f t="shared" si="1"/>
        <v>4687604.6</v>
      </c>
      <c r="S10" s="45">
        <f t="shared" si="1"/>
        <v>0</v>
      </c>
      <c r="T10" s="45" t="e">
        <f t="shared" si="1"/>
        <v>#REF!</v>
      </c>
      <c r="U10" s="45">
        <f>SUM(V10:AG10)</f>
        <v>20444000</v>
      </c>
      <c r="V10" s="45">
        <f aca="true" t="shared" si="2" ref="V10:AI10">V21+V25+V30</f>
        <v>0</v>
      </c>
      <c r="W10" s="45">
        <f t="shared" si="2"/>
        <v>0</v>
      </c>
      <c r="X10" s="45">
        <f t="shared" si="2"/>
        <v>0</v>
      </c>
      <c r="Y10" s="45">
        <f t="shared" si="2"/>
        <v>0</v>
      </c>
      <c r="Z10" s="45">
        <f t="shared" si="2"/>
        <v>0</v>
      </c>
      <c r="AA10" s="45">
        <f t="shared" si="2"/>
        <v>0</v>
      </c>
      <c r="AB10" s="45">
        <f t="shared" si="2"/>
        <v>16244000</v>
      </c>
      <c r="AC10" s="45">
        <f t="shared" si="2"/>
        <v>4200000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2"/>
        <v>0</v>
      </c>
      <c r="AH10" s="45" t="e">
        <f t="shared" si="2"/>
        <v>#REF!</v>
      </c>
      <c r="AI10" s="45" t="e">
        <f t="shared" si="2"/>
        <v>#REF!</v>
      </c>
      <c r="AJ10" s="45"/>
      <c r="AK10" s="45" t="e">
        <f>AK21+AK25+AK30</f>
        <v>#REF!</v>
      </c>
      <c r="AL10" s="45"/>
      <c r="AM10" s="45">
        <f>N10+U10+AJ10+AL10</f>
        <v>25131604.6</v>
      </c>
      <c r="AN10" s="48" t="e">
        <f>M10+T10+AI10+AK10-F10-0.01</f>
        <v>#REF!</v>
      </c>
      <c r="AO10" s="28" t="s">
        <v>695</v>
      </c>
    </row>
    <row r="11" spans="1:40" ht="28.5" customHeight="1">
      <c r="A11" s="49"/>
      <c r="B11" s="49"/>
      <c r="C11" s="50" t="s">
        <v>18</v>
      </c>
      <c r="D11" s="51"/>
      <c r="E11" s="52"/>
      <c r="F11" s="53"/>
      <c r="G11" s="52"/>
      <c r="H11" s="52"/>
      <c r="I11" s="52"/>
      <c r="J11" s="52"/>
      <c r="K11" s="52"/>
      <c r="L11" s="52"/>
      <c r="M11" s="52"/>
      <c r="N11" s="53"/>
      <c r="O11" s="52"/>
      <c r="P11" s="52"/>
      <c r="Q11" s="52"/>
      <c r="R11" s="52"/>
      <c r="S11" s="52"/>
      <c r="T11" s="53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4"/>
    </row>
    <row r="12" spans="1:41" ht="30">
      <c r="A12" s="55">
        <v>3</v>
      </c>
      <c r="B12" s="55" t="s">
        <v>499</v>
      </c>
      <c r="C12" s="56" t="s">
        <v>19</v>
      </c>
      <c r="D12" s="57">
        <f aca="true" t="shared" si="3" ref="D12:D20">E12*$D$7</f>
        <v>532000.056</v>
      </c>
      <c r="E12" s="57">
        <v>190000.02</v>
      </c>
      <c r="F12" s="57">
        <v>4235000</v>
      </c>
      <c r="G12" s="57">
        <f aca="true" t="shared" si="4" ref="G12:G20">F12-D12</f>
        <v>3702999.944</v>
      </c>
      <c r="H12" s="57">
        <f>F12/$D$7</f>
        <v>1512500</v>
      </c>
      <c r="I12" s="57">
        <f aca="true" t="shared" si="5" ref="I12:I20">H12-E12</f>
        <v>1322499.98</v>
      </c>
      <c r="J12" s="58">
        <v>1</v>
      </c>
      <c r="K12" s="58">
        <v>0</v>
      </c>
      <c r="L12" s="59">
        <v>0</v>
      </c>
      <c r="M12" s="59">
        <f aca="true" t="shared" si="6" ref="M12:M20">N12</f>
        <v>0</v>
      </c>
      <c r="N12" s="59">
        <f>SUM(O12:S12)</f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4200000</v>
      </c>
      <c r="U12" s="59">
        <f aca="true" t="shared" si="7" ref="U12:U20">SUM(V12:AG12)</f>
        <v>4200000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4200000</v>
      </c>
      <c r="AD12" s="59"/>
      <c r="AE12" s="59"/>
      <c r="AF12" s="59"/>
      <c r="AG12" s="59"/>
      <c r="AH12" s="59">
        <f aca="true" t="shared" si="8" ref="AH12:AH20">T12-U12</f>
        <v>0</v>
      </c>
      <c r="AI12" s="59">
        <v>35000</v>
      </c>
      <c r="AJ12" s="59"/>
      <c r="AK12" s="59" t="e">
        <f>#REF!*2.8</f>
        <v>#REF!</v>
      </c>
      <c r="AL12" s="59"/>
      <c r="AM12" s="59">
        <f aca="true" t="shared" si="9" ref="AM12:AM20">N12+U12+AJ12+AL12</f>
        <v>4200000</v>
      </c>
      <c r="AN12" s="60" t="e">
        <f aca="true" t="shared" si="10" ref="AN12:AN20">M12+T12+AI12+AK12-F12</f>
        <v>#REF!</v>
      </c>
      <c r="AO12" s="28" t="s">
        <v>695</v>
      </c>
    </row>
    <row r="13" spans="1:41" ht="45">
      <c r="A13" s="55">
        <v>2</v>
      </c>
      <c r="B13" s="55" t="s">
        <v>550</v>
      </c>
      <c r="C13" s="56" t="s">
        <v>20</v>
      </c>
      <c r="D13" s="57">
        <f t="shared" si="3"/>
        <v>16896825.344</v>
      </c>
      <c r="E13" s="57">
        <v>6034580.48</v>
      </c>
      <c r="F13" s="57">
        <v>16896825.34</v>
      </c>
      <c r="G13" s="57">
        <f t="shared" si="4"/>
        <v>-0.0040000006556510925</v>
      </c>
      <c r="H13" s="57">
        <v>8245773.98</v>
      </c>
      <c r="I13" s="57">
        <f t="shared" si="5"/>
        <v>2211193.5</v>
      </c>
      <c r="J13" s="58">
        <v>1</v>
      </c>
      <c r="K13" s="58">
        <v>0</v>
      </c>
      <c r="L13" s="59">
        <v>0</v>
      </c>
      <c r="M13" s="59">
        <f t="shared" si="6"/>
        <v>0</v>
      </c>
      <c r="N13" s="59">
        <v>0</v>
      </c>
      <c r="O13" s="59">
        <v>0</v>
      </c>
      <c r="P13" s="59">
        <v>0</v>
      </c>
      <c r="Q13" s="59">
        <v>0</v>
      </c>
      <c r="R13" s="59">
        <v>4687604.6</v>
      </c>
      <c r="S13" s="59">
        <v>0</v>
      </c>
      <c r="T13" s="59">
        <v>2203933.73</v>
      </c>
      <c r="U13" s="59">
        <f t="shared" si="7"/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/>
      <c r="AE13" s="59"/>
      <c r="AF13" s="59"/>
      <c r="AG13" s="59"/>
      <c r="AH13" s="59">
        <f t="shared" si="8"/>
        <v>2203933.73</v>
      </c>
      <c r="AI13" s="59" t="e">
        <f>#REF!*2.8</f>
        <v>#REF!</v>
      </c>
      <c r="AJ13" s="59"/>
      <c r="AK13" s="59">
        <v>5877156.63</v>
      </c>
      <c r="AL13" s="59"/>
      <c r="AM13" s="59">
        <f t="shared" si="9"/>
        <v>0</v>
      </c>
      <c r="AN13" s="60" t="e">
        <f t="shared" si="10"/>
        <v>#REF!</v>
      </c>
      <c r="AO13" s="28" t="s">
        <v>695</v>
      </c>
    </row>
    <row r="14" spans="1:41" ht="30">
      <c r="A14" s="55">
        <v>2</v>
      </c>
      <c r="B14" s="55" t="s">
        <v>489</v>
      </c>
      <c r="C14" s="56" t="s">
        <v>21</v>
      </c>
      <c r="D14" s="57">
        <f t="shared" si="3"/>
        <v>7823230.995999999</v>
      </c>
      <c r="E14" s="57">
        <v>2794011.07</v>
      </c>
      <c r="F14" s="57">
        <v>4687604.6</v>
      </c>
      <c r="G14" s="61">
        <f t="shared" si="4"/>
        <v>-3135626.3959999997</v>
      </c>
      <c r="H14" s="61">
        <v>1499999.93</v>
      </c>
      <c r="I14" s="61">
        <f t="shared" si="5"/>
        <v>-1294011.14</v>
      </c>
      <c r="J14" s="58">
        <v>1</v>
      </c>
      <c r="K14" s="58">
        <v>0</v>
      </c>
      <c r="L14" s="59">
        <v>0</v>
      </c>
      <c r="M14" s="59">
        <f t="shared" si="6"/>
        <v>4687604.6</v>
      </c>
      <c r="N14" s="59">
        <f>SUM(O13:S13)</f>
        <v>4687604.6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62">
        <v>0</v>
      </c>
      <c r="U14" s="59">
        <f t="shared" si="7"/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/>
      <c r="AE14" s="59"/>
      <c r="AF14" s="59"/>
      <c r="AG14" s="59"/>
      <c r="AH14" s="59">
        <f t="shared" si="8"/>
        <v>0</v>
      </c>
      <c r="AI14" s="59" t="e">
        <f>#REF!*2.8</f>
        <v>#REF!</v>
      </c>
      <c r="AJ14" s="59"/>
      <c r="AK14" s="59" t="e">
        <f>#REF!*2.8</f>
        <v>#REF!</v>
      </c>
      <c r="AL14" s="59"/>
      <c r="AM14" s="59">
        <f t="shared" si="9"/>
        <v>4687604.6</v>
      </c>
      <c r="AN14" s="60" t="e">
        <f t="shared" si="10"/>
        <v>#REF!</v>
      </c>
      <c r="AO14" s="28" t="s">
        <v>695</v>
      </c>
    </row>
    <row r="15" spans="1:41" ht="45">
      <c r="A15" s="55">
        <v>2</v>
      </c>
      <c r="B15" s="55" t="s">
        <v>565</v>
      </c>
      <c r="C15" s="56" t="s">
        <v>22</v>
      </c>
      <c r="D15" s="57">
        <f t="shared" si="3"/>
        <v>18546606.428</v>
      </c>
      <c r="E15" s="57">
        <v>6623788.01</v>
      </c>
      <c r="F15" s="57">
        <v>5568110.8</v>
      </c>
      <c r="G15" s="57">
        <f t="shared" si="4"/>
        <v>-12978495.627999999</v>
      </c>
      <c r="H15" s="57">
        <f>F15/$D$7</f>
        <v>1988611</v>
      </c>
      <c r="I15" s="57">
        <f t="shared" si="5"/>
        <v>-4635177.01</v>
      </c>
      <c r="J15" s="58">
        <v>1</v>
      </c>
      <c r="K15" s="58">
        <v>0</v>
      </c>
      <c r="L15" s="59">
        <v>0</v>
      </c>
      <c r="M15" s="59">
        <f t="shared" si="6"/>
        <v>0</v>
      </c>
      <c r="N15" s="59">
        <f aca="true" t="shared" si="11" ref="N15:N20">SUM(O15:S15)</f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726275.32</v>
      </c>
      <c r="U15" s="59">
        <f t="shared" si="7"/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/>
      <c r="AE15" s="59"/>
      <c r="AF15" s="59"/>
      <c r="AG15" s="59"/>
      <c r="AH15" s="59">
        <f t="shared" si="8"/>
        <v>726275.32</v>
      </c>
      <c r="AI15" s="59">
        <v>2905101.3</v>
      </c>
      <c r="AJ15" s="59"/>
      <c r="AK15" s="59">
        <v>1936734.18</v>
      </c>
      <c r="AL15" s="59"/>
      <c r="AM15" s="59">
        <f t="shared" si="9"/>
        <v>0</v>
      </c>
      <c r="AN15" s="60">
        <f t="shared" si="10"/>
        <v>0</v>
      </c>
      <c r="AO15" s="28" t="s">
        <v>695</v>
      </c>
    </row>
    <row r="16" spans="1:41" ht="30">
      <c r="A16" s="55">
        <v>2</v>
      </c>
      <c r="B16" s="55" t="s">
        <v>560</v>
      </c>
      <c r="C16" s="56" t="s">
        <v>23</v>
      </c>
      <c r="D16" s="57">
        <f t="shared" si="3"/>
        <v>1021504.3719999999</v>
      </c>
      <c r="E16" s="57">
        <v>364822.99</v>
      </c>
      <c r="F16" s="57">
        <v>16244000</v>
      </c>
      <c r="G16" s="57">
        <f t="shared" si="4"/>
        <v>15222495.628</v>
      </c>
      <c r="H16" s="57">
        <f>F16/$D$7</f>
        <v>5801428.571428572</v>
      </c>
      <c r="I16" s="57">
        <f t="shared" si="5"/>
        <v>5436605.581428572</v>
      </c>
      <c r="J16" s="58">
        <v>1</v>
      </c>
      <c r="K16" s="58">
        <v>0</v>
      </c>
      <c r="L16" s="59">
        <v>0</v>
      </c>
      <c r="M16" s="59">
        <f t="shared" si="6"/>
        <v>0</v>
      </c>
      <c r="N16" s="59">
        <f t="shared" si="11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16244000</v>
      </c>
      <c r="U16" s="59">
        <f t="shared" si="7"/>
        <v>16244000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16244000</v>
      </c>
      <c r="AC16" s="59">
        <v>0</v>
      </c>
      <c r="AD16" s="59"/>
      <c r="AE16" s="59"/>
      <c r="AF16" s="59"/>
      <c r="AG16" s="59"/>
      <c r="AH16" s="59">
        <f t="shared" si="8"/>
        <v>0</v>
      </c>
      <c r="AI16" s="59">
        <v>0</v>
      </c>
      <c r="AJ16" s="59"/>
      <c r="AK16" s="59">
        <v>0</v>
      </c>
      <c r="AL16" s="59"/>
      <c r="AM16" s="59">
        <f t="shared" si="9"/>
        <v>16244000</v>
      </c>
      <c r="AN16" s="60">
        <f t="shared" si="10"/>
        <v>0</v>
      </c>
      <c r="AO16" s="28" t="s">
        <v>695</v>
      </c>
    </row>
    <row r="17" spans="1:41" ht="45">
      <c r="A17" s="63">
        <v>4</v>
      </c>
      <c r="B17" s="63" t="s">
        <v>569</v>
      </c>
      <c r="C17" s="64" t="s">
        <v>24</v>
      </c>
      <c r="D17" s="65">
        <f t="shared" si="3"/>
        <v>10575066.712</v>
      </c>
      <c r="E17" s="65">
        <v>3776809.54</v>
      </c>
      <c r="F17" s="57">
        <v>10575066.43</v>
      </c>
      <c r="G17" s="65">
        <f t="shared" si="4"/>
        <v>-0.2819999996572733</v>
      </c>
      <c r="H17" s="65">
        <f>E17-0.1</f>
        <v>3776809.44</v>
      </c>
      <c r="I17" s="65">
        <f t="shared" si="5"/>
        <v>-0.10000000009313226</v>
      </c>
      <c r="J17" s="66">
        <v>1</v>
      </c>
      <c r="K17" s="66">
        <v>0</v>
      </c>
      <c r="L17" s="67">
        <v>0</v>
      </c>
      <c r="M17" s="59">
        <f t="shared" si="6"/>
        <v>0</v>
      </c>
      <c r="N17" s="59">
        <f t="shared" si="11"/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1379356.49</v>
      </c>
      <c r="U17" s="59">
        <f t="shared" si="7"/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68"/>
      <c r="AE17" s="68"/>
      <c r="AF17" s="68"/>
      <c r="AG17" s="68"/>
      <c r="AH17" s="59">
        <f t="shared" si="8"/>
        <v>1379356.49</v>
      </c>
      <c r="AI17" s="59">
        <v>5517425.96</v>
      </c>
      <c r="AJ17" s="68"/>
      <c r="AK17" s="59">
        <v>3678283.98</v>
      </c>
      <c r="AL17" s="68"/>
      <c r="AM17" s="59">
        <f t="shared" si="9"/>
        <v>0</v>
      </c>
      <c r="AN17" s="60">
        <f t="shared" si="10"/>
        <v>0</v>
      </c>
      <c r="AO17" s="28" t="s">
        <v>695</v>
      </c>
    </row>
    <row r="18" spans="1:41" ht="45">
      <c r="A18" s="63">
        <v>4</v>
      </c>
      <c r="B18" s="63" t="s">
        <v>572</v>
      </c>
      <c r="C18" s="64" t="s">
        <v>25</v>
      </c>
      <c r="D18" s="65">
        <f t="shared" si="3"/>
        <v>13051176.488</v>
      </c>
      <c r="E18" s="65">
        <v>4661134.46</v>
      </c>
      <c r="F18" s="57">
        <v>13051176.49</v>
      </c>
      <c r="G18" s="65">
        <f t="shared" si="4"/>
        <v>0.0020000003278255463</v>
      </c>
      <c r="H18" s="65">
        <f>F18/$D$7</f>
        <v>4661134.460714286</v>
      </c>
      <c r="I18" s="65">
        <f t="shared" si="5"/>
        <v>0.0007142862305045128</v>
      </c>
      <c r="J18" s="66">
        <v>1</v>
      </c>
      <c r="K18" s="66">
        <v>0</v>
      </c>
      <c r="L18" s="67">
        <v>0</v>
      </c>
      <c r="M18" s="59">
        <f t="shared" si="6"/>
        <v>0</v>
      </c>
      <c r="N18" s="59">
        <f t="shared" si="11"/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 t="e">
        <f>#REF!*2.8</f>
        <v>#REF!</v>
      </c>
      <c r="U18" s="59">
        <f t="shared" si="7"/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68"/>
      <c r="AE18" s="68"/>
      <c r="AF18" s="68"/>
      <c r="AG18" s="68"/>
      <c r="AH18" s="59" t="e">
        <f t="shared" si="8"/>
        <v>#REF!</v>
      </c>
      <c r="AI18" s="59">
        <v>5800522.9</v>
      </c>
      <c r="AJ18" s="68"/>
      <c r="AK18" s="59">
        <v>6283899.77</v>
      </c>
      <c r="AL18" s="68"/>
      <c r="AM18" s="59">
        <f t="shared" si="9"/>
        <v>0</v>
      </c>
      <c r="AN18" s="60" t="e">
        <f t="shared" si="10"/>
        <v>#REF!</v>
      </c>
      <c r="AO18" s="28" t="s">
        <v>695</v>
      </c>
    </row>
    <row r="19" spans="1:41" ht="30">
      <c r="A19" s="63">
        <v>4</v>
      </c>
      <c r="B19" s="63" t="s">
        <v>575</v>
      </c>
      <c r="C19" s="64" t="s">
        <v>26</v>
      </c>
      <c r="D19" s="65">
        <f t="shared" si="3"/>
        <v>2333336.88</v>
      </c>
      <c r="E19" s="65">
        <v>833334.6</v>
      </c>
      <c r="F19" s="57">
        <v>2333336.88</v>
      </c>
      <c r="G19" s="65">
        <f t="shared" si="4"/>
        <v>0</v>
      </c>
      <c r="H19" s="65">
        <f>F19/$D$7</f>
        <v>833334.6</v>
      </c>
      <c r="I19" s="65">
        <f t="shared" si="5"/>
        <v>0</v>
      </c>
      <c r="J19" s="66">
        <v>1</v>
      </c>
      <c r="K19" s="66">
        <v>0</v>
      </c>
      <c r="L19" s="67">
        <v>0</v>
      </c>
      <c r="M19" s="59">
        <f t="shared" si="6"/>
        <v>0</v>
      </c>
      <c r="N19" s="59">
        <f t="shared" si="11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 t="e">
        <f>#REF!*2.8</f>
        <v>#REF!</v>
      </c>
      <c r="U19" s="59">
        <f t="shared" si="7"/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67"/>
      <c r="AE19" s="67"/>
      <c r="AF19" s="67"/>
      <c r="AG19" s="67"/>
      <c r="AH19" s="59" t="e">
        <f t="shared" si="8"/>
        <v>#REF!</v>
      </c>
      <c r="AI19" s="59">
        <v>1037038.6</v>
      </c>
      <c r="AJ19" s="67"/>
      <c r="AK19" s="59">
        <v>1123458.51</v>
      </c>
      <c r="AL19" s="67"/>
      <c r="AM19" s="59">
        <f t="shared" si="9"/>
        <v>0</v>
      </c>
      <c r="AN19" s="60" t="e">
        <f t="shared" si="10"/>
        <v>#REF!</v>
      </c>
      <c r="AO19" s="28" t="s">
        <v>695</v>
      </c>
    </row>
    <row r="20" spans="1:41" ht="30">
      <c r="A20" s="63">
        <v>4</v>
      </c>
      <c r="B20" s="63" t="s">
        <v>578</v>
      </c>
      <c r="C20" s="64" t="s">
        <v>27</v>
      </c>
      <c r="D20" s="65">
        <f t="shared" si="3"/>
        <v>1625234.856</v>
      </c>
      <c r="E20" s="65">
        <v>580441.02</v>
      </c>
      <c r="F20" s="57">
        <v>1625234.86</v>
      </c>
      <c r="G20" s="65">
        <f t="shared" si="4"/>
        <v>0.004000000189989805</v>
      </c>
      <c r="H20" s="65">
        <f>F20/$D$7</f>
        <v>580441.0214285715</v>
      </c>
      <c r="I20" s="65">
        <f t="shared" si="5"/>
        <v>0.001428571529686451</v>
      </c>
      <c r="J20" s="66">
        <v>1</v>
      </c>
      <c r="K20" s="66">
        <v>0</v>
      </c>
      <c r="L20" s="67">
        <v>0</v>
      </c>
      <c r="M20" s="59">
        <f t="shared" si="6"/>
        <v>0</v>
      </c>
      <c r="N20" s="59">
        <f t="shared" si="11"/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 t="e">
        <f>#REF!*2.8</f>
        <v>#REF!</v>
      </c>
      <c r="U20" s="59">
        <f t="shared" si="7"/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67"/>
      <c r="AE20" s="67"/>
      <c r="AF20" s="67"/>
      <c r="AG20" s="67"/>
      <c r="AH20" s="59" t="e">
        <f t="shared" si="8"/>
        <v>#REF!</v>
      </c>
      <c r="AI20" s="59">
        <v>722326.62</v>
      </c>
      <c r="AJ20" s="67"/>
      <c r="AK20" s="59">
        <v>782520.48</v>
      </c>
      <c r="AL20" s="67"/>
      <c r="AM20" s="59">
        <f t="shared" si="9"/>
        <v>0</v>
      </c>
      <c r="AN20" s="60" t="e">
        <f t="shared" si="10"/>
        <v>#REF!</v>
      </c>
      <c r="AO20" s="28" t="s">
        <v>695</v>
      </c>
    </row>
    <row r="21" spans="1:41" ht="33" customHeight="1">
      <c r="A21" s="69"/>
      <c r="B21" s="69"/>
      <c r="C21" s="70" t="s">
        <v>28</v>
      </c>
      <c r="D21" s="71">
        <f>SUM(D12:D20)+0.01</f>
        <v>72404982.142</v>
      </c>
      <c r="E21" s="71">
        <f>SUM(E12:E20)</f>
        <v>25858922.19</v>
      </c>
      <c r="F21" s="71">
        <f>SUM(F12:F20)</f>
        <v>75216355.39999999</v>
      </c>
      <c r="G21" s="71">
        <f>SUM(G12:G20)</f>
        <v>2811373.2680000025</v>
      </c>
      <c r="H21" s="71">
        <f>SUM(H12:H20)</f>
        <v>28900033.00357143</v>
      </c>
      <c r="I21" s="71">
        <f>SUM(I12:I20)</f>
        <v>3041110.8135714293</v>
      </c>
      <c r="J21" s="72">
        <v>1</v>
      </c>
      <c r="K21" s="72">
        <v>0</v>
      </c>
      <c r="L21" s="71">
        <f aca="true" t="shared" si="12" ref="L21:AI21">SUM(L12:L20)</f>
        <v>0</v>
      </c>
      <c r="M21" s="71">
        <f t="shared" si="12"/>
        <v>4687604.6</v>
      </c>
      <c r="N21" s="71">
        <f t="shared" si="12"/>
        <v>4687604.6</v>
      </c>
      <c r="O21" s="71">
        <f t="shared" si="12"/>
        <v>0</v>
      </c>
      <c r="P21" s="71">
        <f t="shared" si="12"/>
        <v>0</v>
      </c>
      <c r="Q21" s="71">
        <f t="shared" si="12"/>
        <v>0</v>
      </c>
      <c r="R21" s="71">
        <f t="shared" si="12"/>
        <v>4687604.6</v>
      </c>
      <c r="S21" s="71">
        <f t="shared" si="12"/>
        <v>0</v>
      </c>
      <c r="T21" s="71" t="e">
        <f t="shared" si="12"/>
        <v>#REF!</v>
      </c>
      <c r="U21" s="71">
        <f t="shared" si="12"/>
        <v>20444000</v>
      </c>
      <c r="V21" s="71">
        <f t="shared" si="12"/>
        <v>0</v>
      </c>
      <c r="W21" s="71">
        <f t="shared" si="12"/>
        <v>0</v>
      </c>
      <c r="X21" s="71">
        <f t="shared" si="12"/>
        <v>0</v>
      </c>
      <c r="Y21" s="71">
        <f t="shared" si="12"/>
        <v>0</v>
      </c>
      <c r="Z21" s="71">
        <f t="shared" si="12"/>
        <v>0</v>
      </c>
      <c r="AA21" s="71">
        <f t="shared" si="12"/>
        <v>0</v>
      </c>
      <c r="AB21" s="71">
        <f t="shared" si="12"/>
        <v>16244000</v>
      </c>
      <c r="AC21" s="71">
        <f t="shared" si="12"/>
        <v>4200000</v>
      </c>
      <c r="AD21" s="71">
        <f t="shared" si="12"/>
        <v>0</v>
      </c>
      <c r="AE21" s="71">
        <f t="shared" si="12"/>
        <v>0</v>
      </c>
      <c r="AF21" s="71">
        <f t="shared" si="12"/>
        <v>0</v>
      </c>
      <c r="AG21" s="71">
        <f t="shared" si="12"/>
        <v>0</v>
      </c>
      <c r="AH21" s="71" t="e">
        <f t="shared" si="12"/>
        <v>#REF!</v>
      </c>
      <c r="AI21" s="71" t="e">
        <f t="shared" si="12"/>
        <v>#REF!</v>
      </c>
      <c r="AJ21" s="71"/>
      <c r="AK21" s="71" t="e">
        <f>SUM(AK12:AK20)</f>
        <v>#REF!</v>
      </c>
      <c r="AL21" s="71"/>
      <c r="AM21" s="71">
        <f>SUM(AM12:AM20)</f>
        <v>25131604.6</v>
      </c>
      <c r="AN21" s="60" t="e">
        <f>M21+T21+AI21+AK21-F21-0.01</f>
        <v>#REF!</v>
      </c>
      <c r="AO21" s="28" t="s">
        <v>695</v>
      </c>
    </row>
    <row r="22" spans="1:41" ht="18.75" customHeight="1">
      <c r="A22" s="69"/>
      <c r="B22" s="69"/>
      <c r="C22" s="73" t="s">
        <v>32</v>
      </c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60"/>
      <c r="AO22" s="28" t="s">
        <v>695</v>
      </c>
    </row>
    <row r="23" spans="1:41" ht="32.25" customHeight="1">
      <c r="A23" s="63">
        <v>2</v>
      </c>
      <c r="B23" s="63" t="s">
        <v>434</v>
      </c>
      <c r="C23" s="64" t="s">
        <v>33</v>
      </c>
      <c r="D23" s="65">
        <f>E23*$D$7</f>
        <v>319863.6</v>
      </c>
      <c r="E23" s="65">
        <v>114237</v>
      </c>
      <c r="F23" s="57" t="e">
        <f>#REF!*2.8</f>
        <v>#REF!</v>
      </c>
      <c r="G23" s="65" t="e">
        <f>F23-D23</f>
        <v>#REF!</v>
      </c>
      <c r="H23" s="65">
        <f>E23</f>
        <v>114237</v>
      </c>
      <c r="I23" s="65">
        <f>H23-E23</f>
        <v>0</v>
      </c>
      <c r="J23" s="66">
        <f>J33</f>
        <v>1</v>
      </c>
      <c r="K23" s="66">
        <v>0</v>
      </c>
      <c r="L23" s="67">
        <v>0</v>
      </c>
      <c r="M23" s="59">
        <f>N23</f>
        <v>0</v>
      </c>
      <c r="N23" s="59">
        <f>O23+P23+Q23+R23+S23</f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 t="e">
        <f>#REF!*2.8</f>
        <v>#REF!</v>
      </c>
      <c r="U23" s="59">
        <f>SUM(V23:AG23)</f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67"/>
      <c r="AE23" s="67"/>
      <c r="AF23" s="67"/>
      <c r="AG23" s="67"/>
      <c r="AH23" s="59" t="e">
        <f>T23-U23</f>
        <v>#REF!</v>
      </c>
      <c r="AI23" s="59" t="e">
        <f>#REF!*2.8</f>
        <v>#REF!</v>
      </c>
      <c r="AJ23" s="67"/>
      <c r="AK23" s="59" t="e">
        <f>#REF!*2.8</f>
        <v>#REF!</v>
      </c>
      <c r="AL23" s="67"/>
      <c r="AM23" s="59">
        <f>N23+U23+AJ23+AL23</f>
        <v>0</v>
      </c>
      <c r="AN23" s="60" t="e">
        <f>M23+T23+AI23+AK23-F23</f>
        <v>#REF!</v>
      </c>
      <c r="AO23" s="28" t="s">
        <v>695</v>
      </c>
    </row>
    <row r="24" spans="1:41" ht="33.75" customHeight="1">
      <c r="A24" s="63">
        <v>2</v>
      </c>
      <c r="B24" s="63" t="s">
        <v>437</v>
      </c>
      <c r="C24" s="64" t="s">
        <v>696</v>
      </c>
      <c r="D24" s="65">
        <f>E24*$D$7</f>
        <v>244504.4</v>
      </c>
      <c r="E24" s="65">
        <v>87323</v>
      </c>
      <c r="F24" s="57" t="e">
        <f>#REF!*2.8</f>
        <v>#REF!</v>
      </c>
      <c r="G24" s="65" t="e">
        <f>F24-D24</f>
        <v>#REF!</v>
      </c>
      <c r="H24" s="65">
        <f>E24</f>
        <v>87323</v>
      </c>
      <c r="I24" s="65">
        <f>H24-E24</f>
        <v>0</v>
      </c>
      <c r="J24" s="66">
        <v>1</v>
      </c>
      <c r="K24" s="66">
        <v>0</v>
      </c>
      <c r="L24" s="68">
        <v>0</v>
      </c>
      <c r="M24" s="59">
        <f>N24</f>
        <v>0</v>
      </c>
      <c r="N24" s="59">
        <f>O24+P24+Q24+R24+S24</f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 t="e">
        <f>#REF!*2.8</f>
        <v>#REF!</v>
      </c>
      <c r="U24" s="59">
        <f>SUM(V24:AG24)</f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68"/>
      <c r="AE24" s="68"/>
      <c r="AF24" s="68"/>
      <c r="AG24" s="68"/>
      <c r="AH24" s="59" t="e">
        <f>T24-U24</f>
        <v>#REF!</v>
      </c>
      <c r="AI24" s="59" t="e">
        <f>#REF!*2.8</f>
        <v>#REF!</v>
      </c>
      <c r="AJ24" s="67"/>
      <c r="AK24" s="59" t="e">
        <f>#REF!*2.8</f>
        <v>#REF!</v>
      </c>
      <c r="AL24" s="67"/>
      <c r="AM24" s="59">
        <f>N24+U24+AJ24+AL24</f>
        <v>0</v>
      </c>
      <c r="AN24" s="60" t="e">
        <f>M24+T24+AI24+AK24-F24</f>
        <v>#REF!</v>
      </c>
      <c r="AO24" s="28" t="s">
        <v>695</v>
      </c>
    </row>
    <row r="25" spans="1:41" ht="17.25" customHeight="1">
      <c r="A25" s="69"/>
      <c r="B25" s="69"/>
      <c r="C25" s="70" t="s">
        <v>35</v>
      </c>
      <c r="D25" s="71">
        <f aca="true" t="shared" si="13" ref="D25:I25">SUM(D23:D24)</f>
        <v>564368</v>
      </c>
      <c r="E25" s="71">
        <f t="shared" si="13"/>
        <v>201560</v>
      </c>
      <c r="F25" s="71" t="e">
        <f t="shared" si="13"/>
        <v>#REF!</v>
      </c>
      <c r="G25" s="71" t="e">
        <f t="shared" si="13"/>
        <v>#REF!</v>
      </c>
      <c r="H25" s="71">
        <f t="shared" si="13"/>
        <v>201560</v>
      </c>
      <c r="I25" s="71">
        <f t="shared" si="13"/>
        <v>0</v>
      </c>
      <c r="J25" s="72">
        <v>1</v>
      </c>
      <c r="K25" s="72">
        <v>0</v>
      </c>
      <c r="L25" s="71">
        <f aca="true" t="shared" si="14" ref="L25:AI25">SUM(L23:L24)</f>
        <v>0</v>
      </c>
      <c r="M25" s="71">
        <f t="shared" si="14"/>
        <v>0</v>
      </c>
      <c r="N25" s="71">
        <f t="shared" si="14"/>
        <v>0</v>
      </c>
      <c r="O25" s="71">
        <f t="shared" si="14"/>
        <v>0</v>
      </c>
      <c r="P25" s="71">
        <f t="shared" si="14"/>
        <v>0</v>
      </c>
      <c r="Q25" s="71">
        <f t="shared" si="14"/>
        <v>0</v>
      </c>
      <c r="R25" s="71">
        <f t="shared" si="14"/>
        <v>0</v>
      </c>
      <c r="S25" s="71">
        <f t="shared" si="14"/>
        <v>0</v>
      </c>
      <c r="T25" s="71" t="e">
        <f t="shared" si="14"/>
        <v>#REF!</v>
      </c>
      <c r="U25" s="71">
        <f t="shared" si="14"/>
        <v>0</v>
      </c>
      <c r="V25" s="71">
        <f t="shared" si="14"/>
        <v>0</v>
      </c>
      <c r="W25" s="71">
        <f t="shared" si="14"/>
        <v>0</v>
      </c>
      <c r="X25" s="71">
        <f t="shared" si="14"/>
        <v>0</v>
      </c>
      <c r="Y25" s="71">
        <f t="shared" si="14"/>
        <v>0</v>
      </c>
      <c r="Z25" s="71">
        <f t="shared" si="14"/>
        <v>0</v>
      </c>
      <c r="AA25" s="71">
        <f t="shared" si="14"/>
        <v>0</v>
      </c>
      <c r="AB25" s="71">
        <f t="shared" si="14"/>
        <v>0</v>
      </c>
      <c r="AC25" s="71">
        <f t="shared" si="14"/>
        <v>0</v>
      </c>
      <c r="AD25" s="71">
        <f t="shared" si="14"/>
        <v>0</v>
      </c>
      <c r="AE25" s="71">
        <f t="shared" si="14"/>
        <v>0</v>
      </c>
      <c r="AF25" s="71">
        <f t="shared" si="14"/>
        <v>0</v>
      </c>
      <c r="AG25" s="71">
        <f t="shared" si="14"/>
        <v>0</v>
      </c>
      <c r="AH25" s="71" t="e">
        <f t="shared" si="14"/>
        <v>#REF!</v>
      </c>
      <c r="AI25" s="71" t="e">
        <f t="shared" si="14"/>
        <v>#REF!</v>
      </c>
      <c r="AJ25" s="71"/>
      <c r="AK25" s="71" t="e">
        <f>SUM(AK23:AK24)</f>
        <v>#REF!</v>
      </c>
      <c r="AL25" s="71"/>
      <c r="AM25" s="71">
        <f>SUM(AM23:AM24)</f>
        <v>0</v>
      </c>
      <c r="AN25" s="60" t="e">
        <f>M25+T25+AI25+AK25-F25</f>
        <v>#REF!</v>
      </c>
      <c r="AO25" s="28" t="s">
        <v>695</v>
      </c>
    </row>
    <row r="26" spans="1:40" ht="20.25" customHeight="1">
      <c r="A26" s="69"/>
      <c r="B26" s="69"/>
      <c r="C26" s="73" t="s">
        <v>36</v>
      </c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60"/>
    </row>
    <row r="27" spans="1:41" ht="18.75" customHeight="1">
      <c r="A27" s="63">
        <v>1</v>
      </c>
      <c r="B27" s="63" t="s">
        <v>362</v>
      </c>
      <c r="C27" s="64" t="s">
        <v>37</v>
      </c>
      <c r="D27" s="65">
        <f>E27*$D$7</f>
        <v>13248001.227999998</v>
      </c>
      <c r="E27" s="65">
        <v>4731429.01</v>
      </c>
      <c r="F27" s="57" t="e">
        <f>#REF!*2.8</f>
        <v>#REF!</v>
      </c>
      <c r="G27" s="65" t="e">
        <f>F27-D27</f>
        <v>#REF!</v>
      </c>
      <c r="H27" s="65">
        <f>E27</f>
        <v>4731429.01</v>
      </c>
      <c r="I27" s="65">
        <f>H27-E27</f>
        <v>0</v>
      </c>
      <c r="J27" s="66">
        <v>1</v>
      </c>
      <c r="K27" s="66">
        <v>0</v>
      </c>
      <c r="L27" s="67">
        <v>0</v>
      </c>
      <c r="M27" s="59">
        <f>N27</f>
        <v>0</v>
      </c>
      <c r="N27" s="59">
        <f>O27+P27+Q27+R27+S27</f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 t="e">
        <f>#REF!*2.8</f>
        <v>#REF!</v>
      </c>
      <c r="U27" s="59">
        <f>SUM(V27:AG27)</f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67"/>
      <c r="AE27" s="67"/>
      <c r="AF27" s="67"/>
      <c r="AG27" s="67"/>
      <c r="AH27" s="59" t="e">
        <f>T27-U27</f>
        <v>#REF!</v>
      </c>
      <c r="AI27" s="59">
        <v>4183579.31</v>
      </c>
      <c r="AJ27" s="67"/>
      <c r="AK27" s="59">
        <v>9064421.89</v>
      </c>
      <c r="AL27" s="67"/>
      <c r="AM27" s="59">
        <f>N27+U27+AJ27+AL27</f>
        <v>0</v>
      </c>
      <c r="AN27" s="60" t="e">
        <f>M27+T27+AI27+AK27-F27</f>
        <v>#REF!</v>
      </c>
      <c r="AO27" s="28" t="s">
        <v>695</v>
      </c>
    </row>
    <row r="28" spans="1:41" ht="18.75" customHeight="1">
      <c r="A28" s="63">
        <v>1</v>
      </c>
      <c r="B28" s="63" t="s">
        <v>368</v>
      </c>
      <c r="C28" s="64" t="s">
        <v>38</v>
      </c>
      <c r="D28" s="65">
        <f>E28*$D$7</f>
        <v>10346666.399999999</v>
      </c>
      <c r="E28" s="65">
        <v>3695238</v>
      </c>
      <c r="F28" s="57" t="e">
        <f>#REF!*2.8</f>
        <v>#REF!</v>
      </c>
      <c r="G28" s="65" t="e">
        <f>F28-D28</f>
        <v>#REF!</v>
      </c>
      <c r="H28" s="65">
        <f>E28</f>
        <v>3695238</v>
      </c>
      <c r="I28" s="65">
        <f>H28-E28</f>
        <v>0</v>
      </c>
      <c r="J28" s="66">
        <v>1</v>
      </c>
      <c r="K28" s="66">
        <v>0</v>
      </c>
      <c r="L28" s="67">
        <v>0</v>
      </c>
      <c r="M28" s="59">
        <f>N28</f>
        <v>0</v>
      </c>
      <c r="N28" s="59">
        <f>O28+P28+Q28+R28+S28</f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 t="e">
        <f>#REF!*2.8</f>
        <v>#REF!</v>
      </c>
      <c r="U28" s="59">
        <f>SUM(V28:AG28)</f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67"/>
      <c r="AE28" s="67"/>
      <c r="AF28" s="67"/>
      <c r="AG28" s="67"/>
      <c r="AH28" s="59" t="e">
        <f>T28-U28</f>
        <v>#REF!</v>
      </c>
      <c r="AI28" s="59" t="e">
        <f>#REF!*2.8</f>
        <v>#REF!</v>
      </c>
      <c r="AJ28" s="67"/>
      <c r="AK28" s="59" t="e">
        <f>#REF!*2.8</f>
        <v>#REF!</v>
      </c>
      <c r="AL28" s="67"/>
      <c r="AM28" s="59">
        <f>N28+U28+AJ28+AL28</f>
        <v>0</v>
      </c>
      <c r="AN28" s="60" t="e">
        <f>M28+T28+AI28+AK28-F28</f>
        <v>#REF!</v>
      </c>
      <c r="AO28" s="28" t="s">
        <v>695</v>
      </c>
    </row>
    <row r="29" spans="1:41" ht="18.75" customHeight="1">
      <c r="A29" s="63">
        <v>2</v>
      </c>
      <c r="B29" s="63" t="s">
        <v>403</v>
      </c>
      <c r="C29" s="64" t="s">
        <v>39</v>
      </c>
      <c r="D29" s="65" t="e">
        <f>E29*2.8</f>
        <v>#REF!</v>
      </c>
      <c r="E29" s="65" t="e">
        <f>#REF!</f>
        <v>#REF!</v>
      </c>
      <c r="F29" s="57" t="e">
        <f>#REF!*2.8</f>
        <v>#REF!</v>
      </c>
      <c r="G29" s="65" t="e">
        <f>F29-D29</f>
        <v>#REF!</v>
      </c>
      <c r="H29" s="65">
        <v>552754.16</v>
      </c>
      <c r="I29" s="65" t="e">
        <f>H29-E29</f>
        <v>#REF!</v>
      </c>
      <c r="J29" s="66">
        <v>1</v>
      </c>
      <c r="K29" s="66">
        <v>0</v>
      </c>
      <c r="L29" s="67">
        <v>0</v>
      </c>
      <c r="M29" s="59">
        <f>N29</f>
        <v>0</v>
      </c>
      <c r="N29" s="59">
        <f>O29+P29+Q29+R29+S29</f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 t="e">
        <f>#REF!*2.8</f>
        <v>#REF!</v>
      </c>
      <c r="U29" s="59">
        <f>SUM(V29:AG29)</f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67"/>
      <c r="AE29" s="67"/>
      <c r="AF29" s="67"/>
      <c r="AG29" s="67"/>
      <c r="AH29" s="59" t="e">
        <f>T29-U29</f>
        <v>#REF!</v>
      </c>
      <c r="AI29" s="59" t="e">
        <f>#REF!*2.8</f>
        <v>#REF!</v>
      </c>
      <c r="AJ29" s="67"/>
      <c r="AK29" s="59" t="e">
        <f>#REF!*2.8</f>
        <v>#REF!</v>
      </c>
      <c r="AL29" s="67"/>
      <c r="AM29" s="59">
        <f>N29+U29+AJ29+AL29</f>
        <v>0</v>
      </c>
      <c r="AN29" s="60" t="e">
        <f>M29+T29+AI29+AK29-F29</f>
        <v>#REF!</v>
      </c>
      <c r="AO29" s="28" t="s">
        <v>695</v>
      </c>
    </row>
    <row r="30" spans="1:41" ht="17.25" customHeight="1">
      <c r="A30" s="69"/>
      <c r="B30" s="76"/>
      <c r="C30" s="77" t="s">
        <v>40</v>
      </c>
      <c r="D30" s="78" t="e">
        <f aca="true" t="shared" si="15" ref="D30:I30">SUM(D27:D29)</f>
        <v>#REF!</v>
      </c>
      <c r="E30" s="78" t="e">
        <f t="shared" si="15"/>
        <v>#REF!</v>
      </c>
      <c r="F30" s="78" t="e">
        <f t="shared" si="15"/>
        <v>#REF!</v>
      </c>
      <c r="G30" s="78" t="e">
        <f t="shared" si="15"/>
        <v>#REF!</v>
      </c>
      <c r="H30" s="78">
        <f t="shared" si="15"/>
        <v>8979421.17</v>
      </c>
      <c r="I30" s="78" t="e">
        <f t="shared" si="15"/>
        <v>#REF!</v>
      </c>
      <c r="J30" s="79">
        <v>1</v>
      </c>
      <c r="K30" s="79">
        <v>0</v>
      </c>
      <c r="L30" s="78">
        <f aca="true" t="shared" si="16" ref="L30:AI30">SUM(L27:L29)</f>
        <v>0</v>
      </c>
      <c r="M30" s="78">
        <f t="shared" si="16"/>
        <v>0</v>
      </c>
      <c r="N30" s="78">
        <f t="shared" si="16"/>
        <v>0</v>
      </c>
      <c r="O30" s="78">
        <f t="shared" si="16"/>
        <v>0</v>
      </c>
      <c r="P30" s="78">
        <f t="shared" si="16"/>
        <v>0</v>
      </c>
      <c r="Q30" s="78">
        <f t="shared" si="16"/>
        <v>0</v>
      </c>
      <c r="R30" s="78">
        <f t="shared" si="16"/>
        <v>0</v>
      </c>
      <c r="S30" s="78">
        <f t="shared" si="16"/>
        <v>0</v>
      </c>
      <c r="T30" s="78" t="e">
        <f t="shared" si="16"/>
        <v>#REF!</v>
      </c>
      <c r="U30" s="78">
        <f t="shared" si="16"/>
        <v>0</v>
      </c>
      <c r="V30" s="78">
        <f t="shared" si="16"/>
        <v>0</v>
      </c>
      <c r="W30" s="78">
        <f t="shared" si="16"/>
        <v>0</v>
      </c>
      <c r="X30" s="78">
        <f t="shared" si="16"/>
        <v>0</v>
      </c>
      <c r="Y30" s="78">
        <f t="shared" si="16"/>
        <v>0</v>
      </c>
      <c r="Z30" s="78">
        <f t="shared" si="16"/>
        <v>0</v>
      </c>
      <c r="AA30" s="78">
        <f t="shared" si="16"/>
        <v>0</v>
      </c>
      <c r="AB30" s="78">
        <f t="shared" si="16"/>
        <v>0</v>
      </c>
      <c r="AC30" s="78">
        <f t="shared" si="16"/>
        <v>0</v>
      </c>
      <c r="AD30" s="78">
        <f t="shared" si="16"/>
        <v>0</v>
      </c>
      <c r="AE30" s="78">
        <f t="shared" si="16"/>
        <v>0</v>
      </c>
      <c r="AF30" s="78">
        <f t="shared" si="16"/>
        <v>0</v>
      </c>
      <c r="AG30" s="78">
        <f t="shared" si="16"/>
        <v>0</v>
      </c>
      <c r="AH30" s="78" t="e">
        <f t="shared" si="16"/>
        <v>#REF!</v>
      </c>
      <c r="AI30" s="78" t="e">
        <f t="shared" si="16"/>
        <v>#REF!</v>
      </c>
      <c r="AJ30" s="78"/>
      <c r="AK30" s="78" t="e">
        <f>SUM(AK27:AK29)</f>
        <v>#REF!</v>
      </c>
      <c r="AL30" s="78"/>
      <c r="AM30" s="78">
        <f>SUM(AM27:AM29)</f>
        <v>0</v>
      </c>
      <c r="AN30" s="60" t="e">
        <f>M30+T30+AI30+AK30-F30</f>
        <v>#REF!</v>
      </c>
      <c r="AO30" s="28" t="s">
        <v>695</v>
      </c>
    </row>
    <row r="31" spans="1:41" ht="24" customHeight="1">
      <c r="A31" s="80"/>
      <c r="B31" s="81" t="s">
        <v>697</v>
      </c>
      <c r="C31" s="82" t="s">
        <v>698</v>
      </c>
      <c r="D31" s="45">
        <f aca="true" t="shared" si="17" ref="D31:I31">D36+D39+D46</f>
        <v>5489545.347999999</v>
      </c>
      <c r="E31" s="45">
        <f t="shared" si="17"/>
        <v>1960551.91</v>
      </c>
      <c r="F31" s="45" t="e">
        <f t="shared" si="17"/>
        <v>#REF!</v>
      </c>
      <c r="G31" s="45" t="e">
        <f t="shared" si="17"/>
        <v>#REF!</v>
      </c>
      <c r="H31" s="45">
        <f t="shared" si="17"/>
        <v>1755790.2</v>
      </c>
      <c r="I31" s="45">
        <f t="shared" si="17"/>
        <v>-204761.71000000002</v>
      </c>
      <c r="J31" s="83">
        <v>1</v>
      </c>
      <c r="K31" s="83">
        <v>0</v>
      </c>
      <c r="L31" s="45">
        <f aca="true" t="shared" si="18" ref="L31:AI31">L36+L39+L46</f>
        <v>0</v>
      </c>
      <c r="M31" s="45">
        <f t="shared" si="18"/>
        <v>0</v>
      </c>
      <c r="N31" s="45">
        <f t="shared" si="18"/>
        <v>0</v>
      </c>
      <c r="O31" s="45">
        <f t="shared" si="18"/>
        <v>0</v>
      </c>
      <c r="P31" s="45">
        <f t="shared" si="18"/>
        <v>0</v>
      </c>
      <c r="Q31" s="45">
        <f t="shared" si="18"/>
        <v>0</v>
      </c>
      <c r="R31" s="45">
        <f t="shared" si="18"/>
        <v>0</v>
      </c>
      <c r="S31" s="45">
        <f t="shared" si="18"/>
        <v>0</v>
      </c>
      <c r="T31" s="45" t="e">
        <f t="shared" si="18"/>
        <v>#REF!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 t="e">
        <f t="shared" si="18"/>
        <v>#REF!</v>
      </c>
      <c r="AI31" s="45" t="e">
        <f t="shared" si="18"/>
        <v>#REF!</v>
      </c>
      <c r="AJ31" s="45"/>
      <c r="AK31" s="45" t="e">
        <f>AK36+AK39+AK46</f>
        <v>#REF!</v>
      </c>
      <c r="AL31" s="45"/>
      <c r="AM31" s="84">
        <f>N31+U31+AJ31+AL31</f>
        <v>0</v>
      </c>
      <c r="AN31" s="60" t="e">
        <f>M31+T31+AI31+AK31-F31</f>
        <v>#REF!</v>
      </c>
      <c r="AO31" s="28" t="s">
        <v>695</v>
      </c>
    </row>
    <row r="32" spans="1:40" ht="24" customHeight="1">
      <c r="A32" s="69"/>
      <c r="B32" s="49"/>
      <c r="C32" s="85" t="s">
        <v>29</v>
      </c>
      <c r="D32" s="51"/>
      <c r="E32" s="52"/>
      <c r="F32" s="53"/>
      <c r="G32" s="52"/>
      <c r="H32" s="52"/>
      <c r="I32" s="52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7"/>
      <c r="AJ32" s="86"/>
      <c r="AK32" s="86"/>
      <c r="AL32" s="86"/>
      <c r="AM32" s="86"/>
      <c r="AN32" s="60"/>
    </row>
    <row r="33" spans="1:41" ht="64.5" customHeight="1">
      <c r="A33" s="63">
        <v>3</v>
      </c>
      <c r="B33" s="63" t="s">
        <v>647</v>
      </c>
      <c r="C33" s="64" t="s">
        <v>699</v>
      </c>
      <c r="D33" s="65">
        <f>E33*$D$7</f>
        <v>1133332.788</v>
      </c>
      <c r="E33" s="65">
        <v>404761.71</v>
      </c>
      <c r="F33" s="57">
        <v>643300</v>
      </c>
      <c r="G33" s="65">
        <f>F33-D33</f>
        <v>-490032.78799999994</v>
      </c>
      <c r="H33" s="65">
        <v>200000</v>
      </c>
      <c r="I33" s="65">
        <f>H33-E33</f>
        <v>-204761.71000000002</v>
      </c>
      <c r="J33" s="66">
        <f>J20</f>
        <v>1</v>
      </c>
      <c r="K33" s="66">
        <v>0</v>
      </c>
      <c r="L33" s="67">
        <v>0</v>
      </c>
      <c r="M33" s="59">
        <f>N33</f>
        <v>0</v>
      </c>
      <c r="N33" s="59">
        <f>O33+P33+Q33+R33+S33</f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67">
        <f>0.55*F33</f>
        <v>353815</v>
      </c>
      <c r="U33" s="59">
        <f>SUM(V33:AG33)</f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67"/>
      <c r="AE33" s="67"/>
      <c r="AF33" s="67"/>
      <c r="AG33" s="67"/>
      <c r="AH33" s="59">
        <f>T33-U33</f>
        <v>353815</v>
      </c>
      <c r="AI33" s="67">
        <f>0.45*F33</f>
        <v>289485</v>
      </c>
      <c r="AJ33" s="67"/>
      <c r="AK33" s="67">
        <v>0</v>
      </c>
      <c r="AL33" s="67"/>
      <c r="AM33" s="59">
        <f>N33+U33+AJ33+AL33</f>
        <v>0</v>
      </c>
      <c r="AN33" s="60">
        <f>M33+T33+AI33+AK33-F33</f>
        <v>0</v>
      </c>
      <c r="AO33" s="28" t="s">
        <v>695</v>
      </c>
    </row>
    <row r="34" spans="1:41" ht="64.5" customHeight="1">
      <c r="A34" s="63"/>
      <c r="B34" s="63" t="s">
        <v>651</v>
      </c>
      <c r="C34" s="64" t="s">
        <v>648</v>
      </c>
      <c r="D34" s="65"/>
      <c r="E34" s="65"/>
      <c r="F34" s="57" t="e">
        <f>#REF!*2.8</f>
        <v>#REF!</v>
      </c>
      <c r="G34" s="65"/>
      <c r="H34" s="65">
        <v>200000</v>
      </c>
      <c r="I34" s="65"/>
      <c r="J34" s="66"/>
      <c r="K34" s="66"/>
      <c r="L34" s="67">
        <v>0</v>
      </c>
      <c r="M34" s="59">
        <f>N34</f>
        <v>0</v>
      </c>
      <c r="N34" s="59">
        <f>O34+P34+Q34+R34+S34</f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67">
        <v>0</v>
      </c>
      <c r="U34" s="59">
        <f>SUM(V34:AG34)</f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67"/>
      <c r="AE34" s="67"/>
      <c r="AF34" s="67"/>
      <c r="AG34" s="67"/>
      <c r="AH34" s="59">
        <f>T34-U34</f>
        <v>0</v>
      </c>
      <c r="AI34" s="67">
        <v>342222.22</v>
      </c>
      <c r="AJ34" s="67"/>
      <c r="AK34" s="67">
        <v>217777.78</v>
      </c>
      <c r="AL34" s="67"/>
      <c r="AM34" s="59">
        <f>N34+U34+AJ34+AL34</f>
        <v>0</v>
      </c>
      <c r="AN34" s="60" t="e">
        <f>M34+T34+AI34+AK34-F34</f>
        <v>#REF!</v>
      </c>
      <c r="AO34" s="28" t="s">
        <v>695</v>
      </c>
    </row>
    <row r="35" spans="1:41" ht="64.5" customHeight="1">
      <c r="A35" s="63"/>
      <c r="B35" s="63" t="s">
        <v>655</v>
      </c>
      <c r="C35" s="64" t="s">
        <v>652</v>
      </c>
      <c r="D35" s="65"/>
      <c r="E35" s="65"/>
      <c r="F35" s="57" t="e">
        <f>#REF!*2.8</f>
        <v>#REF!</v>
      </c>
      <c r="G35" s="65"/>
      <c r="H35" s="65">
        <v>200000</v>
      </c>
      <c r="I35" s="65"/>
      <c r="J35" s="66"/>
      <c r="K35" s="66"/>
      <c r="L35" s="67">
        <v>0</v>
      </c>
      <c r="M35" s="59">
        <f>N35</f>
        <v>0</v>
      </c>
      <c r="N35" s="59">
        <f>O35+P35+Q35+R35+S35</f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67">
        <v>0</v>
      </c>
      <c r="U35" s="59">
        <f>SUM(V35:AG35)</f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67"/>
      <c r="AE35" s="67"/>
      <c r="AF35" s="67"/>
      <c r="AG35" s="67"/>
      <c r="AH35" s="59">
        <f>T35-U35</f>
        <v>0</v>
      </c>
      <c r="AI35" s="67">
        <v>342222.22</v>
      </c>
      <c r="AJ35" s="67"/>
      <c r="AK35" s="67">
        <v>217777.78</v>
      </c>
      <c r="AL35" s="67"/>
      <c r="AM35" s="59">
        <f>N35+U35+AJ35+AL35</f>
        <v>0</v>
      </c>
      <c r="AN35" s="60" t="e">
        <f>M35+T35+AI35+AK35-F35</f>
        <v>#REF!</v>
      </c>
      <c r="AO35" s="28" t="s">
        <v>695</v>
      </c>
    </row>
    <row r="36" spans="1:40" ht="18.75" customHeight="1">
      <c r="A36" s="69"/>
      <c r="B36" s="69"/>
      <c r="C36" s="70" t="s">
        <v>31</v>
      </c>
      <c r="D36" s="71">
        <f>E36*$D$7</f>
        <v>1133332.788</v>
      </c>
      <c r="E36" s="71">
        <f>SUM(E33)</f>
        <v>404761.71</v>
      </c>
      <c r="F36" s="71" t="e">
        <f>SUM(F33:F35)</f>
        <v>#REF!</v>
      </c>
      <c r="G36" s="71">
        <f>SUM(G33)</f>
        <v>-490032.78799999994</v>
      </c>
      <c r="H36" s="71">
        <f>SUM(H33)</f>
        <v>200000</v>
      </c>
      <c r="I36" s="71">
        <f>SUM(I33)</f>
        <v>-204761.71000000002</v>
      </c>
      <c r="J36" s="72">
        <v>1</v>
      </c>
      <c r="K36" s="72">
        <v>0</v>
      </c>
      <c r="L36" s="71">
        <f>L33</f>
        <v>0</v>
      </c>
      <c r="M36" s="71">
        <f>SUM(M33:M35)</f>
        <v>0</v>
      </c>
      <c r="N36" s="71">
        <f>SUM(N33:N35)</f>
        <v>0</v>
      </c>
      <c r="O36" s="71">
        <f>O33</f>
        <v>0</v>
      </c>
      <c r="P36" s="71">
        <f>P33</f>
        <v>0</v>
      </c>
      <c r="Q36" s="71">
        <f>Q33</f>
        <v>0</v>
      </c>
      <c r="R36" s="71">
        <f>R33</f>
        <v>0</v>
      </c>
      <c r="S36" s="71">
        <f>S33</f>
        <v>0</v>
      </c>
      <c r="T36" s="71">
        <f>SUM(T33:T35)</f>
        <v>353815</v>
      </c>
      <c r="U36" s="71">
        <f>SUM(U33:U35)</f>
        <v>0</v>
      </c>
      <c r="V36" s="71">
        <f aca="true" t="shared" si="19" ref="V36:AG36">V33</f>
        <v>0</v>
      </c>
      <c r="W36" s="71">
        <f t="shared" si="19"/>
        <v>0</v>
      </c>
      <c r="X36" s="71">
        <f t="shared" si="19"/>
        <v>0</v>
      </c>
      <c r="Y36" s="71">
        <f t="shared" si="19"/>
        <v>0</v>
      </c>
      <c r="Z36" s="71">
        <f t="shared" si="19"/>
        <v>0</v>
      </c>
      <c r="AA36" s="71">
        <f t="shared" si="19"/>
        <v>0</v>
      </c>
      <c r="AB36" s="71">
        <f t="shared" si="19"/>
        <v>0</v>
      </c>
      <c r="AC36" s="71">
        <f t="shared" si="19"/>
        <v>0</v>
      </c>
      <c r="AD36" s="71">
        <f t="shared" si="19"/>
        <v>0</v>
      </c>
      <c r="AE36" s="71">
        <f t="shared" si="19"/>
        <v>0</v>
      </c>
      <c r="AF36" s="71">
        <f t="shared" si="19"/>
        <v>0</v>
      </c>
      <c r="AG36" s="71">
        <f t="shared" si="19"/>
        <v>0</v>
      </c>
      <c r="AH36" s="71">
        <f>SUM(AH33)</f>
        <v>353815</v>
      </c>
      <c r="AI36" s="71">
        <f>SUM(AI33:AI35)</f>
        <v>973929.44</v>
      </c>
      <c r="AJ36" s="71"/>
      <c r="AK36" s="71">
        <f>SUM(AK33:AK35)</f>
        <v>435555.56</v>
      </c>
      <c r="AL36" s="71"/>
      <c r="AM36" s="71">
        <f>SUM(AM33:AM35)</f>
        <v>0</v>
      </c>
      <c r="AN36" s="60" t="e">
        <f>M36+T36+AI36+AK36-F36</f>
        <v>#REF!</v>
      </c>
    </row>
    <row r="37" spans="1:40" ht="35.25" customHeight="1">
      <c r="A37" s="69"/>
      <c r="B37" s="69"/>
      <c r="C37" s="73" t="s">
        <v>41</v>
      </c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60"/>
    </row>
    <row r="38" spans="1:41" ht="32.25" customHeight="1">
      <c r="A38" s="63">
        <v>3</v>
      </c>
      <c r="B38" s="63" t="s">
        <v>700</v>
      </c>
      <c r="C38" s="64" t="s">
        <v>701</v>
      </c>
      <c r="D38" s="65">
        <f>E38*$D$7</f>
        <v>0</v>
      </c>
      <c r="E38" s="65">
        <v>0</v>
      </c>
      <c r="F38" s="57" t="e">
        <f>#REF!*2.8</f>
        <v>#REF!</v>
      </c>
      <c r="G38" s="65" t="e">
        <f>F38-D38</f>
        <v>#REF!</v>
      </c>
      <c r="H38" s="65">
        <f>E38</f>
        <v>0</v>
      </c>
      <c r="I38" s="65">
        <f>H38-E38</f>
        <v>0</v>
      </c>
      <c r="J38" s="66">
        <v>1</v>
      </c>
      <c r="K38" s="66">
        <v>0</v>
      </c>
      <c r="L38" s="67">
        <v>0</v>
      </c>
      <c r="M38" s="59">
        <f>N38</f>
        <v>0</v>
      </c>
      <c r="N38" s="59">
        <f>O38+P38+Q38+R38+S38</f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 t="e">
        <f>#REF!*2.8</f>
        <v>#REF!</v>
      </c>
      <c r="U38" s="59">
        <f>SUM(V38:AG38)</f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67"/>
      <c r="AE38" s="67"/>
      <c r="AF38" s="67"/>
      <c r="AG38" s="67"/>
      <c r="AH38" s="59" t="e">
        <f>T38-U38</f>
        <v>#REF!</v>
      </c>
      <c r="AI38" s="59" t="e">
        <f>#REF!*2.8</f>
        <v>#REF!</v>
      </c>
      <c r="AJ38" s="67"/>
      <c r="AK38" s="59" t="e">
        <f>#REF!*2.8</f>
        <v>#REF!</v>
      </c>
      <c r="AL38" s="67"/>
      <c r="AM38" s="59">
        <f>N38+U38+AJ38+AL38</f>
        <v>0</v>
      </c>
      <c r="AN38" s="60" t="e">
        <f>M38+T38+AI38+AK38-F38</f>
        <v>#REF!</v>
      </c>
      <c r="AO38" s="28" t="s">
        <v>695</v>
      </c>
    </row>
    <row r="39" spans="1:41" ht="32.25" customHeight="1">
      <c r="A39" s="69"/>
      <c r="B39" s="69"/>
      <c r="C39" s="70" t="s">
        <v>43</v>
      </c>
      <c r="D39" s="71">
        <f aca="true" t="shared" si="20" ref="D39:I39">SUM(D38)</f>
        <v>0</v>
      </c>
      <c r="E39" s="71">
        <f t="shared" si="20"/>
        <v>0</v>
      </c>
      <c r="F39" s="71" t="e">
        <f t="shared" si="20"/>
        <v>#REF!</v>
      </c>
      <c r="G39" s="71" t="e">
        <f t="shared" si="20"/>
        <v>#REF!</v>
      </c>
      <c r="H39" s="71">
        <f t="shared" si="20"/>
        <v>0</v>
      </c>
      <c r="I39" s="71">
        <f t="shared" si="20"/>
        <v>0</v>
      </c>
      <c r="J39" s="72">
        <v>1</v>
      </c>
      <c r="K39" s="72">
        <v>0</v>
      </c>
      <c r="L39" s="71">
        <f>L38</f>
        <v>0</v>
      </c>
      <c r="M39" s="71">
        <f>SUM(M38)</f>
        <v>0</v>
      </c>
      <c r="N39" s="71">
        <f aca="true" t="shared" si="21" ref="N39:AG39">N38</f>
        <v>0</v>
      </c>
      <c r="O39" s="71">
        <f t="shared" si="21"/>
        <v>0</v>
      </c>
      <c r="P39" s="71">
        <f t="shared" si="21"/>
        <v>0</v>
      </c>
      <c r="Q39" s="71">
        <f t="shared" si="21"/>
        <v>0</v>
      </c>
      <c r="R39" s="71">
        <f t="shared" si="21"/>
        <v>0</v>
      </c>
      <c r="S39" s="71">
        <f t="shared" si="21"/>
        <v>0</v>
      </c>
      <c r="T39" s="71" t="e">
        <f t="shared" si="21"/>
        <v>#REF!</v>
      </c>
      <c r="U39" s="71">
        <f t="shared" si="21"/>
        <v>0</v>
      </c>
      <c r="V39" s="71">
        <f t="shared" si="21"/>
        <v>0</v>
      </c>
      <c r="W39" s="71">
        <f t="shared" si="21"/>
        <v>0</v>
      </c>
      <c r="X39" s="71">
        <f t="shared" si="21"/>
        <v>0</v>
      </c>
      <c r="Y39" s="71">
        <f t="shared" si="21"/>
        <v>0</v>
      </c>
      <c r="Z39" s="71">
        <f t="shared" si="21"/>
        <v>0</v>
      </c>
      <c r="AA39" s="71">
        <f t="shared" si="21"/>
        <v>0</v>
      </c>
      <c r="AB39" s="71">
        <f t="shared" si="21"/>
        <v>0</v>
      </c>
      <c r="AC39" s="71">
        <f t="shared" si="21"/>
        <v>0</v>
      </c>
      <c r="AD39" s="71">
        <f t="shared" si="21"/>
        <v>0</v>
      </c>
      <c r="AE39" s="71">
        <f t="shared" si="21"/>
        <v>0</v>
      </c>
      <c r="AF39" s="71">
        <f t="shared" si="21"/>
        <v>0</v>
      </c>
      <c r="AG39" s="71">
        <f t="shared" si="21"/>
        <v>0</v>
      </c>
      <c r="AH39" s="71" t="e">
        <f>SUM(AH38)</f>
        <v>#REF!</v>
      </c>
      <c r="AI39" s="71" t="e">
        <f>AI38</f>
        <v>#REF!</v>
      </c>
      <c r="AJ39" s="71"/>
      <c r="AK39" s="71" t="e">
        <f>AK38</f>
        <v>#REF!</v>
      </c>
      <c r="AL39" s="71"/>
      <c r="AM39" s="71">
        <f>SUM(AM38)</f>
        <v>0</v>
      </c>
      <c r="AN39" s="60" t="e">
        <f>M39+T39+AI39+AK39-F39</f>
        <v>#REF!</v>
      </c>
      <c r="AO39" s="28" t="s">
        <v>695</v>
      </c>
    </row>
    <row r="40" spans="1:40" ht="18.75" customHeight="1">
      <c r="A40" s="69"/>
      <c r="B40" s="69"/>
      <c r="C40" s="73" t="s">
        <v>44</v>
      </c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60"/>
    </row>
    <row r="41" spans="1:40" ht="18.75" customHeight="1" hidden="1">
      <c r="A41" s="90"/>
      <c r="B41" s="90"/>
      <c r="C41" s="91" t="s">
        <v>45</v>
      </c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60">
        <f>SUM(L41:AK41)-E41</f>
        <v>0</v>
      </c>
    </row>
    <row r="42" spans="1:41" ht="18.75" customHeight="1">
      <c r="A42" s="63">
        <v>3</v>
      </c>
      <c r="B42" s="63" t="s">
        <v>594</v>
      </c>
      <c r="C42" s="64" t="s">
        <v>46</v>
      </c>
      <c r="D42" s="65">
        <f>E42*$D$7</f>
        <v>1919181.572</v>
      </c>
      <c r="E42" s="65">
        <v>685421.99</v>
      </c>
      <c r="F42" s="57" t="e">
        <f>#REF!*2.8</f>
        <v>#REF!</v>
      </c>
      <c r="G42" s="65" t="e">
        <f>F42-D42</f>
        <v>#REF!</v>
      </c>
      <c r="H42" s="65">
        <f>E42</f>
        <v>685421.99</v>
      </c>
      <c r="I42" s="65">
        <f>H42-E42</f>
        <v>0</v>
      </c>
      <c r="J42" s="66">
        <v>1</v>
      </c>
      <c r="K42" s="66">
        <v>0</v>
      </c>
      <c r="L42" s="67">
        <v>0</v>
      </c>
      <c r="M42" s="59">
        <f>N42</f>
        <v>0</v>
      </c>
      <c r="N42" s="59">
        <f>O42+P42+Q42+R42+S42</f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 t="e">
        <f>#REF!*2.8</f>
        <v>#REF!</v>
      </c>
      <c r="U42" s="59">
        <f>SUM(V42:AG42)</f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67"/>
      <c r="AE42" s="67"/>
      <c r="AF42" s="67"/>
      <c r="AG42" s="67"/>
      <c r="AH42" s="59" t="e">
        <f>T42-U42</f>
        <v>#REF!</v>
      </c>
      <c r="AI42" s="59">
        <v>1119522.6</v>
      </c>
      <c r="AJ42" s="67"/>
      <c r="AK42" s="59">
        <v>799659</v>
      </c>
      <c r="AL42" s="67"/>
      <c r="AM42" s="59">
        <f>N42+U42+AJ42+AL42</f>
        <v>0</v>
      </c>
      <c r="AN42" s="60" t="e">
        <f>M42+T42+AI42+AK42-F42</f>
        <v>#REF!</v>
      </c>
      <c r="AO42" s="28" t="s">
        <v>695</v>
      </c>
    </row>
    <row r="43" spans="1:41" ht="18" customHeight="1">
      <c r="A43" s="63">
        <v>3</v>
      </c>
      <c r="B43" s="63" t="s">
        <v>602</v>
      </c>
      <c r="C43" s="64" t="s">
        <v>47</v>
      </c>
      <c r="D43" s="65">
        <f>E43*$D$7</f>
        <v>1151508.288</v>
      </c>
      <c r="E43" s="65">
        <v>411252.96</v>
      </c>
      <c r="F43" s="57" t="e">
        <f>#REF!*2.8</f>
        <v>#REF!</v>
      </c>
      <c r="G43" s="65" t="e">
        <f>F43-D43</f>
        <v>#REF!</v>
      </c>
      <c r="H43" s="65">
        <f>E43</f>
        <v>411252.96</v>
      </c>
      <c r="I43" s="65">
        <f>H43-E43</f>
        <v>0</v>
      </c>
      <c r="J43" s="66">
        <v>1</v>
      </c>
      <c r="K43" s="66">
        <v>0</v>
      </c>
      <c r="L43" s="67">
        <v>0</v>
      </c>
      <c r="M43" s="59">
        <f>N43</f>
        <v>0</v>
      </c>
      <c r="N43" s="59">
        <f>O43+P43+Q43+R43+S43</f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 t="e">
        <f>#REF!*2.8</f>
        <v>#REF!</v>
      </c>
      <c r="U43" s="59">
        <f>SUM(V43:AG43)</f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67"/>
      <c r="AE43" s="67"/>
      <c r="AF43" s="67"/>
      <c r="AG43" s="67"/>
      <c r="AH43" s="59" t="e">
        <f>T43-U43</f>
        <v>#REF!</v>
      </c>
      <c r="AI43" s="59">
        <v>671713.22</v>
      </c>
      <c r="AJ43" s="67"/>
      <c r="AK43" s="59">
        <v>479795.18</v>
      </c>
      <c r="AL43" s="67"/>
      <c r="AM43" s="59">
        <f>N43+U43+AJ43+AL43</f>
        <v>0</v>
      </c>
      <c r="AN43" s="60" t="e">
        <f>M43+T43+AI43+AK43-F43</f>
        <v>#REF!</v>
      </c>
      <c r="AO43" s="28" t="s">
        <v>695</v>
      </c>
    </row>
    <row r="44" spans="1:41" ht="36" customHeight="1">
      <c r="A44" s="63">
        <v>3</v>
      </c>
      <c r="B44" s="63" t="s">
        <v>598</v>
      </c>
      <c r="C44" s="64" t="s">
        <v>48</v>
      </c>
      <c r="D44" s="65">
        <f>E44*$D$7</f>
        <v>1151508.372</v>
      </c>
      <c r="E44" s="65">
        <v>411252.99</v>
      </c>
      <c r="F44" s="57" t="e">
        <f>#REF!*2.8</f>
        <v>#REF!</v>
      </c>
      <c r="G44" s="65" t="e">
        <f>F44-D44</f>
        <v>#REF!</v>
      </c>
      <c r="H44" s="65">
        <f>E44</f>
        <v>411252.99</v>
      </c>
      <c r="I44" s="65">
        <f>H44-E44</f>
        <v>0</v>
      </c>
      <c r="J44" s="66">
        <v>1</v>
      </c>
      <c r="K44" s="66">
        <v>0</v>
      </c>
      <c r="L44" s="67">
        <v>0</v>
      </c>
      <c r="M44" s="59">
        <f>N44</f>
        <v>0</v>
      </c>
      <c r="N44" s="59">
        <f>O44+P44+Q44+R44+S44</f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 t="e">
        <f>#REF!*2.8</f>
        <v>#REF!</v>
      </c>
      <c r="U44" s="59">
        <f>SUM(V44:AG44)</f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67"/>
      <c r="AE44" s="67"/>
      <c r="AF44" s="67"/>
      <c r="AG44" s="67"/>
      <c r="AH44" s="59" t="e">
        <f>T44-U44</f>
        <v>#REF!</v>
      </c>
      <c r="AI44" s="59">
        <v>671713.22</v>
      </c>
      <c r="AJ44" s="67"/>
      <c r="AK44" s="59">
        <v>479795.18</v>
      </c>
      <c r="AL44" s="67"/>
      <c r="AM44" s="59">
        <f>N44+U44+AJ44+AL44</f>
        <v>0</v>
      </c>
      <c r="AN44" s="60" t="e">
        <f>M44+T44+AI44+AK44-F44</f>
        <v>#REF!</v>
      </c>
      <c r="AO44" s="28" t="s">
        <v>695</v>
      </c>
    </row>
    <row r="45" spans="1:41" ht="18" customHeight="1">
      <c r="A45" s="63">
        <v>3</v>
      </c>
      <c r="B45" s="63" t="s">
        <v>606</v>
      </c>
      <c r="C45" s="64" t="s">
        <v>49</v>
      </c>
      <c r="D45" s="65">
        <f>E45*$D$7</f>
        <v>134014.328</v>
      </c>
      <c r="E45" s="65">
        <v>47862.26</v>
      </c>
      <c r="F45" s="57" t="e">
        <f>#REF!*2.8</f>
        <v>#REF!</v>
      </c>
      <c r="G45" s="65" t="e">
        <f>F45-D45</f>
        <v>#REF!</v>
      </c>
      <c r="H45" s="65">
        <f>E45</f>
        <v>47862.26</v>
      </c>
      <c r="I45" s="65">
        <f>H45-E45</f>
        <v>0</v>
      </c>
      <c r="J45" s="66">
        <v>1</v>
      </c>
      <c r="K45" s="66">
        <v>0</v>
      </c>
      <c r="L45" s="67">
        <v>0</v>
      </c>
      <c r="M45" s="59">
        <f>N45</f>
        <v>0</v>
      </c>
      <c r="N45" s="59">
        <f>O45+P45+Q45+R45+S45</f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 t="e">
        <f>#REF!*2.8</f>
        <v>#REF!</v>
      </c>
      <c r="U45" s="59">
        <f>SUM(V45:AG45)</f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68"/>
      <c r="AE45" s="68"/>
      <c r="AF45" s="68"/>
      <c r="AG45" s="68"/>
      <c r="AH45" s="59" t="e">
        <f>T45-U45</f>
        <v>#REF!</v>
      </c>
      <c r="AI45" s="59">
        <v>22335.6</v>
      </c>
      <c r="AJ45" s="68"/>
      <c r="AK45" s="59">
        <v>111678</v>
      </c>
      <c r="AL45" s="68"/>
      <c r="AM45" s="59">
        <f>N45+U45+AJ45+AL45</f>
        <v>0</v>
      </c>
      <c r="AN45" s="60" t="e">
        <f>M45+T45+AI45+AK45-F45</f>
        <v>#REF!</v>
      </c>
      <c r="AO45" s="28" t="s">
        <v>695</v>
      </c>
    </row>
    <row r="46" spans="1:44" ht="19.5" customHeight="1">
      <c r="A46" s="69"/>
      <c r="B46" s="76"/>
      <c r="C46" s="77" t="s">
        <v>50</v>
      </c>
      <c r="D46" s="78">
        <f aca="true" t="shared" si="22" ref="D46:I46">SUM(D42:D45)</f>
        <v>4356212.56</v>
      </c>
      <c r="E46" s="78">
        <f t="shared" si="22"/>
        <v>1555790.2</v>
      </c>
      <c r="F46" s="78" t="e">
        <f t="shared" si="22"/>
        <v>#REF!</v>
      </c>
      <c r="G46" s="78" t="e">
        <f t="shared" si="22"/>
        <v>#REF!</v>
      </c>
      <c r="H46" s="78">
        <f t="shared" si="22"/>
        <v>1555790.2</v>
      </c>
      <c r="I46" s="78">
        <f t="shared" si="22"/>
        <v>0</v>
      </c>
      <c r="J46" s="79">
        <f>J45</f>
        <v>1</v>
      </c>
      <c r="K46" s="79">
        <v>0</v>
      </c>
      <c r="L46" s="78">
        <f aca="true" t="shared" si="23" ref="L46:AI46">SUM(L42:L45)</f>
        <v>0</v>
      </c>
      <c r="M46" s="78">
        <f t="shared" si="23"/>
        <v>0</v>
      </c>
      <c r="N46" s="78">
        <f t="shared" si="23"/>
        <v>0</v>
      </c>
      <c r="O46" s="78">
        <f t="shared" si="23"/>
        <v>0</v>
      </c>
      <c r="P46" s="78">
        <f t="shared" si="23"/>
        <v>0</v>
      </c>
      <c r="Q46" s="78">
        <f t="shared" si="23"/>
        <v>0</v>
      </c>
      <c r="R46" s="78">
        <f t="shared" si="23"/>
        <v>0</v>
      </c>
      <c r="S46" s="78">
        <f t="shared" si="23"/>
        <v>0</v>
      </c>
      <c r="T46" s="78" t="e">
        <f t="shared" si="23"/>
        <v>#REF!</v>
      </c>
      <c r="U46" s="78">
        <f t="shared" si="23"/>
        <v>0</v>
      </c>
      <c r="V46" s="78">
        <f t="shared" si="23"/>
        <v>0</v>
      </c>
      <c r="W46" s="78">
        <f t="shared" si="23"/>
        <v>0</v>
      </c>
      <c r="X46" s="78">
        <f t="shared" si="23"/>
        <v>0</v>
      </c>
      <c r="Y46" s="78">
        <f t="shared" si="23"/>
        <v>0</v>
      </c>
      <c r="Z46" s="78">
        <f t="shared" si="23"/>
        <v>0</v>
      </c>
      <c r="AA46" s="78">
        <f t="shared" si="23"/>
        <v>0</v>
      </c>
      <c r="AB46" s="78">
        <f t="shared" si="23"/>
        <v>0</v>
      </c>
      <c r="AC46" s="78">
        <f t="shared" si="23"/>
        <v>0</v>
      </c>
      <c r="AD46" s="78">
        <f t="shared" si="23"/>
        <v>0</v>
      </c>
      <c r="AE46" s="78">
        <f t="shared" si="23"/>
        <v>0</v>
      </c>
      <c r="AF46" s="78">
        <f t="shared" si="23"/>
        <v>0</v>
      </c>
      <c r="AG46" s="78">
        <f t="shared" si="23"/>
        <v>0</v>
      </c>
      <c r="AH46" s="78" t="e">
        <f t="shared" si="23"/>
        <v>#REF!</v>
      </c>
      <c r="AI46" s="78">
        <f t="shared" si="23"/>
        <v>2485284.64</v>
      </c>
      <c r="AJ46" s="78"/>
      <c r="AK46" s="78">
        <f>SUM(AK42:AK45)</f>
        <v>1870927.3599999999</v>
      </c>
      <c r="AL46" s="78"/>
      <c r="AM46" s="78">
        <f>SUM(AM42:AM45)</f>
        <v>0</v>
      </c>
      <c r="AN46" s="60" t="e">
        <f>M46+T46+AI46+AK46-F46</f>
        <v>#REF!</v>
      </c>
      <c r="AO46" s="28" t="s">
        <v>695</v>
      </c>
      <c r="AP46" s="92" t="s">
        <v>702</v>
      </c>
      <c r="AQ46" s="93">
        <v>1555546.97</v>
      </c>
      <c r="AR46" s="92" t="s">
        <v>703</v>
      </c>
    </row>
    <row r="47" spans="1:45" ht="37.5" customHeight="1">
      <c r="A47" s="80"/>
      <c r="B47" s="81"/>
      <c r="C47" s="82" t="s">
        <v>54</v>
      </c>
      <c r="D47" s="94" t="e">
        <f aca="true" t="shared" si="24" ref="D47:I47">SUM(D21+D36+D25+D30+D39+D46)</f>
        <v>#REF!</v>
      </c>
      <c r="E47" s="94" t="e">
        <f t="shared" si="24"/>
        <v>#REF!</v>
      </c>
      <c r="F47" s="45" t="e">
        <f t="shared" si="24"/>
        <v>#REF!</v>
      </c>
      <c r="G47" s="45" t="e">
        <f t="shared" si="24"/>
        <v>#REF!</v>
      </c>
      <c r="H47" s="45">
        <f t="shared" si="24"/>
        <v>39836804.37357143</v>
      </c>
      <c r="I47" s="45" t="e">
        <f t="shared" si="24"/>
        <v>#REF!</v>
      </c>
      <c r="J47" s="45">
        <f>J46</f>
        <v>1</v>
      </c>
      <c r="K47" s="45">
        <v>0</v>
      </c>
      <c r="L47" s="45">
        <f aca="true" t="shared" si="25" ref="L47:AG47">SUM(L21+L36+L25+L30+L46)</f>
        <v>0</v>
      </c>
      <c r="M47" s="45">
        <f t="shared" si="25"/>
        <v>4687604.6</v>
      </c>
      <c r="N47" s="45">
        <f t="shared" si="25"/>
        <v>4687604.6</v>
      </c>
      <c r="O47" s="45">
        <f t="shared" si="25"/>
        <v>0</v>
      </c>
      <c r="P47" s="45">
        <f t="shared" si="25"/>
        <v>0</v>
      </c>
      <c r="Q47" s="45">
        <f t="shared" si="25"/>
        <v>0</v>
      </c>
      <c r="R47" s="45">
        <f t="shared" si="25"/>
        <v>4687604.6</v>
      </c>
      <c r="S47" s="45">
        <f t="shared" si="25"/>
        <v>0</v>
      </c>
      <c r="T47" s="45" t="e">
        <f t="shared" si="25"/>
        <v>#REF!</v>
      </c>
      <c r="U47" s="45">
        <f t="shared" si="25"/>
        <v>20444000</v>
      </c>
      <c r="V47" s="45">
        <f t="shared" si="25"/>
        <v>0</v>
      </c>
      <c r="W47" s="45">
        <f t="shared" si="25"/>
        <v>0</v>
      </c>
      <c r="X47" s="45">
        <f t="shared" si="25"/>
        <v>0</v>
      </c>
      <c r="Y47" s="45">
        <f t="shared" si="25"/>
        <v>0</v>
      </c>
      <c r="Z47" s="45">
        <f t="shared" si="25"/>
        <v>0</v>
      </c>
      <c r="AA47" s="45">
        <f t="shared" si="25"/>
        <v>0</v>
      </c>
      <c r="AB47" s="45">
        <f t="shared" si="25"/>
        <v>16244000</v>
      </c>
      <c r="AC47" s="45">
        <f t="shared" si="25"/>
        <v>4200000</v>
      </c>
      <c r="AD47" s="45">
        <f t="shared" si="25"/>
        <v>0</v>
      </c>
      <c r="AE47" s="45">
        <f t="shared" si="25"/>
        <v>0</v>
      </c>
      <c r="AF47" s="45">
        <f t="shared" si="25"/>
        <v>0</v>
      </c>
      <c r="AG47" s="45">
        <f t="shared" si="25"/>
        <v>0</v>
      </c>
      <c r="AH47" s="45" t="e">
        <f>AH10+AH31</f>
        <v>#REF!</v>
      </c>
      <c r="AI47" s="45" t="e">
        <f>AI10+AI31</f>
        <v>#REF!</v>
      </c>
      <c r="AJ47" s="45"/>
      <c r="AK47" s="45" t="e">
        <f>SUM(AK21+AK36+AK25+AK30+AK46)</f>
        <v>#REF!</v>
      </c>
      <c r="AL47" s="45"/>
      <c r="AM47" s="45">
        <f>AM10+AM31</f>
        <v>25131604.6</v>
      </c>
      <c r="AN47" s="60" t="e">
        <f>M47+T47+AI47+AK47-F47-0.01</f>
        <v>#REF!</v>
      </c>
      <c r="AO47" s="28" t="s">
        <v>695</v>
      </c>
      <c r="AP47" s="92" t="s">
        <v>702</v>
      </c>
      <c r="AQ47" s="93">
        <v>37439756.87</v>
      </c>
      <c r="AR47" s="92" t="s">
        <v>703</v>
      </c>
      <c r="AS47" s="95" t="s">
        <v>704</v>
      </c>
    </row>
    <row r="48" spans="1:40" ht="34.5" customHeight="1">
      <c r="A48" s="31"/>
      <c r="B48" s="31">
        <v>2</v>
      </c>
      <c r="C48" s="43" t="s">
        <v>55</v>
      </c>
      <c r="D48" s="44"/>
      <c r="E48" s="44"/>
      <c r="F48" s="45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60"/>
    </row>
    <row r="49" spans="1:42" ht="34.5" customHeight="1">
      <c r="A49" s="96"/>
      <c r="B49" s="97" t="s">
        <v>705</v>
      </c>
      <c r="C49" s="43" t="s">
        <v>706</v>
      </c>
      <c r="D49" s="45">
        <f>D52+D55+D69+D83+D94+D109+D113+D115</f>
        <v>135254100.012</v>
      </c>
      <c r="E49" s="45">
        <f>E52+E55+E69+E83+E94+E109+E113+E115</f>
        <v>48305034.79</v>
      </c>
      <c r="F49" s="45" t="e">
        <f>F52+F55+F69+F83+F94+F109+F113+F115</f>
        <v>#REF!</v>
      </c>
      <c r="G49" s="45" t="e">
        <f>G52+G55+G69+G83+G94+G109+G113+G115+0.01</f>
        <v>#REF!</v>
      </c>
      <c r="H49" s="45" t="e">
        <f>H52+H55+H69+H83+H94+H109+H113+H115</f>
        <v>#REF!</v>
      </c>
      <c r="I49" s="45" t="e">
        <f>I52+I55+I69+I83+I94+I109+I113+I115</f>
        <v>#REF!</v>
      </c>
      <c r="J49" s="45">
        <v>100</v>
      </c>
      <c r="K49" s="45">
        <f>K52+K55+K69+K83+K94+K109+K113</f>
        <v>0</v>
      </c>
      <c r="L49" s="45">
        <f>L52+L55+L69+L83+L94+L109+L113</f>
        <v>0</v>
      </c>
      <c r="M49" s="45" t="e">
        <f>M52+M55+M69+M83+M94+M109+M113+M115</f>
        <v>#VALUE!</v>
      </c>
      <c r="N49" s="45" t="e">
        <f>N52+N55+N69+N83+N94+N109+N113+N115</f>
        <v>#VALUE!</v>
      </c>
      <c r="O49" s="45" t="e">
        <f>O52+O55+O69+O83+O94+O109+O113</f>
        <v>#VALUE!</v>
      </c>
      <c r="P49" s="45">
        <f>P52+P55+P69+P83+P94+P109+P113</f>
        <v>0</v>
      </c>
      <c r="Q49" s="45">
        <f>Q52+Q55+Q69+Q83+Q94+Q109+Q113</f>
        <v>0</v>
      </c>
      <c r="R49" s="45" t="e">
        <f>R52+R55+R69+R83+R94+R109+R113</f>
        <v>#VALUE!</v>
      </c>
      <c r="S49" s="45" t="e">
        <f>S52+S55+S69+S83+S94+S109+S113</f>
        <v>#VALUE!</v>
      </c>
      <c r="T49" s="45" t="e">
        <f>T52+T55+T69+T83+T94+T109+T113+T115</f>
        <v>#VALUE!</v>
      </c>
      <c r="U49" s="45" t="e">
        <f>U52+U55+U69+U83+U94+U109+U113+U115</f>
        <v>#VALUE!</v>
      </c>
      <c r="V49" s="45">
        <f aca="true" t="shared" si="26" ref="V49:AG49">V52+V55+V69+V83+V94+V109+V113</f>
        <v>0</v>
      </c>
      <c r="W49" s="45">
        <f t="shared" si="26"/>
        <v>0</v>
      </c>
      <c r="X49" s="45">
        <f t="shared" si="26"/>
        <v>1478379.48</v>
      </c>
      <c r="Y49" s="45">
        <f t="shared" si="26"/>
        <v>0</v>
      </c>
      <c r="Z49" s="45">
        <f t="shared" si="26"/>
        <v>0</v>
      </c>
      <c r="AA49" s="45" t="e">
        <f t="shared" si="26"/>
        <v>#VALUE!</v>
      </c>
      <c r="AB49" s="45">
        <f t="shared" si="26"/>
        <v>2069000</v>
      </c>
      <c r="AC49" s="45">
        <f t="shared" si="26"/>
        <v>758482.25</v>
      </c>
      <c r="AD49" s="45">
        <f t="shared" si="26"/>
        <v>0</v>
      </c>
      <c r="AE49" s="45">
        <f t="shared" si="26"/>
        <v>0</v>
      </c>
      <c r="AF49" s="45">
        <f t="shared" si="26"/>
        <v>0</v>
      </c>
      <c r="AG49" s="45">
        <f t="shared" si="26"/>
        <v>0</v>
      </c>
      <c r="AH49" s="45" t="e">
        <f>AH52+AH55+AH69+AH83+AH94+AH109+AH113+AH115+0.01</f>
        <v>#VALUE!</v>
      </c>
      <c r="AI49" s="45" t="e">
        <f>AI52+AI55+AI69+AI83+AI94+AI109+AI113+AI115</f>
        <v>#REF!</v>
      </c>
      <c r="AJ49" s="45"/>
      <c r="AK49" s="45" t="e">
        <f>AK52+AK55+AK69+AK83+AK94+AK109+AK113+AK115</f>
        <v>#REF!</v>
      </c>
      <c r="AL49" s="45"/>
      <c r="AM49" s="98" t="e">
        <f>N49+U49+AJ49+AL49</f>
        <v>#VALUE!</v>
      </c>
      <c r="AN49" s="60" t="e">
        <f>M49+T49+AI49+AK49-F49</f>
        <v>#VALUE!</v>
      </c>
      <c r="AO49" s="28" t="s">
        <v>695</v>
      </c>
      <c r="AP49" s="99"/>
    </row>
    <row r="50" spans="1:40" ht="34.5" customHeight="1">
      <c r="A50" s="100"/>
      <c r="B50" s="100"/>
      <c r="C50" s="101" t="s">
        <v>707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102"/>
      <c r="P50" s="102"/>
      <c r="Q50" s="102"/>
      <c r="R50" s="102"/>
      <c r="S50" s="102"/>
      <c r="T50" s="102"/>
      <c r="U50" s="103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3"/>
      <c r="AL50" s="102"/>
      <c r="AM50" s="102"/>
      <c r="AN50" s="60"/>
    </row>
    <row r="51" spans="1:42" ht="15">
      <c r="A51" s="35">
        <v>3</v>
      </c>
      <c r="B51" s="35" t="s">
        <v>622</v>
      </c>
      <c r="C51" s="104" t="s">
        <v>708</v>
      </c>
      <c r="D51" s="105">
        <f>E51*$D$7</f>
        <v>12977359.808</v>
      </c>
      <c r="E51" s="105">
        <f>4664588-E54</f>
        <v>4634771.36</v>
      </c>
      <c r="F51" s="65">
        <v>8196368.88</v>
      </c>
      <c r="G51" s="65">
        <f>F51-D51</f>
        <v>-4780990.928</v>
      </c>
      <c r="H51" s="106" t="e">
        <f>#REF!</f>
        <v>#REF!</v>
      </c>
      <c r="I51" s="65" t="e">
        <f>H51-E51</f>
        <v>#REF!</v>
      </c>
      <c r="J51" s="107">
        <v>1</v>
      </c>
      <c r="K51" s="108">
        <v>0</v>
      </c>
      <c r="L51" s="62">
        <v>0</v>
      </c>
      <c r="M51" s="62" t="e">
        <f>N51</f>
        <v>#VALUE!</v>
      </c>
      <c r="N51" s="59" t="e">
        <f>O51+P51+Q51+R51+S51</f>
        <v>#VALUE!</v>
      </c>
      <c r="O51" s="59">
        <v>0</v>
      </c>
      <c r="P51" s="59">
        <v>0</v>
      </c>
      <c r="Q51" s="59">
        <v>0</v>
      </c>
      <c r="R51" s="59">
        <v>0</v>
      </c>
      <c r="S51" s="62" t="e">
        <f>'[1]Controle Contrato Prest. Serviç'!$O$8+'[1]Controle Contrato Prest. Serviç'!$O$9</f>
        <v>#VALUE!</v>
      </c>
      <c r="T51" s="62" t="e">
        <f>U51+758482.25+2000000</f>
        <v>#VALUE!</v>
      </c>
      <c r="U51" s="59" t="e">
        <f>SUM(V51:AG51)</f>
        <v>#VALUE!</v>
      </c>
      <c r="V51" s="62">
        <v>0</v>
      </c>
      <c r="W51" s="62">
        <v>0</v>
      </c>
      <c r="X51" s="62">
        <v>1478379.48</v>
      </c>
      <c r="Y51" s="62">
        <v>0</v>
      </c>
      <c r="Z51" s="59">
        <v>0</v>
      </c>
      <c r="AA51" s="62" t="e">
        <f>'[1]Controle Contrato Prest. Serviç'!$O$29+'[1]Controle Contrato Prest. Serviç'!$O$30</f>
        <v>#VALUE!</v>
      </c>
      <c r="AB51" s="59">
        <v>0</v>
      </c>
      <c r="AC51" s="59">
        <f>455089.35+303392.9</f>
        <v>758482.25</v>
      </c>
      <c r="AD51" s="62"/>
      <c r="AE51" s="62"/>
      <c r="AF51" s="62"/>
      <c r="AG51" s="62"/>
      <c r="AH51" s="59" t="e">
        <f>T51-U51</f>
        <v>#VALUE!</v>
      </c>
      <c r="AI51" s="59">
        <v>1500000</v>
      </c>
      <c r="AJ51" s="62"/>
      <c r="AK51" s="59">
        <v>736676.97</v>
      </c>
      <c r="AL51" s="62"/>
      <c r="AM51" s="59" t="e">
        <f>N51+U51+AJ51+AL51</f>
        <v>#VALUE!</v>
      </c>
      <c r="AN51" s="60" t="e">
        <f>M51+T51+AI51+AK51-F51</f>
        <v>#VALUE!</v>
      </c>
      <c r="AO51" s="28" t="s">
        <v>695</v>
      </c>
      <c r="AP51" s="2"/>
    </row>
    <row r="52" spans="1:41" ht="15">
      <c r="A52" s="109"/>
      <c r="B52" s="109"/>
      <c r="C52" s="110" t="s">
        <v>709</v>
      </c>
      <c r="D52" s="111">
        <f aca="true" t="shared" si="27" ref="D52:I52">SUM(D51)</f>
        <v>12977359.808</v>
      </c>
      <c r="E52" s="111">
        <f t="shared" si="27"/>
        <v>4634771.36</v>
      </c>
      <c r="F52" s="111">
        <f t="shared" si="27"/>
        <v>8196368.88</v>
      </c>
      <c r="G52" s="111">
        <f t="shared" si="27"/>
        <v>-4780990.928</v>
      </c>
      <c r="H52" s="111" t="e">
        <f t="shared" si="27"/>
        <v>#REF!</v>
      </c>
      <c r="I52" s="111" t="e">
        <f t="shared" si="27"/>
        <v>#REF!</v>
      </c>
      <c r="J52" s="112">
        <v>1</v>
      </c>
      <c r="K52" s="112">
        <v>0</v>
      </c>
      <c r="L52" s="111">
        <f aca="true" t="shared" si="28" ref="L52:AI52">SUM(L51)</f>
        <v>0</v>
      </c>
      <c r="M52" s="111" t="e">
        <f t="shared" si="28"/>
        <v>#VALUE!</v>
      </c>
      <c r="N52" s="111" t="e">
        <f t="shared" si="28"/>
        <v>#VALUE!</v>
      </c>
      <c r="O52" s="111">
        <f t="shared" si="28"/>
        <v>0</v>
      </c>
      <c r="P52" s="111">
        <f t="shared" si="28"/>
        <v>0</v>
      </c>
      <c r="Q52" s="111">
        <f t="shared" si="28"/>
        <v>0</v>
      </c>
      <c r="R52" s="111">
        <f t="shared" si="28"/>
        <v>0</v>
      </c>
      <c r="S52" s="111" t="e">
        <f t="shared" si="28"/>
        <v>#VALUE!</v>
      </c>
      <c r="T52" s="111" t="e">
        <f t="shared" si="28"/>
        <v>#VALUE!</v>
      </c>
      <c r="U52" s="111" t="e">
        <f t="shared" si="28"/>
        <v>#VALUE!</v>
      </c>
      <c r="V52" s="111">
        <f t="shared" si="28"/>
        <v>0</v>
      </c>
      <c r="W52" s="111">
        <f t="shared" si="28"/>
        <v>0</v>
      </c>
      <c r="X52" s="111">
        <f t="shared" si="28"/>
        <v>1478379.48</v>
      </c>
      <c r="Y52" s="111">
        <f t="shared" si="28"/>
        <v>0</v>
      </c>
      <c r="Z52" s="111">
        <f t="shared" si="28"/>
        <v>0</v>
      </c>
      <c r="AA52" s="111" t="e">
        <f t="shared" si="28"/>
        <v>#VALUE!</v>
      </c>
      <c r="AB52" s="111">
        <f t="shared" si="28"/>
        <v>0</v>
      </c>
      <c r="AC52" s="111">
        <f t="shared" si="28"/>
        <v>758482.25</v>
      </c>
      <c r="AD52" s="111">
        <f t="shared" si="28"/>
        <v>0</v>
      </c>
      <c r="AE52" s="111">
        <f t="shared" si="28"/>
        <v>0</v>
      </c>
      <c r="AF52" s="111">
        <f t="shared" si="28"/>
        <v>0</v>
      </c>
      <c r="AG52" s="111">
        <f t="shared" si="28"/>
        <v>0</v>
      </c>
      <c r="AH52" s="111" t="e">
        <f t="shared" si="28"/>
        <v>#VALUE!</v>
      </c>
      <c r="AI52" s="111">
        <f t="shared" si="28"/>
        <v>1500000</v>
      </c>
      <c r="AJ52" s="111"/>
      <c r="AK52" s="111">
        <f>SUM(AK51)</f>
        <v>736676.97</v>
      </c>
      <c r="AL52" s="111"/>
      <c r="AM52" s="111" t="e">
        <f>SUM(AM51)</f>
        <v>#VALUE!</v>
      </c>
      <c r="AN52" s="60" t="e">
        <f>M52+T52+AI52+AK52-F52</f>
        <v>#VALUE!</v>
      </c>
      <c r="AO52" s="28" t="s">
        <v>695</v>
      </c>
    </row>
    <row r="53" spans="1:40" ht="34.5" customHeight="1">
      <c r="A53" s="100"/>
      <c r="B53" s="100"/>
      <c r="C53" s="101" t="s">
        <v>710</v>
      </c>
      <c r="D53" s="113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60"/>
    </row>
    <row r="54" spans="1:41" ht="15">
      <c r="A54" s="35">
        <v>4</v>
      </c>
      <c r="B54" s="35" t="s">
        <v>587</v>
      </c>
      <c r="C54" s="104" t="s">
        <v>711</v>
      </c>
      <c r="D54" s="65">
        <f>E54*$D$7</f>
        <v>83486.59199999999</v>
      </c>
      <c r="E54" s="65">
        <f>27799.43+2017.21</f>
        <v>29816.64</v>
      </c>
      <c r="F54" s="65">
        <f>D54+14973.41</f>
        <v>98460.002</v>
      </c>
      <c r="G54" s="65">
        <f>F54-D54</f>
        <v>14973.410000000003</v>
      </c>
      <c r="H54" s="106">
        <f>E54+261.01</f>
        <v>30077.649999999998</v>
      </c>
      <c r="I54" s="65">
        <f>H54-E54</f>
        <v>261.0099999999984</v>
      </c>
      <c r="J54" s="107">
        <v>1</v>
      </c>
      <c r="K54" s="66">
        <v>0</v>
      </c>
      <c r="L54" s="62">
        <v>0</v>
      </c>
      <c r="M54" s="62" t="e">
        <f>N54</f>
        <v>#VALUE!</v>
      </c>
      <c r="N54" s="59" t="e">
        <f>O54+P54+Q54+R54+S54</f>
        <v>#VALUE!</v>
      </c>
      <c r="O54" s="62" t="e">
        <f>'[1]Controle Contrato Prest. Serviç'!$O$4+'[1]Controle Contrato Prest. Serviç'!$O$5</f>
        <v>#VALUE!</v>
      </c>
      <c r="P54" s="62">
        <v>0</v>
      </c>
      <c r="Q54" s="62">
        <v>0</v>
      </c>
      <c r="R54" s="62" t="e">
        <f>'[1]Controle Contrato Prest. Serviç'!$O$6+'[1]Controle Contrato Prest. Serviç'!$O$7</f>
        <v>#VALUE!</v>
      </c>
      <c r="S54" s="62" t="str">
        <f>'[1]Controle Contrato Prest. Serviç'!$O$10</f>
        <v>21/10 a 20/11/2016 - 5º Medição</v>
      </c>
      <c r="T54" s="62" t="e">
        <f>F54-N54</f>
        <v>#VALUE!</v>
      </c>
      <c r="U54" s="59">
        <f>SUM(V54:AG54)</f>
        <v>0</v>
      </c>
      <c r="V54" s="62">
        <v>0</v>
      </c>
      <c r="W54" s="62">
        <v>0</v>
      </c>
      <c r="X54" s="62">
        <v>0</v>
      </c>
      <c r="Y54" s="62">
        <v>0</v>
      </c>
      <c r="Z54" s="59">
        <v>0</v>
      </c>
      <c r="AA54" s="59">
        <v>0</v>
      </c>
      <c r="AB54" s="59">
        <v>0</v>
      </c>
      <c r="AC54" s="59">
        <v>0</v>
      </c>
      <c r="AD54" s="62"/>
      <c r="AE54" s="62"/>
      <c r="AF54" s="62"/>
      <c r="AG54" s="62"/>
      <c r="AH54" s="59" t="e">
        <f>T54-U54</f>
        <v>#VALUE!</v>
      </c>
      <c r="AI54" s="59">
        <v>0</v>
      </c>
      <c r="AJ54" s="62"/>
      <c r="AK54" s="59">
        <v>0</v>
      </c>
      <c r="AL54" s="62"/>
      <c r="AM54" s="59" t="e">
        <f>N54+U54+AJ54+AL54</f>
        <v>#VALUE!</v>
      </c>
      <c r="AN54" s="60" t="e">
        <f>M54+T54+AI54+AK54-F54</f>
        <v>#VALUE!</v>
      </c>
      <c r="AO54" s="28" t="s">
        <v>712</v>
      </c>
    </row>
    <row r="55" spans="1:44" ht="23.25" customHeight="1">
      <c r="A55" s="114"/>
      <c r="B55" s="114"/>
      <c r="C55" s="110" t="s">
        <v>713</v>
      </c>
      <c r="D55" s="115">
        <f aca="true" t="shared" si="29" ref="D55:I55">SUM(D54)</f>
        <v>83486.59199999999</v>
      </c>
      <c r="E55" s="115">
        <f t="shared" si="29"/>
        <v>29816.64</v>
      </c>
      <c r="F55" s="111">
        <f t="shared" si="29"/>
        <v>98460.002</v>
      </c>
      <c r="G55" s="111">
        <f t="shared" si="29"/>
        <v>14973.410000000003</v>
      </c>
      <c r="H55" s="111">
        <f t="shared" si="29"/>
        <v>30077.649999999998</v>
      </c>
      <c r="I55" s="111">
        <f t="shared" si="29"/>
        <v>261.0099999999984</v>
      </c>
      <c r="J55" s="116">
        <f>J51</f>
        <v>1</v>
      </c>
      <c r="K55" s="116">
        <v>0</v>
      </c>
      <c r="L55" s="115">
        <f aca="true" t="shared" si="30" ref="L55:AI55">SUM(L54)</f>
        <v>0</v>
      </c>
      <c r="M55" s="115" t="e">
        <f t="shared" si="30"/>
        <v>#VALUE!</v>
      </c>
      <c r="N55" s="115" t="e">
        <f t="shared" si="30"/>
        <v>#VALUE!</v>
      </c>
      <c r="O55" s="115" t="e">
        <f t="shared" si="30"/>
        <v>#VALUE!</v>
      </c>
      <c r="P55" s="115">
        <f t="shared" si="30"/>
        <v>0</v>
      </c>
      <c r="Q55" s="115">
        <f t="shared" si="30"/>
        <v>0</v>
      </c>
      <c r="R55" s="115" t="e">
        <f t="shared" si="30"/>
        <v>#VALUE!</v>
      </c>
      <c r="S55" s="115">
        <f t="shared" si="30"/>
        <v>0</v>
      </c>
      <c r="T55" s="115" t="e">
        <f t="shared" si="30"/>
        <v>#VALUE!</v>
      </c>
      <c r="U55" s="115">
        <f t="shared" si="30"/>
        <v>0</v>
      </c>
      <c r="V55" s="115">
        <f t="shared" si="30"/>
        <v>0</v>
      </c>
      <c r="W55" s="115">
        <f t="shared" si="30"/>
        <v>0</v>
      </c>
      <c r="X55" s="115">
        <f t="shared" si="30"/>
        <v>0</v>
      </c>
      <c r="Y55" s="115">
        <f t="shared" si="30"/>
        <v>0</v>
      </c>
      <c r="Z55" s="115">
        <f t="shared" si="30"/>
        <v>0</v>
      </c>
      <c r="AA55" s="115">
        <f t="shared" si="30"/>
        <v>0</v>
      </c>
      <c r="AB55" s="115">
        <f t="shared" si="30"/>
        <v>0</v>
      </c>
      <c r="AC55" s="115">
        <f t="shared" si="30"/>
        <v>0</v>
      </c>
      <c r="AD55" s="115">
        <f t="shared" si="30"/>
        <v>0</v>
      </c>
      <c r="AE55" s="115">
        <f t="shared" si="30"/>
        <v>0</v>
      </c>
      <c r="AF55" s="115">
        <f t="shared" si="30"/>
        <v>0</v>
      </c>
      <c r="AG55" s="115">
        <f t="shared" si="30"/>
        <v>0</v>
      </c>
      <c r="AH55" s="115" t="e">
        <f t="shared" si="30"/>
        <v>#VALUE!</v>
      </c>
      <c r="AI55" s="115">
        <f t="shared" si="30"/>
        <v>0</v>
      </c>
      <c r="AJ55" s="115"/>
      <c r="AK55" s="115">
        <f>SUM(AK54)</f>
        <v>0</v>
      </c>
      <c r="AL55" s="115"/>
      <c r="AM55" s="115" t="e">
        <f>SUM(AM54)</f>
        <v>#VALUE!</v>
      </c>
      <c r="AN55" s="60" t="e">
        <f>M55+T55+AI55+AK55-F55</f>
        <v>#VALUE!</v>
      </c>
      <c r="AO55" s="28" t="s">
        <v>695</v>
      </c>
      <c r="AP55" s="92" t="s">
        <v>702</v>
      </c>
      <c r="AQ55" s="93">
        <v>4664550.08</v>
      </c>
      <c r="AR55" s="92" t="s">
        <v>714</v>
      </c>
    </row>
    <row r="56" spans="1:40" ht="21.75" customHeight="1" hidden="1">
      <c r="A56" s="114"/>
      <c r="B56" s="114"/>
      <c r="C56" s="117" t="s">
        <v>64</v>
      </c>
      <c r="D56" s="11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60">
        <f>SUM(L56:AK56)-E56</f>
        <v>0</v>
      </c>
    </row>
    <row r="57" spans="1:40" ht="23.25" customHeight="1">
      <c r="A57" s="114"/>
      <c r="B57" s="114"/>
      <c r="C57" s="117" t="s">
        <v>65</v>
      </c>
      <c r="D57" s="11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60"/>
    </row>
    <row r="58" spans="1:41" ht="22.5" customHeight="1">
      <c r="A58" s="55">
        <v>1</v>
      </c>
      <c r="B58" s="55" t="s">
        <v>715</v>
      </c>
      <c r="C58" s="56" t="s">
        <v>716</v>
      </c>
      <c r="D58" s="57">
        <f aca="true" t="shared" si="31" ref="D58:D68">E58*$D$7</f>
        <v>2689335.628</v>
      </c>
      <c r="E58" s="57">
        <v>960477.01</v>
      </c>
      <c r="F58" s="57">
        <v>2689335.6</v>
      </c>
      <c r="G58" s="57">
        <f aca="true" t="shared" si="32" ref="G58:G68">F58-D58</f>
        <v>-0.027999999932944775</v>
      </c>
      <c r="H58" s="57">
        <f>F58/$D$7</f>
        <v>960477.0000000001</v>
      </c>
      <c r="I58" s="57">
        <f aca="true" t="shared" si="33" ref="I58:I68">H58-E58</f>
        <v>-0.009999999892897904</v>
      </c>
      <c r="J58" s="58">
        <v>1</v>
      </c>
      <c r="K58" s="58">
        <v>0</v>
      </c>
      <c r="L58" s="59">
        <v>0</v>
      </c>
      <c r="M58" s="59">
        <f aca="true" t="shared" si="34" ref="M58:M68">N58</f>
        <v>0</v>
      </c>
      <c r="N58" s="59">
        <f aca="true" t="shared" si="35" ref="N58:N68">O58+P58+Q58+R58+S58</f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224111.3</v>
      </c>
      <c r="U58" s="59">
        <f aca="true" t="shared" si="36" ref="U58:U68">SUM(V58:AG58)</f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59">
        <v>0</v>
      </c>
      <c r="AB58" s="59">
        <v>0</v>
      </c>
      <c r="AC58" s="59">
        <v>0</v>
      </c>
      <c r="AD58" s="59"/>
      <c r="AE58" s="59"/>
      <c r="AF58" s="59"/>
      <c r="AG58" s="59"/>
      <c r="AH58" s="59">
        <f aca="true" t="shared" si="37" ref="AH58:AH68">T58-U58</f>
        <v>224111.3</v>
      </c>
      <c r="AI58" s="59">
        <v>2465224.3</v>
      </c>
      <c r="AJ58" s="59"/>
      <c r="AK58" s="59" t="e">
        <f>#REF!*2.8</f>
        <v>#REF!</v>
      </c>
      <c r="AL58" s="59"/>
      <c r="AM58" s="59">
        <f aca="true" t="shared" si="38" ref="AM58:AM68">N58+U58+AJ58+AL58</f>
        <v>0</v>
      </c>
      <c r="AN58" s="60" t="e">
        <f aca="true" t="shared" si="39" ref="AN58:AN69">M58+T58+AI58+AK58-F58</f>
        <v>#REF!</v>
      </c>
      <c r="AO58" s="28" t="s">
        <v>695</v>
      </c>
    </row>
    <row r="59" spans="1:41" ht="21.75" customHeight="1">
      <c r="A59" s="55">
        <v>1</v>
      </c>
      <c r="B59" s="55" t="s">
        <v>171</v>
      </c>
      <c r="C59" s="56" t="s">
        <v>717</v>
      </c>
      <c r="D59" s="57">
        <f t="shared" si="31"/>
        <v>2427291.9719999996</v>
      </c>
      <c r="E59" s="57">
        <v>866889.99</v>
      </c>
      <c r="F59" s="57">
        <v>2427292</v>
      </c>
      <c r="G59" s="57">
        <f t="shared" si="32"/>
        <v>0.028000000398606062</v>
      </c>
      <c r="H59" s="57">
        <f>E59</f>
        <v>866889.99</v>
      </c>
      <c r="I59" s="57">
        <f t="shared" si="33"/>
        <v>0</v>
      </c>
      <c r="J59" s="58">
        <v>1</v>
      </c>
      <c r="K59" s="58">
        <v>0</v>
      </c>
      <c r="L59" s="59">
        <v>0</v>
      </c>
      <c r="M59" s="59">
        <f t="shared" si="34"/>
        <v>0</v>
      </c>
      <c r="N59" s="59">
        <f t="shared" si="35"/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202274.32</v>
      </c>
      <c r="U59" s="59">
        <f t="shared" si="36"/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59">
        <v>0</v>
      </c>
      <c r="AB59" s="59">
        <v>0</v>
      </c>
      <c r="AC59" s="59">
        <v>0</v>
      </c>
      <c r="AD59" s="59"/>
      <c r="AE59" s="59"/>
      <c r="AF59" s="59"/>
      <c r="AG59" s="59"/>
      <c r="AH59" s="59">
        <f t="shared" si="37"/>
        <v>202274.32</v>
      </c>
      <c r="AI59" s="59">
        <v>2225017.68</v>
      </c>
      <c r="AJ59" s="59"/>
      <c r="AK59" s="59" t="e">
        <f>#REF!*2.8</f>
        <v>#REF!</v>
      </c>
      <c r="AL59" s="59"/>
      <c r="AM59" s="59">
        <f t="shared" si="38"/>
        <v>0</v>
      </c>
      <c r="AN59" s="60" t="e">
        <f t="shared" si="39"/>
        <v>#REF!</v>
      </c>
      <c r="AO59" s="28" t="s">
        <v>695</v>
      </c>
    </row>
    <row r="60" spans="1:41" ht="21.75" customHeight="1">
      <c r="A60" s="55">
        <v>1</v>
      </c>
      <c r="B60" s="55" t="s">
        <v>163</v>
      </c>
      <c r="C60" s="56" t="s">
        <v>718</v>
      </c>
      <c r="D60" s="57">
        <f t="shared" si="31"/>
        <v>2427292.084</v>
      </c>
      <c r="E60" s="57">
        <v>866890.03</v>
      </c>
      <c r="F60" s="57">
        <v>2427292</v>
      </c>
      <c r="G60" s="57">
        <f t="shared" si="32"/>
        <v>-0.08399999979883432</v>
      </c>
      <c r="H60" s="57">
        <f>F60/$D$7</f>
        <v>866890</v>
      </c>
      <c r="I60" s="57">
        <f t="shared" si="33"/>
        <v>-0.030000000027939677</v>
      </c>
      <c r="J60" s="58">
        <v>1</v>
      </c>
      <c r="K60" s="58">
        <v>0</v>
      </c>
      <c r="L60" s="59">
        <v>0</v>
      </c>
      <c r="M60" s="59">
        <f t="shared" si="34"/>
        <v>0</v>
      </c>
      <c r="N60" s="59">
        <f t="shared" si="35"/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202274.32</v>
      </c>
      <c r="U60" s="59">
        <f t="shared" si="36"/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59">
        <v>0</v>
      </c>
      <c r="AB60" s="59">
        <v>0</v>
      </c>
      <c r="AC60" s="59">
        <v>0</v>
      </c>
      <c r="AD60" s="59"/>
      <c r="AE60" s="59"/>
      <c r="AF60" s="59"/>
      <c r="AG60" s="59"/>
      <c r="AH60" s="59">
        <f t="shared" si="37"/>
        <v>202274.32</v>
      </c>
      <c r="AI60" s="59">
        <v>2225017.68</v>
      </c>
      <c r="AJ60" s="59"/>
      <c r="AK60" s="59" t="e">
        <f>#REF!*2.8</f>
        <v>#REF!</v>
      </c>
      <c r="AL60" s="59"/>
      <c r="AM60" s="59">
        <f t="shared" si="38"/>
        <v>0</v>
      </c>
      <c r="AN60" s="60" t="e">
        <f t="shared" si="39"/>
        <v>#REF!</v>
      </c>
      <c r="AO60" s="28" t="s">
        <v>695</v>
      </c>
    </row>
    <row r="61" spans="1:41" ht="22.5" customHeight="1">
      <c r="A61" s="63">
        <v>1</v>
      </c>
      <c r="B61" s="63" t="s">
        <v>174</v>
      </c>
      <c r="C61" s="64" t="s">
        <v>719</v>
      </c>
      <c r="D61" s="65">
        <f t="shared" si="31"/>
        <v>2689335.628</v>
      </c>
      <c r="E61" s="65">
        <v>960477.01</v>
      </c>
      <c r="F61" s="57">
        <v>2689335.6</v>
      </c>
      <c r="G61" s="65">
        <f t="shared" si="32"/>
        <v>-0.027999999932944775</v>
      </c>
      <c r="H61" s="65">
        <f>E61</f>
        <v>960477.01</v>
      </c>
      <c r="I61" s="65">
        <f t="shared" si="33"/>
        <v>0</v>
      </c>
      <c r="J61" s="66">
        <v>1</v>
      </c>
      <c r="K61" s="66">
        <v>0</v>
      </c>
      <c r="L61" s="67">
        <v>0</v>
      </c>
      <c r="M61" s="59">
        <f t="shared" si="34"/>
        <v>0</v>
      </c>
      <c r="N61" s="59">
        <f t="shared" si="35"/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224111.3</v>
      </c>
      <c r="U61" s="59">
        <f t="shared" si="36"/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59">
        <v>0</v>
      </c>
      <c r="AB61" s="59">
        <v>0</v>
      </c>
      <c r="AC61" s="59">
        <v>0</v>
      </c>
      <c r="AD61" s="67"/>
      <c r="AE61" s="67"/>
      <c r="AF61" s="67"/>
      <c r="AG61" s="67"/>
      <c r="AH61" s="59">
        <f t="shared" si="37"/>
        <v>224111.3</v>
      </c>
      <c r="AI61" s="59">
        <v>2465224.3</v>
      </c>
      <c r="AJ61" s="67"/>
      <c r="AK61" s="59" t="e">
        <f>#REF!*2.8</f>
        <v>#REF!</v>
      </c>
      <c r="AL61" s="67"/>
      <c r="AM61" s="59">
        <f t="shared" si="38"/>
        <v>0</v>
      </c>
      <c r="AN61" s="60" t="e">
        <f t="shared" si="39"/>
        <v>#REF!</v>
      </c>
      <c r="AO61" s="28" t="s">
        <v>695</v>
      </c>
    </row>
    <row r="62" spans="1:41" ht="23.25" customHeight="1">
      <c r="A62" s="63">
        <v>1</v>
      </c>
      <c r="B62" s="63" t="s">
        <v>185</v>
      </c>
      <c r="C62" s="64" t="s">
        <v>720</v>
      </c>
      <c r="D62" s="65">
        <f t="shared" si="31"/>
        <v>2427292.084</v>
      </c>
      <c r="E62" s="65">
        <v>866890.03</v>
      </c>
      <c r="F62" s="57">
        <v>2427292</v>
      </c>
      <c r="G62" s="65">
        <f t="shared" si="32"/>
        <v>-0.08399999979883432</v>
      </c>
      <c r="H62" s="65">
        <f>E62</f>
        <v>866890.03</v>
      </c>
      <c r="I62" s="65">
        <f t="shared" si="33"/>
        <v>0</v>
      </c>
      <c r="J62" s="66">
        <v>1</v>
      </c>
      <c r="K62" s="66">
        <v>0</v>
      </c>
      <c r="L62" s="67">
        <v>0</v>
      </c>
      <c r="M62" s="59">
        <f t="shared" si="34"/>
        <v>0</v>
      </c>
      <c r="N62" s="59">
        <f t="shared" si="35"/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 t="e">
        <f>#REF!*2.8</f>
        <v>#REF!</v>
      </c>
      <c r="U62" s="59">
        <f t="shared" si="36"/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59">
        <v>0</v>
      </c>
      <c r="AB62" s="59">
        <v>0</v>
      </c>
      <c r="AC62" s="59">
        <v>0</v>
      </c>
      <c r="AD62" s="67"/>
      <c r="AE62" s="67"/>
      <c r="AF62" s="67"/>
      <c r="AG62" s="67"/>
      <c r="AH62" s="59" t="e">
        <f t="shared" si="37"/>
        <v>#REF!</v>
      </c>
      <c r="AI62" s="59">
        <v>2225017.68</v>
      </c>
      <c r="AJ62" s="67"/>
      <c r="AK62" s="59">
        <v>202274.32</v>
      </c>
      <c r="AL62" s="67"/>
      <c r="AM62" s="59">
        <f t="shared" si="38"/>
        <v>0</v>
      </c>
      <c r="AN62" s="60" t="e">
        <f t="shared" si="39"/>
        <v>#REF!</v>
      </c>
      <c r="AO62" s="28" t="s">
        <v>695</v>
      </c>
    </row>
    <row r="63" spans="1:41" ht="20.25" customHeight="1">
      <c r="A63" s="63">
        <v>1</v>
      </c>
      <c r="B63" s="63" t="s">
        <v>176</v>
      </c>
      <c r="C63" s="64" t="s">
        <v>721</v>
      </c>
      <c r="D63" s="65">
        <f t="shared" si="31"/>
        <v>2427292.084</v>
      </c>
      <c r="E63" s="65">
        <v>866890.03</v>
      </c>
      <c r="F63" s="57">
        <v>2427292</v>
      </c>
      <c r="G63" s="65">
        <f t="shared" si="32"/>
        <v>-0.08399999979883432</v>
      </c>
      <c r="H63" s="65">
        <f>E63</f>
        <v>866890.03</v>
      </c>
      <c r="I63" s="65">
        <f t="shared" si="33"/>
        <v>0</v>
      </c>
      <c r="J63" s="66">
        <v>1</v>
      </c>
      <c r="K63" s="66">
        <v>0</v>
      </c>
      <c r="L63" s="67">
        <v>0</v>
      </c>
      <c r="M63" s="59">
        <f t="shared" si="34"/>
        <v>0</v>
      </c>
      <c r="N63" s="59">
        <f t="shared" si="35"/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 t="e">
        <f>#REF!*2.8</f>
        <v>#REF!</v>
      </c>
      <c r="U63" s="59">
        <f t="shared" si="36"/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59">
        <v>0</v>
      </c>
      <c r="AB63" s="59">
        <v>0</v>
      </c>
      <c r="AC63" s="59">
        <v>0</v>
      </c>
      <c r="AD63" s="67"/>
      <c r="AE63" s="67"/>
      <c r="AF63" s="67"/>
      <c r="AG63" s="67"/>
      <c r="AH63" s="59" t="e">
        <f t="shared" si="37"/>
        <v>#REF!</v>
      </c>
      <c r="AI63" s="59">
        <v>2225017.68</v>
      </c>
      <c r="AJ63" s="67"/>
      <c r="AK63" s="59">
        <v>202274.32</v>
      </c>
      <c r="AL63" s="67"/>
      <c r="AM63" s="59">
        <f t="shared" si="38"/>
        <v>0</v>
      </c>
      <c r="AN63" s="60" t="e">
        <f t="shared" si="39"/>
        <v>#REF!</v>
      </c>
      <c r="AO63" s="28" t="s">
        <v>695</v>
      </c>
    </row>
    <row r="64" spans="1:41" ht="22.5" customHeight="1">
      <c r="A64" s="55">
        <v>1</v>
      </c>
      <c r="B64" s="55" t="s">
        <v>189</v>
      </c>
      <c r="C64" s="56" t="s">
        <v>722</v>
      </c>
      <c r="D64" s="57">
        <f t="shared" si="31"/>
        <v>1945182.3159999999</v>
      </c>
      <c r="E64" s="57">
        <v>694707.97</v>
      </c>
      <c r="F64" s="57">
        <v>1945182.4</v>
      </c>
      <c r="G64" s="57">
        <f t="shared" si="32"/>
        <v>0.08400000003166497</v>
      </c>
      <c r="H64" s="57">
        <f>F64/$D$7</f>
        <v>694708</v>
      </c>
      <c r="I64" s="57">
        <f t="shared" si="33"/>
        <v>0.030000000027939677</v>
      </c>
      <c r="J64" s="58">
        <v>1</v>
      </c>
      <c r="K64" s="58">
        <v>0</v>
      </c>
      <c r="L64" s="59">
        <v>0</v>
      </c>
      <c r="M64" s="59">
        <f t="shared" si="34"/>
        <v>0</v>
      </c>
      <c r="N64" s="59">
        <f t="shared" si="35"/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 t="e">
        <f>#REF!*2.8</f>
        <v>#REF!</v>
      </c>
      <c r="U64" s="59">
        <f t="shared" si="36"/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59">
        <v>0</v>
      </c>
      <c r="AB64" s="59">
        <v>0</v>
      </c>
      <c r="AC64" s="59">
        <v>0</v>
      </c>
      <c r="AD64" s="59"/>
      <c r="AE64" s="59"/>
      <c r="AF64" s="59"/>
      <c r="AG64" s="59"/>
      <c r="AH64" s="59" t="e">
        <f t="shared" si="37"/>
        <v>#REF!</v>
      </c>
      <c r="AI64" s="59">
        <v>1783083.88</v>
      </c>
      <c r="AJ64" s="59"/>
      <c r="AK64" s="59">
        <v>162098.52</v>
      </c>
      <c r="AL64" s="59"/>
      <c r="AM64" s="59">
        <f t="shared" si="38"/>
        <v>0</v>
      </c>
      <c r="AN64" s="60" t="e">
        <f t="shared" si="39"/>
        <v>#REF!</v>
      </c>
      <c r="AO64" s="28" t="s">
        <v>695</v>
      </c>
    </row>
    <row r="65" spans="1:41" ht="23.25" customHeight="1">
      <c r="A65" s="55">
        <v>1</v>
      </c>
      <c r="B65" s="55" t="s">
        <v>193</v>
      </c>
      <c r="C65" s="56" t="s">
        <v>723</v>
      </c>
      <c r="D65" s="57">
        <f t="shared" si="31"/>
        <v>1945182.3159999999</v>
      </c>
      <c r="E65" s="57">
        <v>694707.97</v>
      </c>
      <c r="F65" s="57">
        <v>1945182.4</v>
      </c>
      <c r="G65" s="57">
        <f t="shared" si="32"/>
        <v>0.08400000003166497</v>
      </c>
      <c r="H65" s="57">
        <f>F65/$D$7</f>
        <v>694708</v>
      </c>
      <c r="I65" s="57">
        <f t="shared" si="33"/>
        <v>0.030000000027939677</v>
      </c>
      <c r="J65" s="58">
        <v>1</v>
      </c>
      <c r="K65" s="58">
        <v>0</v>
      </c>
      <c r="L65" s="59">
        <v>0</v>
      </c>
      <c r="M65" s="59">
        <f t="shared" si="34"/>
        <v>0</v>
      </c>
      <c r="N65" s="59">
        <f t="shared" si="35"/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 t="e">
        <f>#REF!*2.8</f>
        <v>#REF!</v>
      </c>
      <c r="U65" s="59">
        <f t="shared" si="36"/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59">
        <v>0</v>
      </c>
      <c r="AB65" s="59">
        <v>0</v>
      </c>
      <c r="AC65" s="59">
        <v>0</v>
      </c>
      <c r="AD65" s="59"/>
      <c r="AE65" s="59"/>
      <c r="AF65" s="59"/>
      <c r="AG65" s="59"/>
      <c r="AH65" s="59" t="e">
        <f t="shared" si="37"/>
        <v>#REF!</v>
      </c>
      <c r="AI65" s="59">
        <v>1783083.88</v>
      </c>
      <c r="AJ65" s="59"/>
      <c r="AK65" s="59">
        <v>162098.52</v>
      </c>
      <c r="AL65" s="59"/>
      <c r="AM65" s="59">
        <f t="shared" si="38"/>
        <v>0</v>
      </c>
      <c r="AN65" s="60" t="e">
        <f t="shared" si="39"/>
        <v>#REF!</v>
      </c>
      <c r="AO65" s="28" t="s">
        <v>695</v>
      </c>
    </row>
    <row r="66" spans="1:41" ht="21.75" customHeight="1">
      <c r="A66" s="55">
        <v>1</v>
      </c>
      <c r="B66" s="55" t="s">
        <v>196</v>
      </c>
      <c r="C66" s="56" t="s">
        <v>724</v>
      </c>
      <c r="D66" s="57">
        <f t="shared" si="31"/>
        <v>1945182.3159999999</v>
      </c>
      <c r="E66" s="57">
        <v>694707.97</v>
      </c>
      <c r="F66" s="57">
        <v>1945182.4</v>
      </c>
      <c r="G66" s="57">
        <f t="shared" si="32"/>
        <v>0.08400000003166497</v>
      </c>
      <c r="H66" s="57">
        <f>F66/$D$7</f>
        <v>694708</v>
      </c>
      <c r="I66" s="57">
        <f t="shared" si="33"/>
        <v>0.030000000027939677</v>
      </c>
      <c r="J66" s="58">
        <v>1</v>
      </c>
      <c r="K66" s="58">
        <v>0</v>
      </c>
      <c r="L66" s="59">
        <v>0</v>
      </c>
      <c r="M66" s="59">
        <f t="shared" si="34"/>
        <v>0</v>
      </c>
      <c r="N66" s="59">
        <f t="shared" si="35"/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 t="e">
        <f>#REF!*2.8</f>
        <v>#REF!</v>
      </c>
      <c r="U66" s="59">
        <f t="shared" si="36"/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59">
        <v>0</v>
      </c>
      <c r="AB66" s="59">
        <v>0</v>
      </c>
      <c r="AC66" s="59">
        <v>0</v>
      </c>
      <c r="AD66" s="59"/>
      <c r="AE66" s="59"/>
      <c r="AF66" s="59"/>
      <c r="AG66" s="59"/>
      <c r="AH66" s="59" t="e">
        <f t="shared" si="37"/>
        <v>#REF!</v>
      </c>
      <c r="AI66" s="59" t="e">
        <f>#REF!*2.8</f>
        <v>#REF!</v>
      </c>
      <c r="AJ66" s="59"/>
      <c r="AK66" s="59" t="e">
        <f>#REF!*2.8</f>
        <v>#REF!</v>
      </c>
      <c r="AL66" s="59"/>
      <c r="AM66" s="59">
        <f t="shared" si="38"/>
        <v>0</v>
      </c>
      <c r="AN66" s="60" t="e">
        <f t="shared" si="39"/>
        <v>#REF!</v>
      </c>
      <c r="AO66" s="28" t="s">
        <v>695</v>
      </c>
    </row>
    <row r="67" spans="1:41" ht="21.75" customHeight="1">
      <c r="A67" s="63">
        <v>1</v>
      </c>
      <c r="B67" s="63" t="s">
        <v>205</v>
      </c>
      <c r="C67" s="64" t="s">
        <v>725</v>
      </c>
      <c r="D67" s="65">
        <f t="shared" si="31"/>
        <v>1945182.3159999999</v>
      </c>
      <c r="E67" s="65">
        <v>694707.97</v>
      </c>
      <c r="F67" s="57">
        <v>1945182.4</v>
      </c>
      <c r="G67" s="65">
        <f t="shared" si="32"/>
        <v>0.08400000003166497</v>
      </c>
      <c r="H67" s="65">
        <f>E67</f>
        <v>694707.97</v>
      </c>
      <c r="I67" s="65">
        <f t="shared" si="33"/>
        <v>0</v>
      </c>
      <c r="J67" s="66">
        <v>1</v>
      </c>
      <c r="K67" s="66">
        <v>0</v>
      </c>
      <c r="L67" s="67">
        <v>0</v>
      </c>
      <c r="M67" s="59">
        <f t="shared" si="34"/>
        <v>0</v>
      </c>
      <c r="N67" s="59">
        <f t="shared" si="35"/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 t="e">
        <f>#REF!*2.8</f>
        <v>#REF!</v>
      </c>
      <c r="U67" s="59">
        <f t="shared" si="36"/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59">
        <v>0</v>
      </c>
      <c r="AB67" s="59">
        <v>0</v>
      </c>
      <c r="AC67" s="59">
        <v>0</v>
      </c>
      <c r="AD67" s="67"/>
      <c r="AE67" s="67"/>
      <c r="AF67" s="67"/>
      <c r="AG67" s="67"/>
      <c r="AH67" s="59" t="e">
        <f t="shared" si="37"/>
        <v>#REF!</v>
      </c>
      <c r="AI67" s="59">
        <v>1458886.8</v>
      </c>
      <c r="AJ67" s="67"/>
      <c r="AK67" s="59">
        <v>486295.6</v>
      </c>
      <c r="AL67" s="67"/>
      <c r="AM67" s="59">
        <f t="shared" si="38"/>
        <v>0</v>
      </c>
      <c r="AN67" s="60" t="e">
        <f t="shared" si="39"/>
        <v>#REF!</v>
      </c>
      <c r="AO67" s="28" t="s">
        <v>695</v>
      </c>
    </row>
    <row r="68" spans="1:41" ht="21.75" customHeight="1">
      <c r="A68" s="63">
        <v>1</v>
      </c>
      <c r="B68" s="63" t="s">
        <v>211</v>
      </c>
      <c r="C68" s="56" t="s">
        <v>726</v>
      </c>
      <c r="D68" s="65">
        <f t="shared" si="31"/>
        <v>1945182.3159999999</v>
      </c>
      <c r="E68" s="65">
        <v>694707.97</v>
      </c>
      <c r="F68" s="57">
        <v>2921993.2</v>
      </c>
      <c r="G68" s="65">
        <f t="shared" si="32"/>
        <v>976810.8840000003</v>
      </c>
      <c r="H68" s="65">
        <f>E68</f>
        <v>694707.97</v>
      </c>
      <c r="I68" s="65">
        <f t="shared" si="33"/>
        <v>0</v>
      </c>
      <c r="J68" s="66">
        <v>1</v>
      </c>
      <c r="K68" s="66">
        <v>0</v>
      </c>
      <c r="L68" s="67">
        <v>0</v>
      </c>
      <c r="M68" s="59">
        <f t="shared" si="34"/>
        <v>0</v>
      </c>
      <c r="N68" s="59">
        <f t="shared" si="35"/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 t="e">
        <f>#REF!*2.8</f>
        <v>#REF!</v>
      </c>
      <c r="U68" s="59">
        <f t="shared" si="36"/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59">
        <v>0</v>
      </c>
      <c r="AB68" s="59">
        <v>0</v>
      </c>
      <c r="AC68" s="59">
        <v>0</v>
      </c>
      <c r="AD68" s="67"/>
      <c r="AE68" s="67"/>
      <c r="AF68" s="67"/>
      <c r="AG68" s="67"/>
      <c r="AH68" s="59" t="e">
        <f t="shared" si="37"/>
        <v>#REF!</v>
      </c>
      <c r="AI68" s="59" t="e">
        <f>#REF!*2.8</f>
        <v>#REF!</v>
      </c>
      <c r="AJ68" s="67"/>
      <c r="AK68" s="59">
        <v>730498.3</v>
      </c>
      <c r="AL68" s="67"/>
      <c r="AM68" s="59">
        <f t="shared" si="38"/>
        <v>0</v>
      </c>
      <c r="AN68" s="60" t="e">
        <f t="shared" si="39"/>
        <v>#REF!</v>
      </c>
      <c r="AO68" s="28" t="s">
        <v>695</v>
      </c>
    </row>
    <row r="69" spans="1:41" ht="21" customHeight="1">
      <c r="A69" s="114"/>
      <c r="B69" s="114"/>
      <c r="C69" s="110" t="s">
        <v>78</v>
      </c>
      <c r="D69" s="115">
        <f>SUM(D58:D68)</f>
        <v>24813751.059999995</v>
      </c>
      <c r="E69" s="115">
        <f>SUM(E58:E68)</f>
        <v>8862053.95</v>
      </c>
      <c r="F69" s="115">
        <f>SUM(F58:F68)</f>
        <v>25790561.999999993</v>
      </c>
      <c r="G69" s="115">
        <f>SUM(G58:G68)-0.01</f>
        <v>976810.9300000016</v>
      </c>
      <c r="H69" s="115">
        <f>SUM(H58:H68)+0.01</f>
        <v>8862054.01</v>
      </c>
      <c r="I69" s="115">
        <f>SUM(I58:I68)+0.01</f>
        <v>0.06000000016298145</v>
      </c>
      <c r="J69" s="116">
        <f>J68</f>
        <v>1</v>
      </c>
      <c r="K69" s="116">
        <v>0</v>
      </c>
      <c r="L69" s="115">
        <f aca="true" t="shared" si="40" ref="L69:AI69">SUM(L58:L68)</f>
        <v>0</v>
      </c>
      <c r="M69" s="115">
        <f t="shared" si="40"/>
        <v>0</v>
      </c>
      <c r="N69" s="115">
        <f t="shared" si="40"/>
        <v>0</v>
      </c>
      <c r="O69" s="115">
        <f t="shared" si="40"/>
        <v>0</v>
      </c>
      <c r="P69" s="115">
        <f t="shared" si="40"/>
        <v>0</v>
      </c>
      <c r="Q69" s="115">
        <f t="shared" si="40"/>
        <v>0</v>
      </c>
      <c r="R69" s="115">
        <f t="shared" si="40"/>
        <v>0</v>
      </c>
      <c r="S69" s="115">
        <f t="shared" si="40"/>
        <v>0</v>
      </c>
      <c r="T69" s="115" t="e">
        <f t="shared" si="40"/>
        <v>#REF!</v>
      </c>
      <c r="U69" s="115">
        <f t="shared" si="40"/>
        <v>0</v>
      </c>
      <c r="V69" s="115">
        <f t="shared" si="40"/>
        <v>0</v>
      </c>
      <c r="W69" s="115">
        <f t="shared" si="40"/>
        <v>0</v>
      </c>
      <c r="X69" s="115">
        <f t="shared" si="40"/>
        <v>0</v>
      </c>
      <c r="Y69" s="115">
        <f t="shared" si="40"/>
        <v>0</v>
      </c>
      <c r="Z69" s="115">
        <f t="shared" si="40"/>
        <v>0</v>
      </c>
      <c r="AA69" s="115">
        <f t="shared" si="40"/>
        <v>0</v>
      </c>
      <c r="AB69" s="115">
        <f t="shared" si="40"/>
        <v>0</v>
      </c>
      <c r="AC69" s="115">
        <f t="shared" si="40"/>
        <v>0</v>
      </c>
      <c r="AD69" s="115">
        <f t="shared" si="40"/>
        <v>0</v>
      </c>
      <c r="AE69" s="115">
        <f t="shared" si="40"/>
        <v>0</v>
      </c>
      <c r="AF69" s="115">
        <f t="shared" si="40"/>
        <v>0</v>
      </c>
      <c r="AG69" s="115">
        <f t="shared" si="40"/>
        <v>0</v>
      </c>
      <c r="AH69" s="115" t="e">
        <f t="shared" si="40"/>
        <v>#REF!</v>
      </c>
      <c r="AI69" s="115" t="e">
        <f t="shared" si="40"/>
        <v>#REF!</v>
      </c>
      <c r="AJ69" s="115"/>
      <c r="AK69" s="115" t="e">
        <f>SUM(AK58:AK68)</f>
        <v>#REF!</v>
      </c>
      <c r="AL69" s="115"/>
      <c r="AM69" s="115">
        <f>SUM(AM58:AM68)</f>
        <v>0</v>
      </c>
      <c r="AN69" s="60" t="e">
        <f t="shared" si="39"/>
        <v>#REF!</v>
      </c>
      <c r="AO69" s="28" t="s">
        <v>695</v>
      </c>
    </row>
    <row r="70" spans="1:40" ht="21.75" customHeight="1">
      <c r="A70" s="114"/>
      <c r="B70" s="114"/>
      <c r="C70" s="117" t="s">
        <v>79</v>
      </c>
      <c r="D70" s="11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60"/>
    </row>
    <row r="71" spans="1:41" s="28" customFormat="1" ht="30">
      <c r="A71" s="63">
        <v>1</v>
      </c>
      <c r="B71" s="63" t="s">
        <v>431</v>
      </c>
      <c r="C71" s="120" t="s">
        <v>727</v>
      </c>
      <c r="D71" s="65">
        <f>E71*$D$7</f>
        <v>2265466</v>
      </c>
      <c r="E71" s="65">
        <v>809095</v>
      </c>
      <c r="F71" s="106" t="e">
        <f>#REF!*2.8</f>
        <v>#REF!</v>
      </c>
      <c r="G71" s="65" t="e">
        <f>F71-D71</f>
        <v>#REF!</v>
      </c>
      <c r="H71" s="65">
        <f>E71</f>
        <v>809095</v>
      </c>
      <c r="I71" s="65">
        <f>H71-E71</f>
        <v>0</v>
      </c>
      <c r="J71" s="66">
        <v>1</v>
      </c>
      <c r="K71" s="66">
        <v>0</v>
      </c>
      <c r="L71" s="67">
        <v>0</v>
      </c>
      <c r="M71" s="67">
        <f aca="true" t="shared" si="41" ref="M71:M82">N71</f>
        <v>0</v>
      </c>
      <c r="N71" s="59">
        <f aca="true" t="shared" si="42" ref="N71:N82">O71+P71+Q71+R71+S71</f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 t="e">
        <f>#REF!*2.8</f>
        <v>#REF!</v>
      </c>
      <c r="U71" s="59">
        <f aca="true" t="shared" si="43" ref="U71:U82">SUM(V71:AG71)</f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59">
        <v>0</v>
      </c>
      <c r="AB71" s="59">
        <v>0</v>
      </c>
      <c r="AC71" s="59">
        <v>0</v>
      </c>
      <c r="AD71" s="67"/>
      <c r="AE71" s="67"/>
      <c r="AF71" s="67"/>
      <c r="AG71" s="67"/>
      <c r="AH71" s="59" t="e">
        <f>T71-U71</f>
        <v>#REF!</v>
      </c>
      <c r="AI71" s="59">
        <v>660760.91</v>
      </c>
      <c r="AJ71" s="67"/>
      <c r="AK71" s="59">
        <v>471972.09</v>
      </c>
      <c r="AL71" s="67"/>
      <c r="AM71" s="59">
        <f aca="true" t="shared" si="44" ref="AM71:AM82">N71+U71+AJ71+AL71</f>
        <v>0</v>
      </c>
      <c r="AN71" s="60" t="e">
        <f aca="true" t="shared" si="45" ref="AN71:AN83">M71+T71+AI71+AK71-F71</f>
        <v>#REF!</v>
      </c>
      <c r="AO71" s="28" t="s">
        <v>695</v>
      </c>
    </row>
    <row r="72" spans="1:41" s="28" customFormat="1" ht="30">
      <c r="A72" s="63"/>
      <c r="B72" s="63" t="s">
        <v>215</v>
      </c>
      <c r="C72" s="120" t="s">
        <v>728</v>
      </c>
      <c r="D72" s="65"/>
      <c r="E72" s="65"/>
      <c r="F72" s="106" t="e">
        <f>#REF!*2.8</f>
        <v>#REF!</v>
      </c>
      <c r="G72" s="65"/>
      <c r="H72" s="65"/>
      <c r="I72" s="65"/>
      <c r="J72" s="66"/>
      <c r="K72" s="66"/>
      <c r="L72" s="67">
        <v>0</v>
      </c>
      <c r="M72" s="67">
        <f t="shared" si="41"/>
        <v>0</v>
      </c>
      <c r="N72" s="59">
        <f t="shared" si="42"/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 t="e">
        <f>#REF!*2.8</f>
        <v>#REF!</v>
      </c>
      <c r="U72" s="59">
        <f t="shared" si="43"/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59">
        <v>0</v>
      </c>
      <c r="AC72" s="59">
        <v>0</v>
      </c>
      <c r="AD72" s="67"/>
      <c r="AE72" s="67"/>
      <c r="AF72" s="67"/>
      <c r="AG72" s="67"/>
      <c r="AH72" s="59"/>
      <c r="AI72" s="59">
        <v>660760.91</v>
      </c>
      <c r="AJ72" s="67"/>
      <c r="AK72" s="59">
        <v>471972.09</v>
      </c>
      <c r="AL72" s="67"/>
      <c r="AM72" s="59">
        <f t="shared" si="44"/>
        <v>0</v>
      </c>
      <c r="AN72" s="60" t="e">
        <f t="shared" si="45"/>
        <v>#REF!</v>
      </c>
      <c r="AO72" s="28" t="s">
        <v>695</v>
      </c>
    </row>
    <row r="73" spans="1:41" ht="21.75" customHeight="1">
      <c r="A73" s="63">
        <v>1</v>
      </c>
      <c r="B73" s="63" t="s">
        <v>218</v>
      </c>
      <c r="C73" s="64" t="s">
        <v>729</v>
      </c>
      <c r="D73" s="65">
        <f aca="true" t="shared" si="46" ref="D73:D80">E73*$D$7</f>
        <v>1367010.4</v>
      </c>
      <c r="E73" s="65">
        <v>488218</v>
      </c>
      <c r="F73" s="57" t="e">
        <f>#REF!*2.8</f>
        <v>#REF!</v>
      </c>
      <c r="G73" s="65" t="e">
        <f aca="true" t="shared" si="47" ref="G73:G82">F73-D73</f>
        <v>#REF!</v>
      </c>
      <c r="H73" s="65">
        <f aca="true" t="shared" si="48" ref="H73:H82">E73</f>
        <v>488218</v>
      </c>
      <c r="I73" s="65">
        <f aca="true" t="shared" si="49" ref="I73:I82">H73-E73</f>
        <v>0</v>
      </c>
      <c r="J73" s="66">
        <v>1</v>
      </c>
      <c r="K73" s="66">
        <v>0</v>
      </c>
      <c r="L73" s="67">
        <v>0</v>
      </c>
      <c r="M73" s="67">
        <f t="shared" si="41"/>
        <v>0</v>
      </c>
      <c r="N73" s="59">
        <f t="shared" si="42"/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 t="e">
        <f>#REF!*2.8</f>
        <v>#REF!</v>
      </c>
      <c r="U73" s="59">
        <f t="shared" si="43"/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59">
        <v>0</v>
      </c>
      <c r="AB73" s="59">
        <v>0</v>
      </c>
      <c r="AC73" s="59">
        <v>0</v>
      </c>
      <c r="AD73" s="67"/>
      <c r="AE73" s="67"/>
      <c r="AF73" s="67"/>
      <c r="AG73" s="67"/>
      <c r="AH73" s="59" t="e">
        <f aca="true" t="shared" si="50" ref="AH73:AH82">T73-U73</f>
        <v>#REF!</v>
      </c>
      <c r="AI73" s="59">
        <v>797422.72</v>
      </c>
      <c r="AJ73" s="67"/>
      <c r="AK73" s="59">
        <v>569587.68</v>
      </c>
      <c r="AL73" s="67"/>
      <c r="AM73" s="59">
        <f t="shared" si="44"/>
        <v>0</v>
      </c>
      <c r="AN73" s="60" t="e">
        <f t="shared" si="45"/>
        <v>#REF!</v>
      </c>
      <c r="AO73" s="28" t="s">
        <v>695</v>
      </c>
    </row>
    <row r="74" spans="1:41" ht="21.75" customHeight="1">
      <c r="A74" s="63">
        <v>1</v>
      </c>
      <c r="B74" s="63" t="s">
        <v>224</v>
      </c>
      <c r="C74" s="64" t="s">
        <v>730</v>
      </c>
      <c r="D74" s="65">
        <f t="shared" si="46"/>
        <v>1367010.4</v>
      </c>
      <c r="E74" s="65">
        <v>488218</v>
      </c>
      <c r="F74" s="57" t="e">
        <f>#REF!*2.8</f>
        <v>#REF!</v>
      </c>
      <c r="G74" s="65" t="e">
        <f t="shared" si="47"/>
        <v>#REF!</v>
      </c>
      <c r="H74" s="65">
        <f t="shared" si="48"/>
        <v>488218</v>
      </c>
      <c r="I74" s="65">
        <f t="shared" si="49"/>
        <v>0</v>
      </c>
      <c r="J74" s="66">
        <v>1</v>
      </c>
      <c r="K74" s="66">
        <v>0</v>
      </c>
      <c r="L74" s="67">
        <v>0</v>
      </c>
      <c r="M74" s="67">
        <f t="shared" si="41"/>
        <v>0</v>
      </c>
      <c r="N74" s="59">
        <f t="shared" si="42"/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 t="e">
        <f>#REF!*2.8</f>
        <v>#REF!</v>
      </c>
      <c r="U74" s="59">
        <f t="shared" si="43"/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59">
        <v>0</v>
      </c>
      <c r="AB74" s="59">
        <v>0</v>
      </c>
      <c r="AC74" s="59">
        <v>0</v>
      </c>
      <c r="AD74" s="67"/>
      <c r="AE74" s="67"/>
      <c r="AF74" s="67"/>
      <c r="AG74" s="67"/>
      <c r="AH74" s="59" t="e">
        <f t="shared" si="50"/>
        <v>#REF!</v>
      </c>
      <c r="AI74" s="59">
        <v>797422.72</v>
      </c>
      <c r="AJ74" s="67"/>
      <c r="AK74" s="59">
        <v>569587.68</v>
      </c>
      <c r="AL74" s="67"/>
      <c r="AM74" s="59">
        <f t="shared" si="44"/>
        <v>0</v>
      </c>
      <c r="AN74" s="60" t="e">
        <f t="shared" si="45"/>
        <v>#REF!</v>
      </c>
      <c r="AO74" s="28" t="s">
        <v>695</v>
      </c>
    </row>
    <row r="75" spans="1:41" ht="21.75" customHeight="1">
      <c r="A75" s="63">
        <v>1</v>
      </c>
      <c r="B75" s="63" t="s">
        <v>227</v>
      </c>
      <c r="C75" s="64" t="s">
        <v>731</v>
      </c>
      <c r="D75" s="65">
        <f t="shared" si="46"/>
        <v>1367010.4</v>
      </c>
      <c r="E75" s="65">
        <v>488218</v>
      </c>
      <c r="F75" s="57" t="e">
        <f>#REF!*2.8</f>
        <v>#REF!</v>
      </c>
      <c r="G75" s="65" t="e">
        <f t="shared" si="47"/>
        <v>#REF!</v>
      </c>
      <c r="H75" s="65">
        <f t="shared" si="48"/>
        <v>488218</v>
      </c>
      <c r="I75" s="65">
        <f t="shared" si="49"/>
        <v>0</v>
      </c>
      <c r="J75" s="66">
        <v>1</v>
      </c>
      <c r="K75" s="66">
        <v>0</v>
      </c>
      <c r="L75" s="67">
        <v>0</v>
      </c>
      <c r="M75" s="67">
        <f t="shared" si="41"/>
        <v>0</v>
      </c>
      <c r="N75" s="59">
        <f t="shared" si="42"/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 t="e">
        <f>#REF!*2.8</f>
        <v>#REF!</v>
      </c>
      <c r="U75" s="59">
        <f t="shared" si="43"/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59">
        <v>0</v>
      </c>
      <c r="AB75" s="59">
        <v>0</v>
      </c>
      <c r="AC75" s="59">
        <v>0</v>
      </c>
      <c r="AD75" s="67"/>
      <c r="AE75" s="67"/>
      <c r="AF75" s="67"/>
      <c r="AG75" s="67"/>
      <c r="AH75" s="59" t="e">
        <f t="shared" si="50"/>
        <v>#REF!</v>
      </c>
      <c r="AI75" s="59">
        <v>797422.72</v>
      </c>
      <c r="AJ75" s="67"/>
      <c r="AK75" s="59">
        <v>569587.68</v>
      </c>
      <c r="AL75" s="67"/>
      <c r="AM75" s="59">
        <f t="shared" si="44"/>
        <v>0</v>
      </c>
      <c r="AN75" s="60" t="e">
        <f t="shared" si="45"/>
        <v>#REF!</v>
      </c>
      <c r="AO75" s="28" t="s">
        <v>695</v>
      </c>
    </row>
    <row r="76" spans="1:41" ht="21.75" customHeight="1">
      <c r="A76" s="63">
        <v>1</v>
      </c>
      <c r="B76" s="63" t="s">
        <v>230</v>
      </c>
      <c r="C76" s="64" t="s">
        <v>732</v>
      </c>
      <c r="D76" s="65">
        <f t="shared" si="46"/>
        <v>1558404.3159999999</v>
      </c>
      <c r="E76" s="65">
        <v>556572.97</v>
      </c>
      <c r="F76" s="57" t="e">
        <f>#REF!*2.8</f>
        <v>#REF!</v>
      </c>
      <c r="G76" s="65" t="e">
        <f t="shared" si="47"/>
        <v>#REF!</v>
      </c>
      <c r="H76" s="65">
        <f t="shared" si="48"/>
        <v>556572.97</v>
      </c>
      <c r="I76" s="65">
        <f t="shared" si="49"/>
        <v>0</v>
      </c>
      <c r="J76" s="66">
        <v>1</v>
      </c>
      <c r="K76" s="66">
        <v>0</v>
      </c>
      <c r="L76" s="67">
        <v>0</v>
      </c>
      <c r="M76" s="67">
        <f t="shared" si="41"/>
        <v>0</v>
      </c>
      <c r="N76" s="59">
        <f t="shared" si="42"/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 t="e">
        <f>#REF!*2.8</f>
        <v>#REF!</v>
      </c>
      <c r="U76" s="59">
        <f t="shared" si="43"/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59">
        <v>0</v>
      </c>
      <c r="AB76" s="59">
        <v>0</v>
      </c>
      <c r="AC76" s="59">
        <v>0</v>
      </c>
      <c r="AD76" s="67"/>
      <c r="AE76" s="67"/>
      <c r="AF76" s="67"/>
      <c r="AG76" s="67"/>
      <c r="AH76" s="59" t="e">
        <f t="shared" si="50"/>
        <v>#REF!</v>
      </c>
      <c r="AI76" s="59">
        <v>909069.22</v>
      </c>
      <c r="AJ76" s="67"/>
      <c r="AK76" s="59">
        <v>649335.18</v>
      </c>
      <c r="AL76" s="67"/>
      <c r="AM76" s="59">
        <f t="shared" si="44"/>
        <v>0</v>
      </c>
      <c r="AN76" s="60" t="e">
        <f t="shared" si="45"/>
        <v>#REF!</v>
      </c>
      <c r="AO76" s="28" t="s">
        <v>695</v>
      </c>
    </row>
    <row r="77" spans="1:41" ht="21.75" customHeight="1">
      <c r="A77" s="63">
        <v>1</v>
      </c>
      <c r="B77" s="63" t="s">
        <v>234</v>
      </c>
      <c r="C77" s="64" t="s">
        <v>733</v>
      </c>
      <c r="D77" s="65">
        <f t="shared" si="46"/>
        <v>2125065.6</v>
      </c>
      <c r="E77" s="65">
        <v>758952</v>
      </c>
      <c r="F77" s="57" t="e">
        <f>#REF!*2.8</f>
        <v>#REF!</v>
      </c>
      <c r="G77" s="65" t="e">
        <f t="shared" si="47"/>
        <v>#REF!</v>
      </c>
      <c r="H77" s="65">
        <f t="shared" si="48"/>
        <v>758952</v>
      </c>
      <c r="I77" s="65">
        <f t="shared" si="49"/>
        <v>0</v>
      </c>
      <c r="J77" s="66">
        <v>1</v>
      </c>
      <c r="K77" s="66">
        <v>0</v>
      </c>
      <c r="L77" s="67">
        <v>0</v>
      </c>
      <c r="M77" s="67">
        <f t="shared" si="41"/>
        <v>0</v>
      </c>
      <c r="N77" s="59">
        <f t="shared" si="42"/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 t="e">
        <f>#REF!*2.8</f>
        <v>#REF!</v>
      </c>
      <c r="U77" s="59">
        <f t="shared" si="43"/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59">
        <v>0</v>
      </c>
      <c r="AB77" s="59">
        <v>0</v>
      </c>
      <c r="AC77" s="59">
        <v>0</v>
      </c>
      <c r="AD77" s="67"/>
      <c r="AE77" s="67"/>
      <c r="AF77" s="67"/>
      <c r="AG77" s="67"/>
      <c r="AH77" s="59" t="e">
        <f t="shared" si="50"/>
        <v>#REF!</v>
      </c>
      <c r="AI77" s="59">
        <v>1239621.6</v>
      </c>
      <c r="AJ77" s="67"/>
      <c r="AK77" s="59">
        <v>885444</v>
      </c>
      <c r="AL77" s="67"/>
      <c r="AM77" s="59">
        <f t="shared" si="44"/>
        <v>0</v>
      </c>
      <c r="AN77" s="60" t="e">
        <f t="shared" si="45"/>
        <v>#REF!</v>
      </c>
      <c r="AO77" s="28" t="s">
        <v>695</v>
      </c>
    </row>
    <row r="78" spans="1:41" ht="21.75" customHeight="1">
      <c r="A78" s="63">
        <v>1</v>
      </c>
      <c r="B78" s="63" t="s">
        <v>237</v>
      </c>
      <c r="C78" s="64" t="s">
        <v>734</v>
      </c>
      <c r="D78" s="65">
        <f t="shared" si="46"/>
        <v>1558404.3159999999</v>
      </c>
      <c r="E78" s="65">
        <v>556572.97</v>
      </c>
      <c r="F78" s="57" t="e">
        <f>#REF!*2.8</f>
        <v>#REF!</v>
      </c>
      <c r="G78" s="65" t="e">
        <f t="shared" si="47"/>
        <v>#REF!</v>
      </c>
      <c r="H78" s="65">
        <f t="shared" si="48"/>
        <v>556572.97</v>
      </c>
      <c r="I78" s="65">
        <f t="shared" si="49"/>
        <v>0</v>
      </c>
      <c r="J78" s="66">
        <v>1</v>
      </c>
      <c r="K78" s="66">
        <v>0</v>
      </c>
      <c r="L78" s="67">
        <v>0</v>
      </c>
      <c r="M78" s="67">
        <f t="shared" si="41"/>
        <v>0</v>
      </c>
      <c r="N78" s="59">
        <f t="shared" si="42"/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 t="e">
        <f>#REF!*2.8</f>
        <v>#REF!</v>
      </c>
      <c r="U78" s="59">
        <f t="shared" si="43"/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59">
        <v>0</v>
      </c>
      <c r="AB78" s="59">
        <v>0</v>
      </c>
      <c r="AC78" s="59">
        <v>0</v>
      </c>
      <c r="AD78" s="67"/>
      <c r="AE78" s="67"/>
      <c r="AF78" s="67"/>
      <c r="AG78" s="67"/>
      <c r="AH78" s="59" t="e">
        <f t="shared" si="50"/>
        <v>#REF!</v>
      </c>
      <c r="AI78" s="59">
        <v>909069.22</v>
      </c>
      <c r="AJ78" s="67"/>
      <c r="AK78" s="59">
        <v>649335.18</v>
      </c>
      <c r="AL78" s="67"/>
      <c r="AM78" s="59">
        <f t="shared" si="44"/>
        <v>0</v>
      </c>
      <c r="AN78" s="60" t="e">
        <f t="shared" si="45"/>
        <v>#REF!</v>
      </c>
      <c r="AO78" s="28" t="s">
        <v>695</v>
      </c>
    </row>
    <row r="79" spans="1:41" ht="21.75" customHeight="1">
      <c r="A79" s="63">
        <v>1</v>
      </c>
      <c r="B79" s="63" t="s">
        <v>240</v>
      </c>
      <c r="C79" s="64" t="s">
        <v>735</v>
      </c>
      <c r="D79" s="65">
        <f t="shared" si="46"/>
        <v>1367010.4</v>
      </c>
      <c r="E79" s="65">
        <v>488218</v>
      </c>
      <c r="F79" s="57" t="e">
        <f>#REF!*2.8</f>
        <v>#REF!</v>
      </c>
      <c r="G79" s="65" t="e">
        <f t="shared" si="47"/>
        <v>#REF!</v>
      </c>
      <c r="H79" s="65">
        <f t="shared" si="48"/>
        <v>488218</v>
      </c>
      <c r="I79" s="65">
        <f t="shared" si="49"/>
        <v>0</v>
      </c>
      <c r="J79" s="66">
        <v>1</v>
      </c>
      <c r="K79" s="66">
        <v>0</v>
      </c>
      <c r="L79" s="67">
        <v>0</v>
      </c>
      <c r="M79" s="67">
        <f t="shared" si="41"/>
        <v>0</v>
      </c>
      <c r="N79" s="59">
        <f t="shared" si="42"/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 t="e">
        <f>#REF!*2.8</f>
        <v>#REF!</v>
      </c>
      <c r="U79" s="59">
        <f t="shared" si="43"/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59">
        <v>0</v>
      </c>
      <c r="AB79" s="59">
        <v>0</v>
      </c>
      <c r="AC79" s="59">
        <v>0</v>
      </c>
      <c r="AD79" s="67"/>
      <c r="AE79" s="67"/>
      <c r="AF79" s="67"/>
      <c r="AG79" s="67"/>
      <c r="AH79" s="59" t="e">
        <f t="shared" si="50"/>
        <v>#REF!</v>
      </c>
      <c r="AI79" s="59">
        <v>797422.72</v>
      </c>
      <c r="AJ79" s="67"/>
      <c r="AK79" s="59">
        <v>569587.68</v>
      </c>
      <c r="AL79" s="67"/>
      <c r="AM79" s="59">
        <f t="shared" si="44"/>
        <v>0</v>
      </c>
      <c r="AN79" s="60" t="e">
        <f t="shared" si="45"/>
        <v>#REF!</v>
      </c>
      <c r="AO79" s="28" t="s">
        <v>695</v>
      </c>
    </row>
    <row r="80" spans="1:41" ht="21.75" customHeight="1">
      <c r="A80" s="63">
        <v>1</v>
      </c>
      <c r="B80" s="63" t="s">
        <v>736</v>
      </c>
      <c r="C80" s="120" t="s">
        <v>737</v>
      </c>
      <c r="D80" s="65">
        <f t="shared" si="46"/>
        <v>1135680.0559999999</v>
      </c>
      <c r="E80" s="65">
        <v>405600.02</v>
      </c>
      <c r="F80" s="106" t="e">
        <f>#REF!*2.8</f>
        <v>#REF!</v>
      </c>
      <c r="G80" s="65" t="e">
        <f t="shared" si="47"/>
        <v>#REF!</v>
      </c>
      <c r="H80" s="65">
        <f t="shared" si="48"/>
        <v>405600.02</v>
      </c>
      <c r="I80" s="65">
        <f t="shared" si="49"/>
        <v>0</v>
      </c>
      <c r="J80" s="66">
        <v>1</v>
      </c>
      <c r="K80" s="66">
        <v>0</v>
      </c>
      <c r="L80" s="67">
        <v>0</v>
      </c>
      <c r="M80" s="67">
        <f t="shared" si="41"/>
        <v>0</v>
      </c>
      <c r="N80" s="59">
        <f t="shared" si="42"/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 t="e">
        <f>#REF!*2.8</f>
        <v>#REF!</v>
      </c>
      <c r="U80" s="59">
        <f t="shared" si="43"/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59">
        <v>0</v>
      </c>
      <c r="AB80" s="59">
        <v>0</v>
      </c>
      <c r="AC80" s="59">
        <v>0</v>
      </c>
      <c r="AD80" s="67"/>
      <c r="AE80" s="67"/>
      <c r="AF80" s="67"/>
      <c r="AG80" s="67"/>
      <c r="AH80" s="59" t="e">
        <f t="shared" si="50"/>
        <v>#REF!</v>
      </c>
      <c r="AI80" s="59" t="e">
        <f>#REF!*2.8</f>
        <v>#REF!</v>
      </c>
      <c r="AJ80" s="67"/>
      <c r="AK80" s="59">
        <v>810492.68</v>
      </c>
      <c r="AL80" s="67"/>
      <c r="AM80" s="59">
        <f t="shared" si="44"/>
        <v>0</v>
      </c>
      <c r="AN80" s="60" t="e">
        <f t="shared" si="45"/>
        <v>#REF!</v>
      </c>
      <c r="AO80" s="28" t="s">
        <v>695</v>
      </c>
    </row>
    <row r="81" spans="1:41" ht="21.75" customHeight="1">
      <c r="A81" s="63">
        <v>1</v>
      </c>
      <c r="B81" s="63" t="s">
        <v>243</v>
      </c>
      <c r="C81" s="64" t="s">
        <v>738</v>
      </c>
      <c r="D81" s="65">
        <v>0</v>
      </c>
      <c r="E81" s="65">
        <v>0</v>
      </c>
      <c r="F81" s="57" t="e">
        <f>#REF!*2.8</f>
        <v>#REF!</v>
      </c>
      <c r="G81" s="65" t="e">
        <f t="shared" si="47"/>
        <v>#REF!</v>
      </c>
      <c r="H81" s="65">
        <f t="shared" si="48"/>
        <v>0</v>
      </c>
      <c r="I81" s="65">
        <f t="shared" si="49"/>
        <v>0</v>
      </c>
      <c r="J81" s="66">
        <v>1</v>
      </c>
      <c r="K81" s="66">
        <v>0</v>
      </c>
      <c r="L81" s="67">
        <v>0</v>
      </c>
      <c r="M81" s="67">
        <f t="shared" si="41"/>
        <v>0</v>
      </c>
      <c r="N81" s="59">
        <f t="shared" si="42"/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 t="e">
        <f>#REF!*2.8</f>
        <v>#REF!</v>
      </c>
      <c r="U81" s="59">
        <f t="shared" si="43"/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59">
        <v>0</v>
      </c>
      <c r="AB81" s="59">
        <v>0</v>
      </c>
      <c r="AC81" s="59">
        <v>0</v>
      </c>
      <c r="AD81" s="67"/>
      <c r="AE81" s="67"/>
      <c r="AF81" s="67"/>
      <c r="AG81" s="67"/>
      <c r="AH81" s="59" t="e">
        <f t="shared" si="50"/>
        <v>#REF!</v>
      </c>
      <c r="AI81" s="59" t="e">
        <f>#REF!*2.8</f>
        <v>#REF!</v>
      </c>
      <c r="AJ81" s="67"/>
      <c r="AK81" s="59">
        <v>473200</v>
      </c>
      <c r="AL81" s="67"/>
      <c r="AM81" s="59">
        <f t="shared" si="44"/>
        <v>0</v>
      </c>
      <c r="AN81" s="60" t="e">
        <f t="shared" si="45"/>
        <v>#REF!</v>
      </c>
      <c r="AO81" s="28" t="s">
        <v>695</v>
      </c>
    </row>
    <row r="82" spans="1:41" ht="21.75" customHeight="1">
      <c r="A82" s="63">
        <v>2</v>
      </c>
      <c r="B82" s="63" t="s">
        <v>254</v>
      </c>
      <c r="C82" s="64" t="s">
        <v>739</v>
      </c>
      <c r="D82" s="65">
        <f>E82*$D$7</f>
        <v>1661676.7999999998</v>
      </c>
      <c r="E82" s="65">
        <v>593456</v>
      </c>
      <c r="F82" s="57" t="e">
        <f>#REF!*2.8</f>
        <v>#REF!</v>
      </c>
      <c r="G82" s="65" t="e">
        <f t="shared" si="47"/>
        <v>#REF!</v>
      </c>
      <c r="H82" s="65">
        <f t="shared" si="48"/>
        <v>593456</v>
      </c>
      <c r="I82" s="65">
        <f t="shared" si="49"/>
        <v>0</v>
      </c>
      <c r="J82" s="66">
        <v>1</v>
      </c>
      <c r="K82" s="66">
        <v>0</v>
      </c>
      <c r="L82" s="67">
        <v>0</v>
      </c>
      <c r="M82" s="67">
        <f t="shared" si="41"/>
        <v>0</v>
      </c>
      <c r="N82" s="59">
        <f t="shared" si="42"/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 t="e">
        <f>#REF!*2.8</f>
        <v>#REF!</v>
      </c>
      <c r="U82" s="59">
        <f t="shared" si="43"/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59">
        <v>0</v>
      </c>
      <c r="AB82" s="59">
        <v>0</v>
      </c>
      <c r="AC82" s="59">
        <v>0</v>
      </c>
      <c r="AD82" s="67"/>
      <c r="AE82" s="67"/>
      <c r="AF82" s="67"/>
      <c r="AG82" s="67"/>
      <c r="AH82" s="59" t="e">
        <f t="shared" si="50"/>
        <v>#REF!</v>
      </c>
      <c r="AI82" s="59">
        <v>969311.48</v>
      </c>
      <c r="AJ82" s="67"/>
      <c r="AK82" s="59">
        <v>692365.32</v>
      </c>
      <c r="AL82" s="67"/>
      <c r="AM82" s="59">
        <f t="shared" si="44"/>
        <v>0</v>
      </c>
      <c r="AN82" s="60" t="e">
        <f t="shared" si="45"/>
        <v>#REF!</v>
      </c>
      <c r="AO82" s="28" t="s">
        <v>695</v>
      </c>
    </row>
    <row r="83" spans="1:41" ht="21" customHeight="1">
      <c r="A83" s="114"/>
      <c r="B83" s="114"/>
      <c r="C83" s="110" t="s">
        <v>90</v>
      </c>
      <c r="D83" s="115">
        <f aca="true" t="shared" si="51" ref="D83:I83">SUM(D71:D82)</f>
        <v>15772738.687999997</v>
      </c>
      <c r="E83" s="115">
        <f t="shared" si="51"/>
        <v>5633120.959999999</v>
      </c>
      <c r="F83" s="115" t="e">
        <f t="shared" si="51"/>
        <v>#REF!</v>
      </c>
      <c r="G83" s="115" t="e">
        <f t="shared" si="51"/>
        <v>#REF!</v>
      </c>
      <c r="H83" s="115">
        <f t="shared" si="51"/>
        <v>5633120.959999999</v>
      </c>
      <c r="I83" s="115">
        <f t="shared" si="51"/>
        <v>0</v>
      </c>
      <c r="J83" s="116">
        <f>J82</f>
        <v>1</v>
      </c>
      <c r="K83" s="116">
        <v>0</v>
      </c>
      <c r="L83" s="115">
        <f aca="true" t="shared" si="52" ref="L83:AI83">SUM(L71:L82)</f>
        <v>0</v>
      </c>
      <c r="M83" s="115">
        <f t="shared" si="52"/>
        <v>0</v>
      </c>
      <c r="N83" s="115">
        <f t="shared" si="52"/>
        <v>0</v>
      </c>
      <c r="O83" s="115">
        <f t="shared" si="52"/>
        <v>0</v>
      </c>
      <c r="P83" s="115">
        <f t="shared" si="52"/>
        <v>0</v>
      </c>
      <c r="Q83" s="115">
        <f t="shared" si="52"/>
        <v>0</v>
      </c>
      <c r="R83" s="115">
        <f t="shared" si="52"/>
        <v>0</v>
      </c>
      <c r="S83" s="115">
        <f t="shared" si="52"/>
        <v>0</v>
      </c>
      <c r="T83" s="115" t="e">
        <f t="shared" si="52"/>
        <v>#REF!</v>
      </c>
      <c r="U83" s="115">
        <f t="shared" si="52"/>
        <v>0</v>
      </c>
      <c r="V83" s="115">
        <f t="shared" si="52"/>
        <v>0</v>
      </c>
      <c r="W83" s="115">
        <f t="shared" si="52"/>
        <v>0</v>
      </c>
      <c r="X83" s="115">
        <f t="shared" si="52"/>
        <v>0</v>
      </c>
      <c r="Y83" s="115">
        <f t="shared" si="52"/>
        <v>0</v>
      </c>
      <c r="Z83" s="115">
        <f t="shared" si="52"/>
        <v>0</v>
      </c>
      <c r="AA83" s="115">
        <f t="shared" si="52"/>
        <v>0</v>
      </c>
      <c r="AB83" s="115">
        <f t="shared" si="52"/>
        <v>0</v>
      </c>
      <c r="AC83" s="115">
        <f t="shared" si="52"/>
        <v>0</v>
      </c>
      <c r="AD83" s="115">
        <f t="shared" si="52"/>
        <v>0</v>
      </c>
      <c r="AE83" s="115">
        <f t="shared" si="52"/>
        <v>0</v>
      </c>
      <c r="AF83" s="115">
        <f t="shared" si="52"/>
        <v>0</v>
      </c>
      <c r="AG83" s="115">
        <f t="shared" si="52"/>
        <v>0</v>
      </c>
      <c r="AH83" s="115" t="e">
        <f t="shared" si="52"/>
        <v>#REF!</v>
      </c>
      <c r="AI83" s="115" t="e">
        <f t="shared" si="52"/>
        <v>#REF!</v>
      </c>
      <c r="AJ83" s="115"/>
      <c r="AK83" s="115">
        <f>SUM(AK71:AK82)</f>
        <v>7382467.26</v>
      </c>
      <c r="AL83" s="115"/>
      <c r="AM83" s="115">
        <f>SUM(AM71:AM82)</f>
        <v>0</v>
      </c>
      <c r="AN83" s="60" t="e">
        <f t="shared" si="45"/>
        <v>#REF!</v>
      </c>
      <c r="AO83" s="28" t="s">
        <v>695</v>
      </c>
    </row>
    <row r="84" spans="1:40" ht="23.25" customHeight="1">
      <c r="A84" s="114"/>
      <c r="B84" s="114"/>
      <c r="C84" s="117" t="s">
        <v>91</v>
      </c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60"/>
    </row>
    <row r="85" spans="1:42" ht="21.75" customHeight="1">
      <c r="A85" s="55">
        <v>1</v>
      </c>
      <c r="B85" s="55" t="s">
        <v>265</v>
      </c>
      <c r="C85" s="56" t="s">
        <v>740</v>
      </c>
      <c r="D85" s="57">
        <f aca="true" t="shared" si="53" ref="D85:D93">E85*$D$7</f>
        <v>7865281.116</v>
      </c>
      <c r="E85" s="57">
        <v>2809028.97</v>
      </c>
      <c r="F85" s="57">
        <v>11131035.85</v>
      </c>
      <c r="G85" s="57">
        <f aca="true" t="shared" si="54" ref="G85:G93">F85-D85</f>
        <v>3265754.7339999992</v>
      </c>
      <c r="H85" s="57">
        <f>F85/$D$7</f>
        <v>3975369.9464285714</v>
      </c>
      <c r="I85" s="57">
        <f aca="true" t="shared" si="55" ref="I85:I93">H85-E85</f>
        <v>1166340.9764285712</v>
      </c>
      <c r="J85" s="58">
        <v>1</v>
      </c>
      <c r="K85" s="58">
        <v>0</v>
      </c>
      <c r="L85" s="59">
        <v>0</v>
      </c>
      <c r="M85" s="59">
        <f aca="true" t="shared" si="56" ref="M85:M93">N85</f>
        <v>0</v>
      </c>
      <c r="N85" s="59">
        <f aca="true" t="shared" si="57" ref="N85:N93">O85+P85+Q85+R85+S85</f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 t="e">
        <f>#REF!*2.8</f>
        <v>#REF!</v>
      </c>
      <c r="U85" s="59">
        <f aca="true" t="shared" si="58" ref="U85:U90">SUM(V85:AG85)</f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59">
        <v>0</v>
      </c>
      <c r="AB85" s="59">
        <v>0</v>
      </c>
      <c r="AC85" s="59">
        <v>0</v>
      </c>
      <c r="AD85" s="59"/>
      <c r="AE85" s="59"/>
      <c r="AF85" s="59"/>
      <c r="AG85" s="59"/>
      <c r="AH85" s="59" t="e">
        <f aca="true" t="shared" si="59" ref="AH85:AH93">T85-U85</f>
        <v>#REF!</v>
      </c>
      <c r="AI85" s="59">
        <v>3515063.92</v>
      </c>
      <c r="AJ85" s="59"/>
      <c r="AK85" s="59">
        <v>7615971.93</v>
      </c>
      <c r="AL85" s="59"/>
      <c r="AM85" s="59">
        <f aca="true" t="shared" si="60" ref="AM85:AM93">N85+U85+AJ85+AL85</f>
        <v>0</v>
      </c>
      <c r="AN85" s="60" t="e">
        <f aca="true" t="shared" si="61" ref="AN85:AN94">M85+T85+AI85+AK85-F85</f>
        <v>#REF!</v>
      </c>
      <c r="AO85" s="28" t="s">
        <v>712</v>
      </c>
      <c r="AP85" s="2"/>
    </row>
    <row r="86" spans="1:42" ht="21.75" customHeight="1">
      <c r="A86" s="55">
        <v>1</v>
      </c>
      <c r="B86" s="55" t="s">
        <v>289</v>
      </c>
      <c r="C86" s="56" t="s">
        <v>741</v>
      </c>
      <c r="D86" s="57">
        <f t="shared" si="53"/>
        <v>7865281.143999999</v>
      </c>
      <c r="E86" s="57">
        <v>2809028.98</v>
      </c>
      <c r="F86" s="57">
        <v>11643698.66</v>
      </c>
      <c r="G86" s="57">
        <f t="shared" si="54"/>
        <v>3778417.5160000008</v>
      </c>
      <c r="H86" s="57">
        <f>F86/$D$7</f>
        <v>4158463.8071428575</v>
      </c>
      <c r="I86" s="57">
        <f t="shared" si="55"/>
        <v>1349434.8271428575</v>
      </c>
      <c r="J86" s="58">
        <v>1</v>
      </c>
      <c r="K86" s="58">
        <v>0</v>
      </c>
      <c r="L86" s="59">
        <v>0</v>
      </c>
      <c r="M86" s="59">
        <f t="shared" si="56"/>
        <v>0</v>
      </c>
      <c r="N86" s="59">
        <f t="shared" si="57"/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6792157.58</v>
      </c>
      <c r="U86" s="59">
        <f t="shared" si="58"/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59">
        <v>0</v>
      </c>
      <c r="AB86" s="59" t="str">
        <f>'[2]NOBs Policlínica Feira'!$D$9</f>
        <v>Data de Pagamento</v>
      </c>
      <c r="AC86" s="59">
        <v>0</v>
      </c>
      <c r="AD86" s="59"/>
      <c r="AE86" s="59"/>
      <c r="AF86" s="59"/>
      <c r="AG86" s="59"/>
      <c r="AH86" s="59">
        <f t="shared" si="59"/>
        <v>6792157.58</v>
      </c>
      <c r="AI86" s="59">
        <v>4851541.08</v>
      </c>
      <c r="AJ86" s="59"/>
      <c r="AK86" s="59" t="e">
        <f>#REF!*2.8</f>
        <v>#REF!</v>
      </c>
      <c r="AL86" s="59"/>
      <c r="AM86" s="59">
        <f t="shared" si="60"/>
        <v>0</v>
      </c>
      <c r="AN86" s="60" t="e">
        <f t="shared" si="61"/>
        <v>#REF!</v>
      </c>
      <c r="AO86" s="28" t="s">
        <v>712</v>
      </c>
      <c r="AP86" s="121"/>
    </row>
    <row r="87" spans="1:41" ht="21.75" customHeight="1">
      <c r="A87" s="63">
        <v>1</v>
      </c>
      <c r="B87" s="63" t="s">
        <v>298</v>
      </c>
      <c r="C87" s="64" t="s">
        <v>742</v>
      </c>
      <c r="D87" s="65">
        <f t="shared" si="53"/>
        <v>7865281.143999999</v>
      </c>
      <c r="E87" s="65">
        <v>2809028.98</v>
      </c>
      <c r="F87" s="65" t="e">
        <f>#REF!*2.8</f>
        <v>#REF!</v>
      </c>
      <c r="G87" s="65" t="e">
        <f t="shared" si="54"/>
        <v>#REF!</v>
      </c>
      <c r="H87" s="65">
        <f>E87</f>
        <v>2809028.98</v>
      </c>
      <c r="I87" s="65">
        <f t="shared" si="55"/>
        <v>0</v>
      </c>
      <c r="J87" s="66">
        <v>1</v>
      </c>
      <c r="K87" s="66">
        <v>0</v>
      </c>
      <c r="L87" s="67">
        <v>0</v>
      </c>
      <c r="M87" s="59">
        <f t="shared" si="56"/>
        <v>0</v>
      </c>
      <c r="N87" s="59">
        <f t="shared" si="57"/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 t="e">
        <f>#REF!*2.8</f>
        <v>#REF!</v>
      </c>
      <c r="U87" s="59">
        <f t="shared" si="58"/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59">
        <v>0</v>
      </c>
      <c r="AB87" s="59">
        <v>0</v>
      </c>
      <c r="AC87" s="59">
        <v>0</v>
      </c>
      <c r="AD87" s="67"/>
      <c r="AE87" s="67"/>
      <c r="AF87" s="67"/>
      <c r="AG87" s="67"/>
      <c r="AH87" s="59" t="e">
        <f t="shared" si="59"/>
        <v>#REF!</v>
      </c>
      <c r="AI87" s="59" t="e">
        <f>#REF!*2.8</f>
        <v>#REF!</v>
      </c>
      <c r="AJ87" s="67"/>
      <c r="AK87" s="59" t="e">
        <f>#REF!*2.8</f>
        <v>#REF!</v>
      </c>
      <c r="AL87" s="67"/>
      <c r="AM87" s="59">
        <f t="shared" si="60"/>
        <v>0</v>
      </c>
      <c r="AN87" s="60" t="e">
        <f t="shared" si="61"/>
        <v>#REF!</v>
      </c>
      <c r="AO87" s="28" t="s">
        <v>712</v>
      </c>
    </row>
    <row r="88" spans="1:41" ht="21.75" customHeight="1">
      <c r="A88" s="63">
        <v>1</v>
      </c>
      <c r="B88" s="63" t="s">
        <v>276</v>
      </c>
      <c r="C88" s="64" t="s">
        <v>743</v>
      </c>
      <c r="D88" s="65">
        <f t="shared" si="53"/>
        <v>7865281.143999999</v>
      </c>
      <c r="E88" s="65">
        <v>2809028.98</v>
      </c>
      <c r="F88" s="65" t="e">
        <f>#REF!*2.8</f>
        <v>#REF!</v>
      </c>
      <c r="G88" s="65" t="e">
        <f t="shared" si="54"/>
        <v>#REF!</v>
      </c>
      <c r="H88" s="65">
        <f>E88</f>
        <v>2809028.98</v>
      </c>
      <c r="I88" s="65">
        <f t="shared" si="55"/>
        <v>0</v>
      </c>
      <c r="J88" s="66">
        <v>1</v>
      </c>
      <c r="K88" s="66">
        <v>0</v>
      </c>
      <c r="L88" s="67">
        <v>0</v>
      </c>
      <c r="M88" s="59">
        <f t="shared" si="56"/>
        <v>0</v>
      </c>
      <c r="N88" s="59">
        <f t="shared" si="57"/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 t="e">
        <f>#REF!*2.8</f>
        <v>#REF!</v>
      </c>
      <c r="U88" s="59">
        <f t="shared" si="58"/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59">
        <v>0</v>
      </c>
      <c r="AB88" s="59">
        <v>0</v>
      </c>
      <c r="AC88" s="59">
        <v>0</v>
      </c>
      <c r="AD88" s="67"/>
      <c r="AE88" s="67"/>
      <c r="AF88" s="67"/>
      <c r="AG88" s="67"/>
      <c r="AH88" s="59" t="e">
        <f t="shared" si="59"/>
        <v>#REF!</v>
      </c>
      <c r="AI88" s="59" t="e">
        <f>#REF!*2.8</f>
        <v>#REF!</v>
      </c>
      <c r="AJ88" s="67"/>
      <c r="AK88" s="59" t="e">
        <f>#REF!*2.8</f>
        <v>#REF!</v>
      </c>
      <c r="AL88" s="67"/>
      <c r="AM88" s="59">
        <f t="shared" si="60"/>
        <v>0</v>
      </c>
      <c r="AN88" s="60" t="e">
        <f t="shared" si="61"/>
        <v>#REF!</v>
      </c>
      <c r="AO88" s="28" t="s">
        <v>712</v>
      </c>
    </row>
    <row r="89" spans="1:41" ht="21.75" customHeight="1">
      <c r="A89" s="55">
        <v>1</v>
      </c>
      <c r="B89" s="63" t="s">
        <v>282</v>
      </c>
      <c r="C89" s="56" t="s">
        <v>744</v>
      </c>
      <c r="D89" s="57">
        <f t="shared" si="53"/>
        <v>7865281.143999999</v>
      </c>
      <c r="E89" s="57">
        <v>2809028.98</v>
      </c>
      <c r="F89" s="57">
        <v>11041614.94</v>
      </c>
      <c r="G89" s="57">
        <f t="shared" si="54"/>
        <v>3176333.796</v>
      </c>
      <c r="H89" s="65">
        <f>F89/$D$7</f>
        <v>3943433.907142857</v>
      </c>
      <c r="I89" s="57">
        <f t="shared" si="55"/>
        <v>1134404.927142857</v>
      </c>
      <c r="J89" s="58">
        <v>1</v>
      </c>
      <c r="K89" s="58">
        <v>0</v>
      </c>
      <c r="L89" s="59">
        <v>0</v>
      </c>
      <c r="M89" s="59">
        <f t="shared" si="56"/>
        <v>0</v>
      </c>
      <c r="N89" s="59">
        <f t="shared" si="57"/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1840269.16</v>
      </c>
      <c r="U89" s="59">
        <f t="shared" si="58"/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59">
        <v>0</v>
      </c>
      <c r="AB89" s="59" t="str">
        <f>'[2]NOBs Policlínica SAJ'!$D$13</f>
        <v>Data Pagamento</v>
      </c>
      <c r="AC89" s="59">
        <v>0</v>
      </c>
      <c r="AD89" s="59"/>
      <c r="AE89" s="59"/>
      <c r="AF89" s="59"/>
      <c r="AG89" s="59"/>
      <c r="AH89" s="59">
        <f t="shared" si="59"/>
        <v>1840269.16</v>
      </c>
      <c r="AI89" s="59">
        <v>9201345.78</v>
      </c>
      <c r="AJ89" s="59"/>
      <c r="AK89" s="59" t="e">
        <f>#REF!*2.8</f>
        <v>#REF!</v>
      </c>
      <c r="AL89" s="59"/>
      <c r="AM89" s="59">
        <f t="shared" si="60"/>
        <v>0</v>
      </c>
      <c r="AN89" s="60" t="e">
        <f t="shared" si="61"/>
        <v>#REF!</v>
      </c>
      <c r="AO89" s="28" t="s">
        <v>712</v>
      </c>
    </row>
    <row r="90" spans="1:41" ht="21.75" customHeight="1">
      <c r="A90" s="55">
        <v>1</v>
      </c>
      <c r="B90" s="63" t="s">
        <v>285</v>
      </c>
      <c r="C90" s="56" t="s">
        <v>745</v>
      </c>
      <c r="D90" s="57">
        <f t="shared" si="53"/>
        <v>7865281.143999999</v>
      </c>
      <c r="E90" s="57">
        <v>2809028.98</v>
      </c>
      <c r="F90" s="57">
        <v>10497831.19</v>
      </c>
      <c r="G90" s="57">
        <f t="shared" si="54"/>
        <v>2632550.046</v>
      </c>
      <c r="H90" s="65">
        <f>F90/$D$7</f>
        <v>3749225.4250000003</v>
      </c>
      <c r="I90" s="57">
        <f t="shared" si="55"/>
        <v>940196.4450000003</v>
      </c>
      <c r="J90" s="58">
        <v>1</v>
      </c>
      <c r="K90" s="58">
        <v>0</v>
      </c>
      <c r="L90" s="59">
        <v>0</v>
      </c>
      <c r="M90" s="59">
        <f t="shared" si="56"/>
        <v>0</v>
      </c>
      <c r="N90" s="59">
        <f t="shared" si="57"/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1749638.53</v>
      </c>
      <c r="U90" s="59">
        <f t="shared" si="58"/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59">
        <v>0</v>
      </c>
      <c r="AB90" s="59">
        <v>0</v>
      </c>
      <c r="AC90" s="59">
        <v>0</v>
      </c>
      <c r="AD90" s="59"/>
      <c r="AE90" s="59"/>
      <c r="AF90" s="59"/>
      <c r="AG90" s="59"/>
      <c r="AH90" s="59">
        <f t="shared" si="59"/>
        <v>1749638.53</v>
      </c>
      <c r="AI90" s="59">
        <v>8748192.66</v>
      </c>
      <c r="AJ90" s="59"/>
      <c r="AK90" s="59" t="e">
        <f>#REF!*2.8</f>
        <v>#REF!</v>
      </c>
      <c r="AL90" s="59"/>
      <c r="AM90" s="59">
        <f t="shared" si="60"/>
        <v>0</v>
      </c>
      <c r="AN90" s="60" t="e">
        <f t="shared" si="61"/>
        <v>#REF!</v>
      </c>
      <c r="AO90" s="28" t="s">
        <v>712</v>
      </c>
    </row>
    <row r="91" spans="1:41" ht="21.75" customHeight="1">
      <c r="A91" s="55">
        <v>1</v>
      </c>
      <c r="B91" s="63" t="s">
        <v>304</v>
      </c>
      <c r="C91" s="56" t="s">
        <v>746</v>
      </c>
      <c r="D91" s="57">
        <f t="shared" si="53"/>
        <v>7865281.143999999</v>
      </c>
      <c r="E91" s="57">
        <v>2809028.98</v>
      </c>
      <c r="F91" s="57">
        <v>10777369.05</v>
      </c>
      <c r="G91" s="57">
        <f t="shared" si="54"/>
        <v>2912087.9060000014</v>
      </c>
      <c r="H91" s="65">
        <f>F91/$D$7</f>
        <v>3849060.3750000005</v>
      </c>
      <c r="I91" s="57">
        <f t="shared" si="55"/>
        <v>1040031.3950000005</v>
      </c>
      <c r="J91" s="58">
        <v>1</v>
      </c>
      <c r="K91" s="58">
        <v>0</v>
      </c>
      <c r="L91" s="59">
        <v>0</v>
      </c>
      <c r="M91" s="59">
        <f t="shared" si="56"/>
        <v>0</v>
      </c>
      <c r="N91" s="59">
        <f t="shared" si="57"/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1796228.17</v>
      </c>
      <c r="U91" s="59" t="e">
        <f>'[2]NOBs Policlínica Alagoinhas'!$D$13</f>
        <v>#REF!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59">
        <v>0</v>
      </c>
      <c r="AB91" s="59">
        <v>0</v>
      </c>
      <c r="AC91" s="59">
        <v>0</v>
      </c>
      <c r="AD91" s="59"/>
      <c r="AE91" s="59"/>
      <c r="AF91" s="59"/>
      <c r="AG91" s="59"/>
      <c r="AH91" s="59" t="e">
        <f t="shared" si="59"/>
        <v>#REF!</v>
      </c>
      <c r="AI91" s="59">
        <v>8981140.88</v>
      </c>
      <c r="AJ91" s="59"/>
      <c r="AK91" s="59" t="e">
        <f>#REF!*2.8</f>
        <v>#REF!</v>
      </c>
      <c r="AL91" s="59"/>
      <c r="AM91" s="59" t="e">
        <f t="shared" si="60"/>
        <v>#REF!</v>
      </c>
      <c r="AN91" s="60" t="e">
        <f t="shared" si="61"/>
        <v>#REF!</v>
      </c>
      <c r="AO91" s="28" t="s">
        <v>712</v>
      </c>
    </row>
    <row r="92" spans="1:41" ht="21.75" customHeight="1">
      <c r="A92" s="63">
        <v>1</v>
      </c>
      <c r="B92" s="63" t="s">
        <v>466</v>
      </c>
      <c r="C92" s="64" t="s">
        <v>747</v>
      </c>
      <c r="D92" s="65">
        <f t="shared" si="53"/>
        <v>2687468.084</v>
      </c>
      <c r="E92" s="65">
        <v>959810.03</v>
      </c>
      <c r="F92" s="65" t="e">
        <f>#REF!*2.8</f>
        <v>#REF!</v>
      </c>
      <c r="G92" s="65" t="e">
        <f t="shared" si="54"/>
        <v>#REF!</v>
      </c>
      <c r="H92" s="65">
        <f>E92</f>
        <v>959810.03</v>
      </c>
      <c r="I92" s="65">
        <f t="shared" si="55"/>
        <v>0</v>
      </c>
      <c r="J92" s="66">
        <v>1</v>
      </c>
      <c r="K92" s="66">
        <v>0</v>
      </c>
      <c r="L92" s="67">
        <v>0</v>
      </c>
      <c r="M92" s="59">
        <f t="shared" si="56"/>
        <v>0</v>
      </c>
      <c r="N92" s="59">
        <f t="shared" si="57"/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447911.32</v>
      </c>
      <c r="U92" s="59">
        <f>SUM(V92:AG92)</f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59">
        <v>0</v>
      </c>
      <c r="AB92" s="59">
        <v>0</v>
      </c>
      <c r="AC92" s="59">
        <v>0</v>
      </c>
      <c r="AD92" s="67"/>
      <c r="AE92" s="67"/>
      <c r="AF92" s="67"/>
      <c r="AG92" s="67"/>
      <c r="AH92" s="59">
        <f t="shared" si="59"/>
        <v>447911.32</v>
      </c>
      <c r="AI92" s="59" t="e">
        <f>#REF!*2.8</f>
        <v>#REF!</v>
      </c>
      <c r="AJ92" s="67"/>
      <c r="AK92" s="59" t="e">
        <f>#REF!*2.8</f>
        <v>#REF!</v>
      </c>
      <c r="AL92" s="67"/>
      <c r="AM92" s="59">
        <f t="shared" si="60"/>
        <v>0</v>
      </c>
      <c r="AN92" s="60" t="e">
        <f t="shared" si="61"/>
        <v>#REF!</v>
      </c>
      <c r="AO92" s="28" t="s">
        <v>712</v>
      </c>
    </row>
    <row r="93" spans="1:41" ht="29.25" customHeight="1">
      <c r="A93" s="63">
        <v>2</v>
      </c>
      <c r="B93" s="122" t="s">
        <v>310</v>
      </c>
      <c r="C93" s="64" t="s">
        <v>748</v>
      </c>
      <c r="D93" s="65">
        <f t="shared" si="53"/>
        <v>11122039.6</v>
      </c>
      <c r="E93" s="65">
        <f>3972157</f>
        <v>3972157</v>
      </c>
      <c r="F93" s="65" t="e">
        <f>#REF!*2.8</f>
        <v>#REF!</v>
      </c>
      <c r="G93" s="65" t="e">
        <f t="shared" si="54"/>
        <v>#REF!</v>
      </c>
      <c r="H93" s="65">
        <f>E93+2791209</f>
        <v>6763366</v>
      </c>
      <c r="I93" s="65">
        <f t="shared" si="55"/>
        <v>2791209</v>
      </c>
      <c r="J93" s="66">
        <v>1</v>
      </c>
      <c r="K93" s="66">
        <v>0</v>
      </c>
      <c r="L93" s="67">
        <v>0</v>
      </c>
      <c r="M93" s="59">
        <f t="shared" si="56"/>
        <v>0</v>
      </c>
      <c r="N93" s="59">
        <f t="shared" si="57"/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3156237.48</v>
      </c>
      <c r="U93" s="59">
        <f>SUM(V93:AG93)</f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59">
        <v>0</v>
      </c>
      <c r="AB93" s="59">
        <v>0</v>
      </c>
      <c r="AC93" s="59">
        <v>0</v>
      </c>
      <c r="AD93" s="67"/>
      <c r="AE93" s="67"/>
      <c r="AF93" s="67"/>
      <c r="AG93" s="67"/>
      <c r="AH93" s="59">
        <f t="shared" si="59"/>
        <v>3156237.48</v>
      </c>
      <c r="AI93" s="59" t="e">
        <f>#REF!*2.8</f>
        <v>#REF!</v>
      </c>
      <c r="AJ93" s="67"/>
      <c r="AK93" s="59" t="e">
        <f>#REF!*2.8</f>
        <v>#REF!</v>
      </c>
      <c r="AL93" s="67"/>
      <c r="AM93" s="59">
        <f t="shared" si="60"/>
        <v>0</v>
      </c>
      <c r="AN93" s="60" t="e">
        <f t="shared" si="61"/>
        <v>#REF!</v>
      </c>
      <c r="AO93" s="28" t="s">
        <v>712</v>
      </c>
    </row>
    <row r="94" spans="1:44" ht="21" customHeight="1">
      <c r="A94" s="114"/>
      <c r="B94" s="114"/>
      <c r="C94" s="110" t="s">
        <v>102</v>
      </c>
      <c r="D94" s="115">
        <f>SUM(D85:D93)</f>
        <v>68866475.664</v>
      </c>
      <c r="E94" s="115">
        <f>SUM(E85:E93)</f>
        <v>24595169.880000003</v>
      </c>
      <c r="F94" s="115" t="e">
        <f>SUM(F85:F93)</f>
        <v>#REF!</v>
      </c>
      <c r="G94" s="115" t="e">
        <f>SUM(G85:G93)+0.01</f>
        <v>#REF!</v>
      </c>
      <c r="H94" s="115">
        <f>SUM(H85:H93)+0.02</f>
        <v>33016787.470714286</v>
      </c>
      <c r="I94" s="115">
        <f>SUM(I85:I93)+0.02</f>
        <v>8421617.590714287</v>
      </c>
      <c r="J94" s="116">
        <v>1</v>
      </c>
      <c r="K94" s="116">
        <v>0</v>
      </c>
      <c r="L94" s="115">
        <f aca="true" t="shared" si="62" ref="L94:AG94">SUM(L85:L93)</f>
        <v>0</v>
      </c>
      <c r="M94" s="115">
        <f t="shared" si="62"/>
        <v>0</v>
      </c>
      <c r="N94" s="115">
        <f t="shared" si="62"/>
        <v>0</v>
      </c>
      <c r="O94" s="115">
        <f t="shared" si="62"/>
        <v>0</v>
      </c>
      <c r="P94" s="115">
        <f t="shared" si="62"/>
        <v>0</v>
      </c>
      <c r="Q94" s="115">
        <f t="shared" si="62"/>
        <v>0</v>
      </c>
      <c r="R94" s="115">
        <f t="shared" si="62"/>
        <v>0</v>
      </c>
      <c r="S94" s="115">
        <f t="shared" si="62"/>
        <v>0</v>
      </c>
      <c r="T94" s="115" t="e">
        <f t="shared" si="62"/>
        <v>#REF!</v>
      </c>
      <c r="U94" s="115" t="e">
        <f t="shared" si="62"/>
        <v>#REF!</v>
      </c>
      <c r="V94" s="115">
        <f t="shared" si="62"/>
        <v>0</v>
      </c>
      <c r="W94" s="115">
        <f t="shared" si="62"/>
        <v>0</v>
      </c>
      <c r="X94" s="115">
        <f t="shared" si="62"/>
        <v>0</v>
      </c>
      <c r="Y94" s="115">
        <f t="shared" si="62"/>
        <v>0</v>
      </c>
      <c r="Z94" s="115">
        <f t="shared" si="62"/>
        <v>0</v>
      </c>
      <c r="AA94" s="115">
        <f t="shared" si="62"/>
        <v>0</v>
      </c>
      <c r="AB94" s="115">
        <f t="shared" si="62"/>
        <v>0</v>
      </c>
      <c r="AC94" s="115">
        <f t="shared" si="62"/>
        <v>0</v>
      </c>
      <c r="AD94" s="115">
        <f t="shared" si="62"/>
        <v>0</v>
      </c>
      <c r="AE94" s="115">
        <f t="shared" si="62"/>
        <v>0</v>
      </c>
      <c r="AF94" s="115">
        <f t="shared" si="62"/>
        <v>0</v>
      </c>
      <c r="AG94" s="115">
        <f t="shared" si="62"/>
        <v>0</v>
      </c>
      <c r="AH94" s="115" t="e">
        <f>SUM(AH85:AH93)+0.01</f>
        <v>#REF!</v>
      </c>
      <c r="AI94" s="115" t="e">
        <f>SUM(AI85:AI93)</f>
        <v>#REF!</v>
      </c>
      <c r="AJ94" s="115"/>
      <c r="AK94" s="115" t="e">
        <f>SUM(AK85:AK93)</f>
        <v>#REF!</v>
      </c>
      <c r="AL94" s="115"/>
      <c r="AM94" s="115" t="e">
        <f>SUM(AM85:AM93)</f>
        <v>#REF!</v>
      </c>
      <c r="AN94" s="60" t="e">
        <f t="shared" si="61"/>
        <v>#REF!</v>
      </c>
      <c r="AO94" s="28" t="s">
        <v>695</v>
      </c>
      <c r="AP94" s="92" t="s">
        <v>702</v>
      </c>
      <c r="AQ94" s="93">
        <v>24595169.94</v>
      </c>
      <c r="AR94" s="92" t="s">
        <v>703</v>
      </c>
    </row>
    <row r="95" spans="1:40" ht="23.25" customHeight="1">
      <c r="A95" s="114"/>
      <c r="B95" s="114"/>
      <c r="C95" s="117" t="s">
        <v>103</v>
      </c>
      <c r="D95" s="11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60"/>
    </row>
    <row r="96" spans="1:41" ht="21.75" customHeight="1">
      <c r="A96" s="63">
        <v>1</v>
      </c>
      <c r="B96" s="63" t="s">
        <v>330</v>
      </c>
      <c r="C96" s="64" t="s">
        <v>749</v>
      </c>
      <c r="D96" s="65">
        <v>527999</v>
      </c>
      <c r="E96" s="65">
        <v>188571</v>
      </c>
      <c r="F96" s="65">
        <v>527999</v>
      </c>
      <c r="G96" s="65">
        <f aca="true" t="shared" si="63" ref="G96:G108">F96-D96</f>
        <v>0</v>
      </c>
      <c r="H96" s="65">
        <f aca="true" t="shared" si="64" ref="H96:H108">E96</f>
        <v>188571</v>
      </c>
      <c r="I96" s="65">
        <f aca="true" t="shared" si="65" ref="I96:I108">H96-E96</f>
        <v>0</v>
      </c>
      <c r="J96" s="66">
        <v>1</v>
      </c>
      <c r="K96" s="66">
        <v>0</v>
      </c>
      <c r="L96" s="67">
        <v>0</v>
      </c>
      <c r="M96" s="67">
        <f aca="true" t="shared" si="66" ref="M96:M108">N96</f>
        <v>0</v>
      </c>
      <c r="N96" s="59">
        <f aca="true" t="shared" si="67" ref="N96:N108">O96+P96+Q96+R96+S96</f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 t="e">
        <f>#REF!*2.8</f>
        <v>#REF!</v>
      </c>
      <c r="U96" s="59">
        <f aca="true" t="shared" si="68" ref="U96:U108">SUM(V96:AG96)</f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59">
        <v>0</v>
      </c>
      <c r="AB96" s="59">
        <v>0</v>
      </c>
      <c r="AC96" s="59">
        <v>0</v>
      </c>
      <c r="AD96" s="67"/>
      <c r="AE96" s="67"/>
      <c r="AF96" s="67"/>
      <c r="AG96" s="67"/>
      <c r="AH96" s="59" t="e">
        <f aca="true" t="shared" si="69" ref="AH96:AH108">T96-U96</f>
        <v>#REF!</v>
      </c>
      <c r="AI96" s="59">
        <f aca="true" t="shared" si="70" ref="AI96:AI108">F96</f>
        <v>527999</v>
      </c>
      <c r="AJ96" s="67"/>
      <c r="AK96" s="59" t="e">
        <f>#REF!*2.8</f>
        <v>#REF!</v>
      </c>
      <c r="AL96" s="67"/>
      <c r="AM96" s="59">
        <f aca="true" t="shared" si="71" ref="AM96:AM108">N96+U96+AJ96+AL96</f>
        <v>0</v>
      </c>
      <c r="AN96" s="60" t="e">
        <f aca="true" t="shared" si="72" ref="AN96:AN109">M96+T96+AI96+AK96-F96</f>
        <v>#REF!</v>
      </c>
      <c r="AO96" s="28" t="s">
        <v>712</v>
      </c>
    </row>
    <row r="97" spans="1:41" ht="21.75" customHeight="1">
      <c r="A97" s="63">
        <v>1</v>
      </c>
      <c r="B97" s="63" t="s">
        <v>313</v>
      </c>
      <c r="C97" s="64" t="s">
        <v>750</v>
      </c>
      <c r="D97" s="65">
        <v>527999</v>
      </c>
      <c r="E97" s="65">
        <v>188571</v>
      </c>
      <c r="F97" s="65">
        <v>527999</v>
      </c>
      <c r="G97" s="65">
        <f t="shared" si="63"/>
        <v>0</v>
      </c>
      <c r="H97" s="65">
        <f t="shared" si="64"/>
        <v>188571</v>
      </c>
      <c r="I97" s="65">
        <f t="shared" si="65"/>
        <v>0</v>
      </c>
      <c r="J97" s="66">
        <v>1</v>
      </c>
      <c r="K97" s="66">
        <v>0</v>
      </c>
      <c r="L97" s="67">
        <v>0</v>
      </c>
      <c r="M97" s="67">
        <f t="shared" si="66"/>
        <v>0</v>
      </c>
      <c r="N97" s="59">
        <f t="shared" si="67"/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 t="e">
        <f>#REF!*2.8</f>
        <v>#REF!</v>
      </c>
      <c r="U97" s="59">
        <f t="shared" si="68"/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59">
        <v>0</v>
      </c>
      <c r="AB97" s="59">
        <v>0</v>
      </c>
      <c r="AC97" s="59">
        <v>0</v>
      </c>
      <c r="AD97" s="67"/>
      <c r="AE97" s="67"/>
      <c r="AF97" s="67"/>
      <c r="AG97" s="67"/>
      <c r="AH97" s="59" t="e">
        <f t="shared" si="69"/>
        <v>#REF!</v>
      </c>
      <c r="AI97" s="59">
        <f t="shared" si="70"/>
        <v>527999</v>
      </c>
      <c r="AJ97" s="67"/>
      <c r="AK97" s="59" t="e">
        <f>#REF!*2.8</f>
        <v>#REF!</v>
      </c>
      <c r="AL97" s="67"/>
      <c r="AM97" s="59">
        <f t="shared" si="71"/>
        <v>0</v>
      </c>
      <c r="AN97" s="60" t="e">
        <f t="shared" si="72"/>
        <v>#REF!</v>
      </c>
      <c r="AO97" s="28" t="s">
        <v>712</v>
      </c>
    </row>
    <row r="98" spans="1:41" ht="21.75" customHeight="1">
      <c r="A98" s="63">
        <v>1</v>
      </c>
      <c r="B98" s="63" t="s">
        <v>333</v>
      </c>
      <c r="C98" s="64" t="s">
        <v>751</v>
      </c>
      <c r="D98" s="65">
        <v>527999</v>
      </c>
      <c r="E98" s="65">
        <v>188571</v>
      </c>
      <c r="F98" s="65">
        <v>527999</v>
      </c>
      <c r="G98" s="65">
        <f t="shared" si="63"/>
        <v>0</v>
      </c>
      <c r="H98" s="65">
        <f t="shared" si="64"/>
        <v>188571</v>
      </c>
      <c r="I98" s="65">
        <f t="shared" si="65"/>
        <v>0</v>
      </c>
      <c r="J98" s="66">
        <v>1</v>
      </c>
      <c r="K98" s="66">
        <v>0</v>
      </c>
      <c r="L98" s="67">
        <v>0</v>
      </c>
      <c r="M98" s="67">
        <f t="shared" si="66"/>
        <v>0</v>
      </c>
      <c r="N98" s="59">
        <f t="shared" si="67"/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 t="e">
        <f>#REF!*2.8</f>
        <v>#REF!</v>
      </c>
      <c r="U98" s="59">
        <f t="shared" si="68"/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59">
        <v>0</v>
      </c>
      <c r="AB98" s="59">
        <v>0</v>
      </c>
      <c r="AC98" s="59">
        <v>0</v>
      </c>
      <c r="AD98" s="67"/>
      <c r="AE98" s="67"/>
      <c r="AF98" s="67"/>
      <c r="AG98" s="67"/>
      <c r="AH98" s="59" t="e">
        <f t="shared" si="69"/>
        <v>#REF!</v>
      </c>
      <c r="AI98" s="59">
        <f t="shared" si="70"/>
        <v>527999</v>
      </c>
      <c r="AJ98" s="67"/>
      <c r="AK98" s="59" t="e">
        <f>#REF!*2.8</f>
        <v>#REF!</v>
      </c>
      <c r="AL98" s="67"/>
      <c r="AM98" s="59">
        <f t="shared" si="71"/>
        <v>0</v>
      </c>
      <c r="AN98" s="60" t="e">
        <f t="shared" si="72"/>
        <v>#REF!</v>
      </c>
      <c r="AO98" s="28" t="s">
        <v>712</v>
      </c>
    </row>
    <row r="99" spans="1:41" ht="21.75" customHeight="1">
      <c r="A99" s="63">
        <v>1</v>
      </c>
      <c r="B99" s="63" t="s">
        <v>336</v>
      </c>
      <c r="C99" s="64" t="s">
        <v>752</v>
      </c>
      <c r="D99" s="65">
        <v>527999</v>
      </c>
      <c r="E99" s="65">
        <v>188571</v>
      </c>
      <c r="F99" s="65">
        <v>527999</v>
      </c>
      <c r="G99" s="65">
        <f t="shared" si="63"/>
        <v>0</v>
      </c>
      <c r="H99" s="65">
        <f t="shared" si="64"/>
        <v>188571</v>
      </c>
      <c r="I99" s="65">
        <f t="shared" si="65"/>
        <v>0</v>
      </c>
      <c r="J99" s="66">
        <v>1</v>
      </c>
      <c r="K99" s="66">
        <v>0</v>
      </c>
      <c r="L99" s="67">
        <v>0</v>
      </c>
      <c r="M99" s="67">
        <f t="shared" si="66"/>
        <v>0</v>
      </c>
      <c r="N99" s="59">
        <f t="shared" si="67"/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 t="e">
        <f>#REF!*2.8</f>
        <v>#REF!</v>
      </c>
      <c r="U99" s="59">
        <f t="shared" si="68"/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59">
        <v>0</v>
      </c>
      <c r="AB99" s="59">
        <v>0</v>
      </c>
      <c r="AC99" s="59">
        <v>0</v>
      </c>
      <c r="AD99" s="67"/>
      <c r="AE99" s="67"/>
      <c r="AF99" s="67"/>
      <c r="AG99" s="67"/>
      <c r="AH99" s="59" t="e">
        <f t="shared" si="69"/>
        <v>#REF!</v>
      </c>
      <c r="AI99" s="59">
        <f t="shared" si="70"/>
        <v>527999</v>
      </c>
      <c r="AJ99" s="67"/>
      <c r="AK99" s="59" t="e">
        <f>#REF!*2.8</f>
        <v>#REF!</v>
      </c>
      <c r="AL99" s="67"/>
      <c r="AM99" s="59">
        <f t="shared" si="71"/>
        <v>0</v>
      </c>
      <c r="AN99" s="60" t="e">
        <f t="shared" si="72"/>
        <v>#REF!</v>
      </c>
      <c r="AO99" s="28" t="s">
        <v>712</v>
      </c>
    </row>
    <row r="100" spans="1:41" ht="21.75" customHeight="1">
      <c r="A100" s="63">
        <v>1</v>
      </c>
      <c r="B100" s="63" t="s">
        <v>339</v>
      </c>
      <c r="C100" s="64" t="s">
        <v>753</v>
      </c>
      <c r="D100" s="65">
        <v>527999</v>
      </c>
      <c r="E100" s="65">
        <v>188571</v>
      </c>
      <c r="F100" s="65">
        <v>527999</v>
      </c>
      <c r="G100" s="65">
        <f t="shared" si="63"/>
        <v>0</v>
      </c>
      <c r="H100" s="65">
        <f t="shared" si="64"/>
        <v>188571</v>
      </c>
      <c r="I100" s="65">
        <f t="shared" si="65"/>
        <v>0</v>
      </c>
      <c r="J100" s="66">
        <v>1</v>
      </c>
      <c r="K100" s="66">
        <v>0</v>
      </c>
      <c r="L100" s="67">
        <v>0</v>
      </c>
      <c r="M100" s="67">
        <f t="shared" si="66"/>
        <v>0</v>
      </c>
      <c r="N100" s="59">
        <f t="shared" si="67"/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 t="e">
        <f>#REF!*2.8</f>
        <v>#REF!</v>
      </c>
      <c r="U100" s="59">
        <f t="shared" si="68"/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59">
        <v>0</v>
      </c>
      <c r="AB100" s="59">
        <v>0</v>
      </c>
      <c r="AC100" s="59">
        <v>0</v>
      </c>
      <c r="AD100" s="67"/>
      <c r="AE100" s="67"/>
      <c r="AF100" s="67"/>
      <c r="AG100" s="67"/>
      <c r="AH100" s="59" t="e">
        <f t="shared" si="69"/>
        <v>#REF!</v>
      </c>
      <c r="AI100" s="59">
        <f t="shared" si="70"/>
        <v>527999</v>
      </c>
      <c r="AJ100" s="67"/>
      <c r="AK100" s="59" t="e">
        <f>#REF!*2.8</f>
        <v>#REF!</v>
      </c>
      <c r="AL100" s="67"/>
      <c r="AM100" s="59">
        <f t="shared" si="71"/>
        <v>0</v>
      </c>
      <c r="AN100" s="60" t="e">
        <f t="shared" si="72"/>
        <v>#REF!</v>
      </c>
      <c r="AO100" s="28" t="s">
        <v>712</v>
      </c>
    </row>
    <row r="101" spans="1:41" ht="21.75" customHeight="1">
      <c r="A101" s="63">
        <v>1</v>
      </c>
      <c r="B101" s="63" t="s">
        <v>316</v>
      </c>
      <c r="C101" s="64" t="s">
        <v>754</v>
      </c>
      <c r="D101" s="65">
        <v>527999</v>
      </c>
      <c r="E101" s="65">
        <v>188571</v>
      </c>
      <c r="F101" s="65">
        <v>527999</v>
      </c>
      <c r="G101" s="65">
        <f t="shared" si="63"/>
        <v>0</v>
      </c>
      <c r="H101" s="65">
        <f t="shared" si="64"/>
        <v>188571</v>
      </c>
      <c r="I101" s="65">
        <f t="shared" si="65"/>
        <v>0</v>
      </c>
      <c r="J101" s="66">
        <v>1</v>
      </c>
      <c r="K101" s="66">
        <v>0</v>
      </c>
      <c r="L101" s="67">
        <v>0</v>
      </c>
      <c r="M101" s="67">
        <f t="shared" si="66"/>
        <v>0</v>
      </c>
      <c r="N101" s="59">
        <f t="shared" si="67"/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 t="e">
        <f>#REF!*2.8</f>
        <v>#REF!</v>
      </c>
      <c r="U101" s="59">
        <f t="shared" si="68"/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59">
        <v>0</v>
      </c>
      <c r="AB101" s="59">
        <v>0</v>
      </c>
      <c r="AC101" s="59">
        <v>0</v>
      </c>
      <c r="AD101" s="67"/>
      <c r="AE101" s="67"/>
      <c r="AF101" s="67"/>
      <c r="AG101" s="67"/>
      <c r="AH101" s="59" t="e">
        <f t="shared" si="69"/>
        <v>#REF!</v>
      </c>
      <c r="AI101" s="59">
        <f t="shared" si="70"/>
        <v>527999</v>
      </c>
      <c r="AJ101" s="67"/>
      <c r="AK101" s="59" t="e">
        <f>#REF!*2.8</f>
        <v>#REF!</v>
      </c>
      <c r="AL101" s="67"/>
      <c r="AM101" s="59">
        <f t="shared" si="71"/>
        <v>0</v>
      </c>
      <c r="AN101" s="60" t="e">
        <f t="shared" si="72"/>
        <v>#REF!</v>
      </c>
      <c r="AO101" s="28" t="s">
        <v>712</v>
      </c>
    </row>
    <row r="102" spans="1:41" ht="21.75" customHeight="1">
      <c r="A102" s="63">
        <v>1</v>
      </c>
      <c r="B102" s="63" t="s">
        <v>319</v>
      </c>
      <c r="C102" s="64" t="s">
        <v>755</v>
      </c>
      <c r="D102" s="65">
        <v>527999</v>
      </c>
      <c r="E102" s="65">
        <v>188571</v>
      </c>
      <c r="F102" s="65">
        <v>527999</v>
      </c>
      <c r="G102" s="65">
        <f t="shared" si="63"/>
        <v>0</v>
      </c>
      <c r="H102" s="65">
        <f t="shared" si="64"/>
        <v>188571</v>
      </c>
      <c r="I102" s="65">
        <f t="shared" si="65"/>
        <v>0</v>
      </c>
      <c r="J102" s="66">
        <v>1</v>
      </c>
      <c r="K102" s="66">
        <v>0</v>
      </c>
      <c r="L102" s="67">
        <v>0</v>
      </c>
      <c r="M102" s="67">
        <f t="shared" si="66"/>
        <v>0</v>
      </c>
      <c r="N102" s="59">
        <f t="shared" si="67"/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 t="e">
        <f>#REF!*2.8</f>
        <v>#REF!</v>
      </c>
      <c r="U102" s="59">
        <f t="shared" si="68"/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59">
        <v>0</v>
      </c>
      <c r="AB102" s="59">
        <v>0</v>
      </c>
      <c r="AC102" s="59">
        <v>0</v>
      </c>
      <c r="AD102" s="67"/>
      <c r="AE102" s="67"/>
      <c r="AF102" s="67"/>
      <c r="AG102" s="67"/>
      <c r="AH102" s="59" t="e">
        <f t="shared" si="69"/>
        <v>#REF!</v>
      </c>
      <c r="AI102" s="59">
        <f t="shared" si="70"/>
        <v>527999</v>
      </c>
      <c r="AJ102" s="67"/>
      <c r="AK102" s="59" t="e">
        <f>#REF!*2.8</f>
        <v>#REF!</v>
      </c>
      <c r="AL102" s="67"/>
      <c r="AM102" s="59">
        <f t="shared" si="71"/>
        <v>0</v>
      </c>
      <c r="AN102" s="60" t="e">
        <f t="shared" si="72"/>
        <v>#REF!</v>
      </c>
      <c r="AO102" s="28" t="s">
        <v>712</v>
      </c>
    </row>
    <row r="103" spans="1:41" ht="21.75" customHeight="1">
      <c r="A103" s="63">
        <v>1</v>
      </c>
      <c r="B103" s="63" t="s">
        <v>342</v>
      </c>
      <c r="C103" s="64" t="s">
        <v>756</v>
      </c>
      <c r="D103" s="65">
        <v>527999</v>
      </c>
      <c r="E103" s="65">
        <v>188571</v>
      </c>
      <c r="F103" s="65">
        <v>527999</v>
      </c>
      <c r="G103" s="65">
        <f t="shared" si="63"/>
        <v>0</v>
      </c>
      <c r="H103" s="65">
        <f t="shared" si="64"/>
        <v>188571</v>
      </c>
      <c r="I103" s="65">
        <f t="shared" si="65"/>
        <v>0</v>
      </c>
      <c r="J103" s="66">
        <v>1</v>
      </c>
      <c r="K103" s="66">
        <v>0</v>
      </c>
      <c r="L103" s="67">
        <v>0</v>
      </c>
      <c r="M103" s="67">
        <f t="shared" si="66"/>
        <v>0</v>
      </c>
      <c r="N103" s="59">
        <f t="shared" si="67"/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 t="e">
        <f>#REF!*2.8</f>
        <v>#REF!</v>
      </c>
      <c r="U103" s="59">
        <f t="shared" si="68"/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59">
        <v>0</v>
      </c>
      <c r="AB103" s="59">
        <v>0</v>
      </c>
      <c r="AC103" s="59">
        <v>0</v>
      </c>
      <c r="AD103" s="67"/>
      <c r="AE103" s="67"/>
      <c r="AF103" s="67"/>
      <c r="AG103" s="67"/>
      <c r="AH103" s="59" t="e">
        <f t="shared" si="69"/>
        <v>#REF!</v>
      </c>
      <c r="AI103" s="59">
        <f t="shared" si="70"/>
        <v>527999</v>
      </c>
      <c r="AJ103" s="67"/>
      <c r="AK103" s="59" t="e">
        <f>#REF!*2.8</f>
        <v>#REF!</v>
      </c>
      <c r="AL103" s="67"/>
      <c r="AM103" s="59">
        <f t="shared" si="71"/>
        <v>0</v>
      </c>
      <c r="AN103" s="60" t="e">
        <f t="shared" si="72"/>
        <v>#REF!</v>
      </c>
      <c r="AO103" s="28" t="s">
        <v>712</v>
      </c>
    </row>
    <row r="104" spans="1:41" ht="21.75" customHeight="1">
      <c r="A104" s="63">
        <v>1</v>
      </c>
      <c r="B104" s="63" t="s">
        <v>345</v>
      </c>
      <c r="C104" s="64" t="s">
        <v>757</v>
      </c>
      <c r="D104" s="65">
        <v>527999</v>
      </c>
      <c r="E104" s="65">
        <v>188571</v>
      </c>
      <c r="F104" s="65">
        <v>527999</v>
      </c>
      <c r="G104" s="65">
        <f t="shared" si="63"/>
        <v>0</v>
      </c>
      <c r="H104" s="65">
        <f t="shared" si="64"/>
        <v>188571</v>
      </c>
      <c r="I104" s="65">
        <f t="shared" si="65"/>
        <v>0</v>
      </c>
      <c r="J104" s="66">
        <v>1</v>
      </c>
      <c r="K104" s="66">
        <v>0</v>
      </c>
      <c r="L104" s="67">
        <v>0</v>
      </c>
      <c r="M104" s="67">
        <f t="shared" si="66"/>
        <v>0</v>
      </c>
      <c r="N104" s="59">
        <f t="shared" si="67"/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 t="e">
        <f>#REF!*2.8</f>
        <v>#REF!</v>
      </c>
      <c r="U104" s="59">
        <f t="shared" si="68"/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59">
        <v>0</v>
      </c>
      <c r="AB104" s="59">
        <v>0</v>
      </c>
      <c r="AC104" s="59">
        <v>0</v>
      </c>
      <c r="AD104" s="67"/>
      <c r="AE104" s="67"/>
      <c r="AF104" s="67"/>
      <c r="AG104" s="67"/>
      <c r="AH104" s="59" t="e">
        <f t="shared" si="69"/>
        <v>#REF!</v>
      </c>
      <c r="AI104" s="59">
        <f t="shared" si="70"/>
        <v>527999</v>
      </c>
      <c r="AJ104" s="67"/>
      <c r="AK104" s="59" t="e">
        <f>#REF!*2.8</f>
        <v>#REF!</v>
      </c>
      <c r="AL104" s="67"/>
      <c r="AM104" s="59">
        <f t="shared" si="71"/>
        <v>0</v>
      </c>
      <c r="AN104" s="60" t="e">
        <f t="shared" si="72"/>
        <v>#REF!</v>
      </c>
      <c r="AO104" s="28" t="s">
        <v>712</v>
      </c>
    </row>
    <row r="105" spans="1:41" ht="21.75" customHeight="1">
      <c r="A105" s="63">
        <v>1</v>
      </c>
      <c r="B105" s="63" t="s">
        <v>325</v>
      </c>
      <c r="C105" s="64" t="s">
        <v>758</v>
      </c>
      <c r="D105" s="65">
        <v>527999</v>
      </c>
      <c r="E105" s="65">
        <v>188571</v>
      </c>
      <c r="F105" s="65">
        <v>527999</v>
      </c>
      <c r="G105" s="65">
        <f t="shared" si="63"/>
        <v>0</v>
      </c>
      <c r="H105" s="65">
        <f t="shared" si="64"/>
        <v>188571</v>
      </c>
      <c r="I105" s="65">
        <f t="shared" si="65"/>
        <v>0</v>
      </c>
      <c r="J105" s="66">
        <v>1</v>
      </c>
      <c r="K105" s="66">
        <v>0</v>
      </c>
      <c r="L105" s="67">
        <v>0</v>
      </c>
      <c r="M105" s="67">
        <f t="shared" si="66"/>
        <v>0</v>
      </c>
      <c r="N105" s="59">
        <f t="shared" si="67"/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 t="e">
        <f>#REF!*2.8</f>
        <v>#REF!</v>
      </c>
      <c r="U105" s="59">
        <f t="shared" si="68"/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59">
        <v>0</v>
      </c>
      <c r="AB105" s="59">
        <v>0</v>
      </c>
      <c r="AC105" s="59">
        <v>0</v>
      </c>
      <c r="AD105" s="67"/>
      <c r="AE105" s="67"/>
      <c r="AF105" s="67"/>
      <c r="AG105" s="67"/>
      <c r="AH105" s="59" t="e">
        <f t="shared" si="69"/>
        <v>#REF!</v>
      </c>
      <c r="AI105" s="59">
        <f t="shared" si="70"/>
        <v>527999</v>
      </c>
      <c r="AJ105" s="67"/>
      <c r="AK105" s="59" t="e">
        <f>#REF!*2.8</f>
        <v>#REF!</v>
      </c>
      <c r="AL105" s="67"/>
      <c r="AM105" s="59">
        <f t="shared" si="71"/>
        <v>0</v>
      </c>
      <c r="AN105" s="60" t="e">
        <f t="shared" si="72"/>
        <v>#REF!</v>
      </c>
      <c r="AO105" s="28" t="s">
        <v>712</v>
      </c>
    </row>
    <row r="106" spans="1:41" ht="21.75" customHeight="1">
      <c r="A106" s="63">
        <v>1</v>
      </c>
      <c r="B106" s="63" t="s">
        <v>322</v>
      </c>
      <c r="C106" s="64" t="s">
        <v>759</v>
      </c>
      <c r="D106" s="65">
        <v>527999</v>
      </c>
      <c r="E106" s="65">
        <v>188571</v>
      </c>
      <c r="F106" s="65">
        <v>527999</v>
      </c>
      <c r="G106" s="65">
        <f t="shared" si="63"/>
        <v>0</v>
      </c>
      <c r="H106" s="65">
        <f t="shared" si="64"/>
        <v>188571</v>
      </c>
      <c r="I106" s="65">
        <f t="shared" si="65"/>
        <v>0</v>
      </c>
      <c r="J106" s="66">
        <v>1</v>
      </c>
      <c r="K106" s="66">
        <v>0</v>
      </c>
      <c r="L106" s="67">
        <v>0</v>
      </c>
      <c r="M106" s="67">
        <f t="shared" si="66"/>
        <v>0</v>
      </c>
      <c r="N106" s="59">
        <f t="shared" si="67"/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 t="e">
        <f>#REF!*2.8</f>
        <v>#REF!</v>
      </c>
      <c r="U106" s="59">
        <f t="shared" si="68"/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59">
        <v>0</v>
      </c>
      <c r="AB106" s="59">
        <v>0</v>
      </c>
      <c r="AC106" s="59">
        <v>0</v>
      </c>
      <c r="AD106" s="67"/>
      <c r="AE106" s="67"/>
      <c r="AF106" s="67"/>
      <c r="AG106" s="67"/>
      <c r="AH106" s="59" t="e">
        <f t="shared" si="69"/>
        <v>#REF!</v>
      </c>
      <c r="AI106" s="59">
        <f t="shared" si="70"/>
        <v>527999</v>
      </c>
      <c r="AJ106" s="67"/>
      <c r="AK106" s="59" t="e">
        <f>#REF!*2.8</f>
        <v>#REF!</v>
      </c>
      <c r="AL106" s="67"/>
      <c r="AM106" s="59">
        <f t="shared" si="71"/>
        <v>0</v>
      </c>
      <c r="AN106" s="60" t="e">
        <f t="shared" si="72"/>
        <v>#REF!</v>
      </c>
      <c r="AO106" s="28" t="s">
        <v>712</v>
      </c>
    </row>
    <row r="107" spans="1:41" ht="21.75" customHeight="1">
      <c r="A107" s="63">
        <v>1</v>
      </c>
      <c r="B107" s="63" t="s">
        <v>348</v>
      </c>
      <c r="C107" s="64" t="s">
        <v>760</v>
      </c>
      <c r="D107" s="65">
        <v>527999</v>
      </c>
      <c r="E107" s="65">
        <v>188571</v>
      </c>
      <c r="F107" s="65">
        <v>527999</v>
      </c>
      <c r="G107" s="65">
        <f t="shared" si="63"/>
        <v>0</v>
      </c>
      <c r="H107" s="65">
        <f t="shared" si="64"/>
        <v>188571</v>
      </c>
      <c r="I107" s="65">
        <f t="shared" si="65"/>
        <v>0</v>
      </c>
      <c r="J107" s="66">
        <v>1</v>
      </c>
      <c r="K107" s="66">
        <v>0</v>
      </c>
      <c r="L107" s="67">
        <v>0</v>
      </c>
      <c r="M107" s="67">
        <f t="shared" si="66"/>
        <v>0</v>
      </c>
      <c r="N107" s="59">
        <f t="shared" si="67"/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 t="e">
        <f>#REF!*2.8</f>
        <v>#REF!</v>
      </c>
      <c r="U107" s="59">
        <f t="shared" si="68"/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59">
        <v>0</v>
      </c>
      <c r="AB107" s="59">
        <v>0</v>
      </c>
      <c r="AC107" s="59">
        <v>0</v>
      </c>
      <c r="AD107" s="67"/>
      <c r="AE107" s="67"/>
      <c r="AF107" s="67"/>
      <c r="AG107" s="67"/>
      <c r="AH107" s="59" t="e">
        <f t="shared" si="69"/>
        <v>#REF!</v>
      </c>
      <c r="AI107" s="59">
        <f t="shared" si="70"/>
        <v>527999</v>
      </c>
      <c r="AJ107" s="67"/>
      <c r="AK107" s="59" t="e">
        <f>#REF!*2.8</f>
        <v>#REF!</v>
      </c>
      <c r="AL107" s="67"/>
      <c r="AM107" s="59">
        <f t="shared" si="71"/>
        <v>0</v>
      </c>
      <c r="AN107" s="60" t="e">
        <f t="shared" si="72"/>
        <v>#REF!</v>
      </c>
      <c r="AO107" s="28" t="s">
        <v>712</v>
      </c>
    </row>
    <row r="108" spans="1:41" ht="24" customHeight="1">
      <c r="A108" s="63">
        <v>1</v>
      </c>
      <c r="B108" s="63" t="s">
        <v>376</v>
      </c>
      <c r="C108" s="64" t="s">
        <v>761</v>
      </c>
      <c r="D108" s="65">
        <v>527999</v>
      </c>
      <c r="E108" s="65">
        <v>188571</v>
      </c>
      <c r="F108" s="65">
        <v>527999</v>
      </c>
      <c r="G108" s="65">
        <f t="shared" si="63"/>
        <v>0</v>
      </c>
      <c r="H108" s="65">
        <f t="shared" si="64"/>
        <v>188571</v>
      </c>
      <c r="I108" s="65">
        <f t="shared" si="65"/>
        <v>0</v>
      </c>
      <c r="J108" s="66">
        <v>1</v>
      </c>
      <c r="K108" s="66">
        <v>0</v>
      </c>
      <c r="L108" s="67">
        <v>0</v>
      </c>
      <c r="M108" s="67">
        <f t="shared" si="66"/>
        <v>0</v>
      </c>
      <c r="N108" s="59">
        <f t="shared" si="67"/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 t="e">
        <f>#REF!*2.8</f>
        <v>#REF!</v>
      </c>
      <c r="U108" s="59">
        <f t="shared" si="68"/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59">
        <v>0</v>
      </c>
      <c r="AB108" s="59">
        <v>0</v>
      </c>
      <c r="AC108" s="59">
        <v>0</v>
      </c>
      <c r="AD108" s="67"/>
      <c r="AE108" s="67"/>
      <c r="AF108" s="67"/>
      <c r="AG108" s="67"/>
      <c r="AH108" s="59" t="e">
        <f t="shared" si="69"/>
        <v>#REF!</v>
      </c>
      <c r="AI108" s="59">
        <f t="shared" si="70"/>
        <v>527999</v>
      </c>
      <c r="AJ108" s="67"/>
      <c r="AK108" s="59" t="e">
        <f>#REF!*2.8</f>
        <v>#REF!</v>
      </c>
      <c r="AL108" s="67"/>
      <c r="AM108" s="59">
        <f t="shared" si="71"/>
        <v>0</v>
      </c>
      <c r="AN108" s="60" t="e">
        <f t="shared" si="72"/>
        <v>#REF!</v>
      </c>
      <c r="AO108" s="28" t="s">
        <v>712</v>
      </c>
    </row>
    <row r="109" spans="1:44" ht="21" customHeight="1">
      <c r="A109" s="114"/>
      <c r="B109" s="114"/>
      <c r="C109" s="110" t="s">
        <v>106</v>
      </c>
      <c r="D109" s="115">
        <f aca="true" t="shared" si="73" ref="D109:I109">SUM(D96:D108)</f>
        <v>6863987</v>
      </c>
      <c r="E109" s="115">
        <f t="shared" si="73"/>
        <v>2451423</v>
      </c>
      <c r="F109" s="115">
        <f t="shared" si="73"/>
        <v>6863987</v>
      </c>
      <c r="G109" s="115">
        <f t="shared" si="73"/>
        <v>0</v>
      </c>
      <c r="H109" s="115">
        <f t="shared" si="73"/>
        <v>2451423</v>
      </c>
      <c r="I109" s="115">
        <f t="shared" si="73"/>
        <v>0</v>
      </c>
      <c r="J109" s="116">
        <v>1</v>
      </c>
      <c r="K109" s="116">
        <v>0</v>
      </c>
      <c r="L109" s="115">
        <f aca="true" t="shared" si="74" ref="L109:AI109">SUM(L96:L108)</f>
        <v>0</v>
      </c>
      <c r="M109" s="115">
        <f t="shared" si="74"/>
        <v>0</v>
      </c>
      <c r="N109" s="115">
        <f t="shared" si="74"/>
        <v>0</v>
      </c>
      <c r="O109" s="115">
        <f t="shared" si="74"/>
        <v>0</v>
      </c>
      <c r="P109" s="115">
        <f t="shared" si="74"/>
        <v>0</v>
      </c>
      <c r="Q109" s="115">
        <f t="shared" si="74"/>
        <v>0</v>
      </c>
      <c r="R109" s="115">
        <f t="shared" si="74"/>
        <v>0</v>
      </c>
      <c r="S109" s="115">
        <f t="shared" si="74"/>
        <v>0</v>
      </c>
      <c r="T109" s="115" t="e">
        <f t="shared" si="74"/>
        <v>#REF!</v>
      </c>
      <c r="U109" s="115">
        <f t="shared" si="74"/>
        <v>0</v>
      </c>
      <c r="V109" s="115">
        <f t="shared" si="74"/>
        <v>0</v>
      </c>
      <c r="W109" s="115">
        <f t="shared" si="74"/>
        <v>0</v>
      </c>
      <c r="X109" s="115">
        <f t="shared" si="74"/>
        <v>0</v>
      </c>
      <c r="Y109" s="115">
        <f t="shared" si="74"/>
        <v>0</v>
      </c>
      <c r="Z109" s="115">
        <f t="shared" si="74"/>
        <v>0</v>
      </c>
      <c r="AA109" s="115">
        <f t="shared" si="74"/>
        <v>0</v>
      </c>
      <c r="AB109" s="115">
        <f t="shared" si="74"/>
        <v>0</v>
      </c>
      <c r="AC109" s="115">
        <f t="shared" si="74"/>
        <v>0</v>
      </c>
      <c r="AD109" s="115">
        <f t="shared" si="74"/>
        <v>0</v>
      </c>
      <c r="AE109" s="115">
        <f t="shared" si="74"/>
        <v>0</v>
      </c>
      <c r="AF109" s="115">
        <f t="shared" si="74"/>
        <v>0</v>
      </c>
      <c r="AG109" s="115">
        <f t="shared" si="74"/>
        <v>0</v>
      </c>
      <c r="AH109" s="115" t="e">
        <f t="shared" si="74"/>
        <v>#REF!</v>
      </c>
      <c r="AI109" s="115">
        <f t="shared" si="74"/>
        <v>6863987</v>
      </c>
      <c r="AJ109" s="115"/>
      <c r="AK109" s="115" t="e">
        <f>SUM(AK96:AK108)</f>
        <v>#REF!</v>
      </c>
      <c r="AL109" s="115"/>
      <c r="AM109" s="115">
        <f>SUM(AM96:AM108)</f>
        <v>0</v>
      </c>
      <c r="AN109" s="60" t="e">
        <f t="shared" si="72"/>
        <v>#REF!</v>
      </c>
      <c r="AO109" s="28" t="s">
        <v>695</v>
      </c>
      <c r="AP109" s="92" t="s">
        <v>702</v>
      </c>
      <c r="AQ109" s="93">
        <v>2451423.67</v>
      </c>
      <c r="AR109" s="92" t="s">
        <v>703</v>
      </c>
    </row>
    <row r="110" spans="1:44" ht="21" customHeight="1">
      <c r="A110" s="123"/>
      <c r="B110" s="123"/>
      <c r="C110" s="117" t="s">
        <v>762</v>
      </c>
      <c r="D110" s="111"/>
      <c r="E110" s="111"/>
      <c r="F110" s="111"/>
      <c r="G110" s="111"/>
      <c r="H110" s="111"/>
      <c r="I110" s="111"/>
      <c r="J110" s="124"/>
      <c r="K110" s="124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60"/>
      <c r="AP110" s="92"/>
      <c r="AQ110" s="93"/>
      <c r="AR110" s="92"/>
    </row>
    <row r="111" spans="1:41" ht="21.75" customHeight="1">
      <c r="A111" s="63">
        <v>1</v>
      </c>
      <c r="B111" s="63" t="s">
        <v>447</v>
      </c>
      <c r="C111" s="64" t="s">
        <v>763</v>
      </c>
      <c r="D111" s="65">
        <f>E111*$D$7</f>
        <v>3652000.8</v>
      </c>
      <c r="E111" s="65">
        <v>1304286</v>
      </c>
      <c r="F111" s="65" t="e">
        <f>#REF!*2.8</f>
        <v>#REF!</v>
      </c>
      <c r="G111" s="65" t="e">
        <f>F111-D111</f>
        <v>#REF!</v>
      </c>
      <c r="H111" s="65">
        <f>E111</f>
        <v>1304286</v>
      </c>
      <c r="I111" s="65">
        <f>H111-E111</f>
        <v>0</v>
      </c>
      <c r="J111" s="66">
        <v>1</v>
      </c>
      <c r="K111" s="66">
        <v>0</v>
      </c>
      <c r="L111" s="67">
        <v>0</v>
      </c>
      <c r="M111" s="67">
        <f>N111</f>
        <v>0</v>
      </c>
      <c r="N111" s="59">
        <f>O111+P111+Q111+R111+S111</f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 t="e">
        <f>#REF!*2.8</f>
        <v>#REF!</v>
      </c>
      <c r="U111" s="59">
        <f>SUM(V111:AG111)</f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59">
        <v>0</v>
      </c>
      <c r="AB111" s="59">
        <v>0</v>
      </c>
      <c r="AC111" s="59">
        <v>0</v>
      </c>
      <c r="AD111" s="67"/>
      <c r="AE111" s="67"/>
      <c r="AF111" s="67"/>
      <c r="AG111" s="67"/>
      <c r="AH111" s="59" t="e">
        <f>T111-U111</f>
        <v>#REF!</v>
      </c>
      <c r="AI111" s="59" t="e">
        <f>#REF!*2.8</f>
        <v>#REF!</v>
      </c>
      <c r="AJ111" s="67"/>
      <c r="AK111" s="59" t="e">
        <f>#REF!*2.8</f>
        <v>#REF!</v>
      </c>
      <c r="AL111" s="67"/>
      <c r="AM111" s="59">
        <f>N111+U111+AJ111+AL111</f>
        <v>0</v>
      </c>
      <c r="AN111" s="60" t="e">
        <f aca="true" t="shared" si="75" ref="AN111:AN116">M111+T111+AI111+AK111-F111</f>
        <v>#REF!</v>
      </c>
      <c r="AO111" s="28" t="s">
        <v>712</v>
      </c>
    </row>
    <row r="112" spans="1:41" ht="21.75" customHeight="1">
      <c r="A112" s="63">
        <v>2</v>
      </c>
      <c r="B112" s="63" t="s">
        <v>764</v>
      </c>
      <c r="C112" s="64" t="s">
        <v>765</v>
      </c>
      <c r="D112" s="65">
        <f>E112*$D$7</f>
        <v>2224300.4</v>
      </c>
      <c r="E112" s="65">
        <v>794393</v>
      </c>
      <c r="F112" s="65">
        <v>2069000</v>
      </c>
      <c r="G112" s="65">
        <f>F112-D112</f>
        <v>-155300.3999999999</v>
      </c>
      <c r="H112" s="65">
        <f>F112/2.8</f>
        <v>738928.5714285715</v>
      </c>
      <c r="I112" s="65">
        <f>H112-E112</f>
        <v>-55464.42857142852</v>
      </c>
      <c r="J112" s="66">
        <v>1</v>
      </c>
      <c r="K112" s="66">
        <v>0</v>
      </c>
      <c r="L112" s="67">
        <v>0</v>
      </c>
      <c r="M112" s="67">
        <f>N112</f>
        <v>0</v>
      </c>
      <c r="N112" s="59">
        <f>O112+P112+Q112+R112+S112</f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2069000</v>
      </c>
      <c r="U112" s="59">
        <f>SUM(V112:AG112)</f>
        <v>2069000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59">
        <v>0</v>
      </c>
      <c r="AB112" s="59">
        <v>2069000</v>
      </c>
      <c r="AC112" s="59">
        <v>0</v>
      </c>
      <c r="AD112" s="67"/>
      <c r="AE112" s="67"/>
      <c r="AF112" s="67"/>
      <c r="AG112" s="67"/>
      <c r="AH112" s="59">
        <f>T112-U112</f>
        <v>0</v>
      </c>
      <c r="AI112" s="59">
        <v>0</v>
      </c>
      <c r="AJ112" s="67"/>
      <c r="AK112" s="59">
        <v>0</v>
      </c>
      <c r="AL112" s="67"/>
      <c r="AM112" s="59">
        <f>N112+U112+AJ112+AL112</f>
        <v>2069000</v>
      </c>
      <c r="AN112" s="60">
        <f t="shared" si="75"/>
        <v>0</v>
      </c>
      <c r="AO112" s="28" t="s">
        <v>712</v>
      </c>
    </row>
    <row r="113" spans="1:44" ht="21" customHeight="1">
      <c r="A113" s="114"/>
      <c r="B113" s="114"/>
      <c r="C113" s="110" t="s">
        <v>766</v>
      </c>
      <c r="D113" s="115">
        <f aca="true" t="shared" si="76" ref="D113:I113">SUM(D111:D112)</f>
        <v>5876301.199999999</v>
      </c>
      <c r="E113" s="115">
        <f t="shared" si="76"/>
        <v>2098679</v>
      </c>
      <c r="F113" s="115" t="e">
        <f t="shared" si="76"/>
        <v>#REF!</v>
      </c>
      <c r="G113" s="115" t="e">
        <f t="shared" si="76"/>
        <v>#REF!</v>
      </c>
      <c r="H113" s="115">
        <f t="shared" si="76"/>
        <v>2043214.5714285714</v>
      </c>
      <c r="I113" s="115">
        <f t="shared" si="76"/>
        <v>-55464.42857142852</v>
      </c>
      <c r="J113" s="116">
        <v>1</v>
      </c>
      <c r="K113" s="115">
        <f aca="true" t="shared" si="77" ref="K113:T113">SUM(K111:K112)</f>
        <v>0</v>
      </c>
      <c r="L113" s="115">
        <f t="shared" si="77"/>
        <v>0</v>
      </c>
      <c r="M113" s="115">
        <f t="shared" si="77"/>
        <v>0</v>
      </c>
      <c r="N113" s="115">
        <f t="shared" si="77"/>
        <v>0</v>
      </c>
      <c r="O113" s="115">
        <f t="shared" si="77"/>
        <v>0</v>
      </c>
      <c r="P113" s="115">
        <f t="shared" si="77"/>
        <v>0</v>
      </c>
      <c r="Q113" s="115">
        <f t="shared" si="77"/>
        <v>0</v>
      </c>
      <c r="R113" s="115">
        <f t="shared" si="77"/>
        <v>0</v>
      </c>
      <c r="S113" s="115">
        <f t="shared" si="77"/>
        <v>0</v>
      </c>
      <c r="T113" s="115" t="e">
        <f t="shared" si="77"/>
        <v>#REF!</v>
      </c>
      <c r="U113" s="115">
        <f aca="true" t="shared" si="78" ref="U113:AG113">SUM(U100:U112)</f>
        <v>2069000</v>
      </c>
      <c r="V113" s="115">
        <f t="shared" si="78"/>
        <v>0</v>
      </c>
      <c r="W113" s="115">
        <f t="shared" si="78"/>
        <v>0</v>
      </c>
      <c r="X113" s="115">
        <f t="shared" si="78"/>
        <v>0</v>
      </c>
      <c r="Y113" s="115">
        <f t="shared" si="78"/>
        <v>0</v>
      </c>
      <c r="Z113" s="115">
        <f t="shared" si="78"/>
        <v>0</v>
      </c>
      <c r="AA113" s="115">
        <f t="shared" si="78"/>
        <v>0</v>
      </c>
      <c r="AB113" s="115">
        <f t="shared" si="78"/>
        <v>2069000</v>
      </c>
      <c r="AC113" s="115">
        <f t="shared" si="78"/>
        <v>0</v>
      </c>
      <c r="AD113" s="115">
        <f t="shared" si="78"/>
        <v>0</v>
      </c>
      <c r="AE113" s="115">
        <f t="shared" si="78"/>
        <v>0</v>
      </c>
      <c r="AF113" s="115">
        <f t="shared" si="78"/>
        <v>0</v>
      </c>
      <c r="AG113" s="115">
        <f t="shared" si="78"/>
        <v>0</v>
      </c>
      <c r="AH113" s="115" t="e">
        <f>SUM(AH111:AH112)</f>
        <v>#REF!</v>
      </c>
      <c r="AI113" s="115" t="e">
        <f>SUM(AI111:AI112)</f>
        <v>#REF!</v>
      </c>
      <c r="AJ113" s="115"/>
      <c r="AK113" s="115" t="e">
        <f>SUM(AK111:AK112)</f>
        <v>#REF!</v>
      </c>
      <c r="AL113" s="115"/>
      <c r="AM113" s="115">
        <f>SUM(AM111:AM112)</f>
        <v>2069000</v>
      </c>
      <c r="AN113" s="60" t="e">
        <f t="shared" si="75"/>
        <v>#REF!</v>
      </c>
      <c r="AO113" s="28" t="s">
        <v>695</v>
      </c>
      <c r="AP113" s="92" t="s">
        <v>702</v>
      </c>
      <c r="AQ113" s="93">
        <v>2451423.67</v>
      </c>
      <c r="AR113" s="92" t="s">
        <v>703</v>
      </c>
    </row>
    <row r="114" spans="1:41" ht="21.75" customHeight="1">
      <c r="A114" s="63"/>
      <c r="B114" s="63" t="s">
        <v>767</v>
      </c>
      <c r="C114" s="64" t="s">
        <v>768</v>
      </c>
      <c r="D114" s="65">
        <v>0</v>
      </c>
      <c r="E114" s="65">
        <v>0</v>
      </c>
      <c r="F114" s="65" t="e">
        <f>#REF!*2.8</f>
        <v>#REF!</v>
      </c>
      <c r="G114" s="65" t="e">
        <f>F114-D114</f>
        <v>#REF!</v>
      </c>
      <c r="H114" s="65">
        <v>60000</v>
      </c>
      <c r="I114" s="65">
        <f>H114-E114</f>
        <v>60000</v>
      </c>
      <c r="J114" s="66">
        <v>1</v>
      </c>
      <c r="K114" s="66">
        <v>0</v>
      </c>
      <c r="L114" s="67">
        <v>0</v>
      </c>
      <c r="M114" s="67">
        <f>N114</f>
        <v>0</v>
      </c>
      <c r="N114" s="59">
        <f>O114+P114+Q114+R114+S114</f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67">
        <v>0</v>
      </c>
      <c r="U114" s="59">
        <f>SUM(V114:AG114)</f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59">
        <v>0</v>
      </c>
      <c r="AB114" s="59">
        <v>0</v>
      </c>
      <c r="AC114" s="59">
        <v>0</v>
      </c>
      <c r="AD114" s="67"/>
      <c r="AE114" s="67"/>
      <c r="AF114" s="67"/>
      <c r="AG114" s="67"/>
      <c r="AH114" s="59">
        <f>T114-U114</f>
        <v>0</v>
      </c>
      <c r="AI114" s="67">
        <v>168000</v>
      </c>
      <c r="AJ114" s="67"/>
      <c r="AK114" s="67">
        <v>0</v>
      </c>
      <c r="AL114" s="67"/>
      <c r="AM114" s="59">
        <f>N114+U114+AJ114+AL114</f>
        <v>0</v>
      </c>
      <c r="AN114" s="60" t="e">
        <f t="shared" si="75"/>
        <v>#REF!</v>
      </c>
      <c r="AO114" s="28" t="s">
        <v>695</v>
      </c>
    </row>
    <row r="115" spans="1:44" ht="21" customHeight="1">
      <c r="A115" s="114"/>
      <c r="B115" s="114"/>
      <c r="C115" s="110" t="s">
        <v>769</v>
      </c>
      <c r="D115" s="115">
        <f aca="true" t="shared" si="79" ref="D115:I115">D114</f>
        <v>0</v>
      </c>
      <c r="E115" s="115">
        <f t="shared" si="79"/>
        <v>0</v>
      </c>
      <c r="F115" s="115" t="e">
        <f t="shared" si="79"/>
        <v>#REF!</v>
      </c>
      <c r="G115" s="115" t="e">
        <f t="shared" si="79"/>
        <v>#REF!</v>
      </c>
      <c r="H115" s="115">
        <f t="shared" si="79"/>
        <v>60000</v>
      </c>
      <c r="I115" s="115">
        <f t="shared" si="79"/>
        <v>60000</v>
      </c>
      <c r="J115" s="116">
        <v>1</v>
      </c>
      <c r="K115" s="115">
        <f>SUM(K113:K114)</f>
        <v>0</v>
      </c>
      <c r="L115" s="115">
        <f aca="true" t="shared" si="80" ref="L115:AI115">L114</f>
        <v>0</v>
      </c>
      <c r="M115" s="115">
        <f t="shared" si="80"/>
        <v>0</v>
      </c>
      <c r="N115" s="115">
        <f t="shared" si="80"/>
        <v>0</v>
      </c>
      <c r="O115" s="115">
        <f t="shared" si="80"/>
        <v>0</v>
      </c>
      <c r="P115" s="115">
        <f t="shared" si="80"/>
        <v>0</v>
      </c>
      <c r="Q115" s="115">
        <f t="shared" si="80"/>
        <v>0</v>
      </c>
      <c r="R115" s="115">
        <f t="shared" si="80"/>
        <v>0</v>
      </c>
      <c r="S115" s="115">
        <f t="shared" si="80"/>
        <v>0</v>
      </c>
      <c r="T115" s="115">
        <f t="shared" si="80"/>
        <v>0</v>
      </c>
      <c r="U115" s="115">
        <f t="shared" si="80"/>
        <v>0</v>
      </c>
      <c r="V115" s="115">
        <f t="shared" si="80"/>
        <v>0</v>
      </c>
      <c r="W115" s="115">
        <f t="shared" si="80"/>
        <v>0</v>
      </c>
      <c r="X115" s="115">
        <f t="shared" si="80"/>
        <v>0</v>
      </c>
      <c r="Y115" s="115">
        <f t="shared" si="80"/>
        <v>0</v>
      </c>
      <c r="Z115" s="115">
        <f t="shared" si="80"/>
        <v>0</v>
      </c>
      <c r="AA115" s="115">
        <f t="shared" si="80"/>
        <v>0</v>
      </c>
      <c r="AB115" s="115">
        <f t="shared" si="80"/>
        <v>0</v>
      </c>
      <c r="AC115" s="115">
        <f t="shared" si="80"/>
        <v>0</v>
      </c>
      <c r="AD115" s="115">
        <f t="shared" si="80"/>
        <v>0</v>
      </c>
      <c r="AE115" s="115">
        <f t="shared" si="80"/>
        <v>0</v>
      </c>
      <c r="AF115" s="115">
        <f t="shared" si="80"/>
        <v>0</v>
      </c>
      <c r="AG115" s="115">
        <f t="shared" si="80"/>
        <v>0</v>
      </c>
      <c r="AH115" s="115">
        <f t="shared" si="80"/>
        <v>0</v>
      </c>
      <c r="AI115" s="115">
        <f t="shared" si="80"/>
        <v>168000</v>
      </c>
      <c r="AJ115" s="115"/>
      <c r="AK115" s="115">
        <f>AK114</f>
        <v>0</v>
      </c>
      <c r="AL115" s="115"/>
      <c r="AM115" s="115">
        <f>AM114</f>
        <v>0</v>
      </c>
      <c r="AN115" s="60" t="e">
        <f t="shared" si="75"/>
        <v>#REF!</v>
      </c>
      <c r="AO115" s="28" t="s">
        <v>695</v>
      </c>
      <c r="AP115" s="93"/>
      <c r="AQ115" s="93"/>
      <c r="AR115" s="92"/>
    </row>
    <row r="116" spans="1:41" ht="34.5" customHeight="1">
      <c r="A116" s="96"/>
      <c r="B116" s="97" t="s">
        <v>770</v>
      </c>
      <c r="C116" s="43" t="s">
        <v>771</v>
      </c>
      <c r="D116" s="45" t="e">
        <f aca="true" t="shared" si="81" ref="D116:I116">D120+D124+D138+D141</f>
        <v>#REF!</v>
      </c>
      <c r="E116" s="45" t="e">
        <f t="shared" si="81"/>
        <v>#REF!</v>
      </c>
      <c r="F116" s="45" t="e">
        <f t="shared" si="81"/>
        <v>#REF!</v>
      </c>
      <c r="G116" s="45" t="e">
        <f t="shared" si="81"/>
        <v>#REF!</v>
      </c>
      <c r="H116" s="45" t="e">
        <f t="shared" si="81"/>
        <v>#REF!</v>
      </c>
      <c r="I116" s="45" t="e">
        <f t="shared" si="81"/>
        <v>#REF!</v>
      </c>
      <c r="J116" s="125">
        <v>0.54</v>
      </c>
      <c r="K116" s="126"/>
      <c r="L116" s="45">
        <v>0</v>
      </c>
      <c r="M116" s="45" t="e">
        <f aca="true" t="shared" si="82" ref="M116:AI116">M120+M124+M138+M141</f>
        <v>#REF!</v>
      </c>
      <c r="N116" s="45" t="e">
        <f t="shared" si="82"/>
        <v>#REF!</v>
      </c>
      <c r="O116" s="45" t="e">
        <f t="shared" si="82"/>
        <v>#REF!</v>
      </c>
      <c r="P116" s="45" t="e">
        <f t="shared" si="82"/>
        <v>#REF!</v>
      </c>
      <c r="Q116" s="45" t="e">
        <f t="shared" si="82"/>
        <v>#REF!</v>
      </c>
      <c r="R116" s="45" t="e">
        <f t="shared" si="82"/>
        <v>#REF!</v>
      </c>
      <c r="S116" s="45" t="e">
        <f t="shared" si="82"/>
        <v>#REF!</v>
      </c>
      <c r="T116" s="45" t="e">
        <f t="shared" si="82"/>
        <v>#REF!</v>
      </c>
      <c r="U116" s="45">
        <f t="shared" si="82"/>
        <v>2907600</v>
      </c>
      <c r="V116" s="45">
        <f t="shared" si="82"/>
        <v>0</v>
      </c>
      <c r="W116" s="45">
        <f t="shared" si="82"/>
        <v>0</v>
      </c>
      <c r="X116" s="45">
        <f t="shared" si="82"/>
        <v>527600</v>
      </c>
      <c r="Y116" s="45">
        <f t="shared" si="82"/>
        <v>0</v>
      </c>
      <c r="Z116" s="45">
        <f t="shared" si="82"/>
        <v>0</v>
      </c>
      <c r="AA116" s="45">
        <f t="shared" si="82"/>
        <v>0</v>
      </c>
      <c r="AB116" s="45">
        <f t="shared" si="82"/>
        <v>1100000</v>
      </c>
      <c r="AC116" s="45">
        <f t="shared" si="82"/>
        <v>1280000</v>
      </c>
      <c r="AD116" s="45" t="e">
        <f t="shared" si="82"/>
        <v>#REF!</v>
      </c>
      <c r="AE116" s="45" t="e">
        <f t="shared" si="82"/>
        <v>#REF!</v>
      </c>
      <c r="AF116" s="45" t="e">
        <f t="shared" si="82"/>
        <v>#REF!</v>
      </c>
      <c r="AG116" s="45" t="e">
        <f t="shared" si="82"/>
        <v>#REF!</v>
      </c>
      <c r="AH116" s="45" t="e">
        <f t="shared" si="82"/>
        <v>#REF!</v>
      </c>
      <c r="AI116" s="45" t="e">
        <f t="shared" si="82"/>
        <v>#REF!</v>
      </c>
      <c r="AJ116" s="45"/>
      <c r="AK116" s="45" t="e">
        <f>AK120+AK124+AK138+AK141</f>
        <v>#REF!</v>
      </c>
      <c r="AL116" s="45"/>
      <c r="AM116" s="98" t="e">
        <f>AM120+AM124+AM138+AM141</f>
        <v>#REF!</v>
      </c>
      <c r="AN116" s="60" t="e">
        <f t="shared" si="75"/>
        <v>#REF!</v>
      </c>
      <c r="AO116" s="28" t="s">
        <v>695</v>
      </c>
    </row>
    <row r="117" spans="1:40" ht="23.25" customHeight="1">
      <c r="A117" s="114"/>
      <c r="B117" s="123"/>
      <c r="C117" s="127" t="s">
        <v>107</v>
      </c>
      <c r="D117" s="128"/>
      <c r="E117" s="129"/>
      <c r="F117" s="130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2"/>
    </row>
    <row r="118" spans="1:40" ht="25.5" customHeight="1">
      <c r="A118" s="114"/>
      <c r="B118" s="114"/>
      <c r="C118" s="117" t="s">
        <v>772</v>
      </c>
      <c r="D118" s="118"/>
      <c r="E118" s="119"/>
      <c r="F118" s="119"/>
      <c r="G118" s="119"/>
      <c r="H118" s="131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60"/>
    </row>
    <row r="119" spans="1:41" ht="21.75" customHeight="1">
      <c r="A119" s="55">
        <v>1</v>
      </c>
      <c r="B119" s="63" t="s">
        <v>385</v>
      </c>
      <c r="C119" s="132" t="s">
        <v>109</v>
      </c>
      <c r="D119" s="57">
        <f>E119*$D$7</f>
        <v>181712378.484</v>
      </c>
      <c r="E119" s="57">
        <v>64897278.03</v>
      </c>
      <c r="F119" s="57">
        <v>149967327.8</v>
      </c>
      <c r="G119" s="61">
        <f>F119-D119</f>
        <v>-31745050.683999985</v>
      </c>
      <c r="H119" s="57">
        <f>F119/$D$7</f>
        <v>53559759.92857143</v>
      </c>
      <c r="I119" s="57">
        <f>H119-E119</f>
        <v>-11337518.101428568</v>
      </c>
      <c r="J119" s="58">
        <v>1</v>
      </c>
      <c r="K119" s="58">
        <v>0</v>
      </c>
      <c r="L119" s="59">
        <v>0</v>
      </c>
      <c r="M119" s="59">
        <f>N119</f>
        <v>0</v>
      </c>
      <c r="N119" s="59">
        <f>O119+P119+Q119+R119+S119</f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 t="e">
        <f>#REF!*2.8</f>
        <v>#REF!</v>
      </c>
      <c r="U119" s="59">
        <f>SUM(V119:AG119)</f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59">
        <v>0</v>
      </c>
      <c r="AB119" s="59">
        <v>0</v>
      </c>
      <c r="AC119" s="59">
        <v>0</v>
      </c>
      <c r="AD119" s="59"/>
      <c r="AE119" s="59"/>
      <c r="AF119" s="59"/>
      <c r="AG119" s="59"/>
      <c r="AH119" s="59" t="e">
        <f>T119-U119</f>
        <v>#REF!</v>
      </c>
      <c r="AI119" s="59">
        <v>68735025.23</v>
      </c>
      <c r="AJ119" s="59"/>
      <c r="AK119" s="59">
        <v>81232302.57</v>
      </c>
      <c r="AL119" s="59"/>
      <c r="AM119" s="59">
        <f>N119+U119+AJ119+AL119</f>
        <v>0</v>
      </c>
      <c r="AN119" s="60" t="e">
        <f>M119+T119+AI119+AK119-F119</f>
        <v>#REF!</v>
      </c>
      <c r="AO119" s="28" t="s">
        <v>712</v>
      </c>
    </row>
    <row r="120" spans="1:41" ht="21" customHeight="1">
      <c r="A120" s="114"/>
      <c r="B120" s="114"/>
      <c r="C120" s="110" t="s">
        <v>773</v>
      </c>
      <c r="D120" s="115">
        <f>D119</f>
        <v>181712378.484</v>
      </c>
      <c r="E120" s="115">
        <f>SUM(E119)</f>
        <v>64897278.03</v>
      </c>
      <c r="F120" s="115">
        <f>SUM(F119:F119)</f>
        <v>149967327.8</v>
      </c>
      <c r="G120" s="115">
        <f>SUM(G119:G119)</f>
        <v>-31745050.683999985</v>
      </c>
      <c r="H120" s="115">
        <f>SUM(H119:H119)</f>
        <v>53559759.92857143</v>
      </c>
      <c r="I120" s="115">
        <f>SUM(I119:I119)</f>
        <v>-11337518.101428568</v>
      </c>
      <c r="J120" s="116">
        <v>1</v>
      </c>
      <c r="K120" s="116">
        <v>0</v>
      </c>
      <c r="L120" s="115">
        <f>SUM(L119:L119)</f>
        <v>0</v>
      </c>
      <c r="M120" s="115">
        <f aca="true" t="shared" si="83" ref="M120:S120">M119</f>
        <v>0</v>
      </c>
      <c r="N120" s="115">
        <f t="shared" si="83"/>
        <v>0</v>
      </c>
      <c r="O120" s="115">
        <f t="shared" si="83"/>
        <v>0</v>
      </c>
      <c r="P120" s="115">
        <f t="shared" si="83"/>
        <v>0</v>
      </c>
      <c r="Q120" s="115">
        <f t="shared" si="83"/>
        <v>0</v>
      </c>
      <c r="R120" s="115">
        <f t="shared" si="83"/>
        <v>0</v>
      </c>
      <c r="S120" s="115">
        <f t="shared" si="83"/>
        <v>0</v>
      </c>
      <c r="T120" s="115" t="e">
        <f aca="true" t="shared" si="84" ref="T120:AG120">SUM(T119:T119)</f>
        <v>#REF!</v>
      </c>
      <c r="U120" s="115">
        <f t="shared" si="84"/>
        <v>0</v>
      </c>
      <c r="V120" s="115">
        <f t="shared" si="84"/>
        <v>0</v>
      </c>
      <c r="W120" s="115">
        <f t="shared" si="84"/>
        <v>0</v>
      </c>
      <c r="X120" s="115">
        <f t="shared" si="84"/>
        <v>0</v>
      </c>
      <c r="Y120" s="115">
        <f t="shared" si="84"/>
        <v>0</v>
      </c>
      <c r="Z120" s="115">
        <f t="shared" si="84"/>
        <v>0</v>
      </c>
      <c r="AA120" s="115">
        <f t="shared" si="84"/>
        <v>0</v>
      </c>
      <c r="AB120" s="115">
        <f t="shared" si="84"/>
        <v>0</v>
      </c>
      <c r="AC120" s="115">
        <f t="shared" si="84"/>
        <v>0</v>
      </c>
      <c r="AD120" s="115">
        <f t="shared" si="84"/>
        <v>0</v>
      </c>
      <c r="AE120" s="115">
        <f t="shared" si="84"/>
        <v>0</v>
      </c>
      <c r="AF120" s="115">
        <f t="shared" si="84"/>
        <v>0</v>
      </c>
      <c r="AG120" s="115">
        <f t="shared" si="84"/>
        <v>0</v>
      </c>
      <c r="AH120" s="115" t="e">
        <f>AH119</f>
        <v>#REF!</v>
      </c>
      <c r="AI120" s="115">
        <f>SUM(AI119:AI119)</f>
        <v>68735025.23</v>
      </c>
      <c r="AJ120" s="115"/>
      <c r="AK120" s="115">
        <f>SUM(AK119:AK119)</f>
        <v>81232302.57</v>
      </c>
      <c r="AL120" s="115"/>
      <c r="AM120" s="115">
        <f>SUM(AM119:AM119)</f>
        <v>0</v>
      </c>
      <c r="AN120" s="60" t="e">
        <f>M120+T120+AI120+AK120-F120</f>
        <v>#REF!</v>
      </c>
      <c r="AO120" s="28" t="s">
        <v>695</v>
      </c>
    </row>
    <row r="121" spans="1:40" ht="25.5" customHeight="1">
      <c r="A121" s="114"/>
      <c r="B121" s="114"/>
      <c r="C121" s="117" t="s">
        <v>774</v>
      </c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60"/>
    </row>
    <row r="122" spans="1:41" ht="21.75" customHeight="1">
      <c r="A122" s="63">
        <v>1</v>
      </c>
      <c r="B122" s="63" t="s">
        <v>353</v>
      </c>
      <c r="C122" s="64" t="s">
        <v>775</v>
      </c>
      <c r="D122" s="65">
        <f>E122*$D$7</f>
        <v>17584000.027999997</v>
      </c>
      <c r="E122" s="65">
        <v>6280000.01</v>
      </c>
      <c r="F122" s="65" t="e">
        <f>#REF!*2.8+0.03</f>
        <v>#REF!</v>
      </c>
      <c r="G122" s="65" t="e">
        <f>F122-D122</f>
        <v>#REF!</v>
      </c>
      <c r="H122" s="57" t="e">
        <f>F122/$D$7</f>
        <v>#REF!</v>
      </c>
      <c r="I122" s="65" t="e">
        <f>H122-E122</f>
        <v>#REF!</v>
      </c>
      <c r="J122" s="66">
        <v>1</v>
      </c>
      <c r="K122" s="66">
        <v>0</v>
      </c>
      <c r="L122" s="67">
        <v>0</v>
      </c>
      <c r="M122" s="67">
        <f>N122</f>
        <v>0</v>
      </c>
      <c r="N122" s="59">
        <f>O122+P122+Q122+R122+S122</f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 t="e">
        <f>#REF!*2.8</f>
        <v>#REF!</v>
      </c>
      <c r="U122" s="59">
        <f>SUM(V122:AG122)</f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59">
        <v>0</v>
      </c>
      <c r="AB122" s="59">
        <v>0</v>
      </c>
      <c r="AC122" s="59">
        <v>0</v>
      </c>
      <c r="AD122" s="67"/>
      <c r="AE122" s="67"/>
      <c r="AF122" s="67"/>
      <c r="AG122" s="67"/>
      <c r="AH122" s="59" t="e">
        <f>T122-U122</f>
        <v>#REF!</v>
      </c>
      <c r="AI122" s="59" t="e">
        <f>#REF!*2.8</f>
        <v>#REF!</v>
      </c>
      <c r="AJ122" s="67"/>
      <c r="AK122" s="59" t="e">
        <f>#REF!*2.8</f>
        <v>#REF!</v>
      </c>
      <c r="AL122" s="67"/>
      <c r="AM122" s="59">
        <f>N122+U122+AJ122+AL122</f>
        <v>0</v>
      </c>
      <c r="AN122" s="60" t="e">
        <f>M122+T122+AI122+AK122-F122</f>
        <v>#REF!</v>
      </c>
      <c r="AO122" s="28" t="s">
        <v>712</v>
      </c>
    </row>
    <row r="123" spans="1:41" ht="21.75" customHeight="1">
      <c r="A123" s="63">
        <v>1</v>
      </c>
      <c r="B123" s="63" t="s">
        <v>359</v>
      </c>
      <c r="C123" s="64" t="s">
        <v>776</v>
      </c>
      <c r="D123" s="65">
        <f>E123*$D$7</f>
        <v>39999999.228</v>
      </c>
      <c r="E123" s="65">
        <v>14285714.01</v>
      </c>
      <c r="F123" s="65" t="e">
        <f>#REF!*2.8</f>
        <v>#REF!</v>
      </c>
      <c r="G123" s="65" t="e">
        <f>F123-D123</f>
        <v>#REF!</v>
      </c>
      <c r="H123" s="65">
        <f>E123</f>
        <v>14285714.01</v>
      </c>
      <c r="I123" s="65">
        <f>H123-E123</f>
        <v>0</v>
      </c>
      <c r="J123" s="66">
        <v>1</v>
      </c>
      <c r="K123" s="66">
        <v>0</v>
      </c>
      <c r="L123" s="67">
        <v>0</v>
      </c>
      <c r="M123" s="67">
        <f>N123</f>
        <v>0</v>
      </c>
      <c r="N123" s="59">
        <f>O123+P123+Q123+R123+S123</f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 t="e">
        <f>#REF!*2.8</f>
        <v>#REF!</v>
      </c>
      <c r="U123" s="59">
        <f>SUM(V123:AG123)</f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59">
        <v>0</v>
      </c>
      <c r="AB123" s="59">
        <v>0</v>
      </c>
      <c r="AC123" s="59">
        <v>0</v>
      </c>
      <c r="AD123" s="67"/>
      <c r="AE123" s="67"/>
      <c r="AF123" s="67"/>
      <c r="AG123" s="67"/>
      <c r="AH123" s="59" t="e">
        <f>T123-U123</f>
        <v>#REF!</v>
      </c>
      <c r="AI123" s="59" t="e">
        <f>#REF!*2.8</f>
        <v>#REF!</v>
      </c>
      <c r="AJ123" s="67"/>
      <c r="AK123" s="59" t="e">
        <f>#REF!*2.8</f>
        <v>#REF!</v>
      </c>
      <c r="AL123" s="67"/>
      <c r="AM123" s="59">
        <f>N123+U123+AJ123+AL123</f>
        <v>0</v>
      </c>
      <c r="AN123" s="60" t="e">
        <f>M123+T123+AI123+AK123-F123</f>
        <v>#REF!</v>
      </c>
      <c r="AO123" s="28" t="s">
        <v>712</v>
      </c>
    </row>
    <row r="124" spans="1:42" ht="21" customHeight="1">
      <c r="A124" s="114"/>
      <c r="B124" s="114"/>
      <c r="C124" s="110" t="s">
        <v>777</v>
      </c>
      <c r="D124" s="115">
        <f aca="true" t="shared" si="85" ref="D124:I124">SUM(D122:D123)</f>
        <v>57583999.256</v>
      </c>
      <c r="E124" s="115">
        <f t="shared" si="85"/>
        <v>20565714.02</v>
      </c>
      <c r="F124" s="115" t="e">
        <f t="shared" si="85"/>
        <v>#REF!</v>
      </c>
      <c r="G124" s="115" t="e">
        <f t="shared" si="85"/>
        <v>#REF!</v>
      </c>
      <c r="H124" s="115" t="e">
        <f t="shared" si="85"/>
        <v>#REF!</v>
      </c>
      <c r="I124" s="115" t="e">
        <f t="shared" si="85"/>
        <v>#REF!</v>
      </c>
      <c r="J124" s="116">
        <v>1</v>
      </c>
      <c r="K124" s="116">
        <v>0</v>
      </c>
      <c r="L124" s="115">
        <f aca="true" t="shared" si="86" ref="L124:AI124">SUM(L122:L123)</f>
        <v>0</v>
      </c>
      <c r="M124" s="115">
        <f t="shared" si="86"/>
        <v>0</v>
      </c>
      <c r="N124" s="115">
        <f t="shared" si="86"/>
        <v>0</v>
      </c>
      <c r="O124" s="115">
        <f t="shared" si="86"/>
        <v>0</v>
      </c>
      <c r="P124" s="115">
        <f t="shared" si="86"/>
        <v>0</v>
      </c>
      <c r="Q124" s="115">
        <f t="shared" si="86"/>
        <v>0</v>
      </c>
      <c r="R124" s="115">
        <f t="shared" si="86"/>
        <v>0</v>
      </c>
      <c r="S124" s="115">
        <f t="shared" si="86"/>
        <v>0</v>
      </c>
      <c r="T124" s="115" t="e">
        <f t="shared" si="86"/>
        <v>#REF!</v>
      </c>
      <c r="U124" s="115">
        <f t="shared" si="86"/>
        <v>0</v>
      </c>
      <c r="V124" s="115">
        <f t="shared" si="86"/>
        <v>0</v>
      </c>
      <c r="W124" s="115">
        <f t="shared" si="86"/>
        <v>0</v>
      </c>
      <c r="X124" s="115">
        <f t="shared" si="86"/>
        <v>0</v>
      </c>
      <c r="Y124" s="115">
        <f t="shared" si="86"/>
        <v>0</v>
      </c>
      <c r="Z124" s="115">
        <f t="shared" si="86"/>
        <v>0</v>
      </c>
      <c r="AA124" s="115">
        <f t="shared" si="86"/>
        <v>0</v>
      </c>
      <c r="AB124" s="115">
        <f t="shared" si="86"/>
        <v>0</v>
      </c>
      <c r="AC124" s="115">
        <f t="shared" si="86"/>
        <v>0</v>
      </c>
      <c r="AD124" s="115">
        <f t="shared" si="86"/>
        <v>0</v>
      </c>
      <c r="AE124" s="115">
        <f t="shared" si="86"/>
        <v>0</v>
      </c>
      <c r="AF124" s="115">
        <f t="shared" si="86"/>
        <v>0</v>
      </c>
      <c r="AG124" s="115">
        <f t="shared" si="86"/>
        <v>0</v>
      </c>
      <c r="AH124" s="115" t="e">
        <f t="shared" si="86"/>
        <v>#REF!</v>
      </c>
      <c r="AI124" s="115" t="e">
        <f t="shared" si="86"/>
        <v>#REF!</v>
      </c>
      <c r="AJ124" s="115"/>
      <c r="AK124" s="115" t="e">
        <f>SUM(AK122:AK123)</f>
        <v>#REF!</v>
      </c>
      <c r="AL124" s="115"/>
      <c r="AM124" s="115">
        <f>SUM(AM122:AM123)</f>
        <v>0</v>
      </c>
      <c r="AN124" s="60" t="e">
        <f>M124+T124+AI124+AK124-F124</f>
        <v>#REF!</v>
      </c>
      <c r="AO124" s="28" t="s">
        <v>695</v>
      </c>
      <c r="AP124" s="29"/>
    </row>
    <row r="125" spans="1:42" ht="21" customHeight="1">
      <c r="A125" s="114"/>
      <c r="B125" s="114"/>
      <c r="C125" s="117" t="s">
        <v>778</v>
      </c>
      <c r="D125" s="133"/>
      <c r="E125" s="133"/>
      <c r="F125" s="115"/>
      <c r="G125" s="133"/>
      <c r="H125" s="133"/>
      <c r="I125" s="133"/>
      <c r="J125" s="116"/>
      <c r="K125" s="134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60"/>
      <c r="AP125" s="29"/>
    </row>
    <row r="126" spans="1:42" ht="21.75" customHeight="1">
      <c r="A126" s="63">
        <v>2</v>
      </c>
      <c r="B126" s="63" t="s">
        <v>412</v>
      </c>
      <c r="C126" s="64" t="s">
        <v>779</v>
      </c>
      <c r="D126" s="65">
        <f>E126*$D$7</f>
        <v>37336331.172</v>
      </c>
      <c r="E126" s="65">
        <f>3809523.99+9524880</f>
        <v>13334403.99</v>
      </c>
      <c r="F126" s="65" t="e">
        <f>#REF!*2.8</f>
        <v>#REF!</v>
      </c>
      <c r="G126" s="65" t="e">
        <f>F126-D126</f>
        <v>#REF!</v>
      </c>
      <c r="H126" s="65">
        <f>10531612.96-5583448.96</f>
        <v>4948164.000000001</v>
      </c>
      <c r="I126" s="65">
        <f>H126-E126</f>
        <v>-8386239.989999999</v>
      </c>
      <c r="J126" s="66">
        <v>1</v>
      </c>
      <c r="K126" s="66">
        <v>0</v>
      </c>
      <c r="L126" s="67">
        <v>0</v>
      </c>
      <c r="M126" s="67" t="e">
        <f aca="true" t="shared" si="87" ref="M126:M137">N126</f>
        <v>#REF!</v>
      </c>
      <c r="N126" s="65" t="e">
        <f>#REF!*2.8</f>
        <v>#REF!</v>
      </c>
      <c r="O126" s="59">
        <v>0</v>
      </c>
      <c r="P126" s="59">
        <v>0</v>
      </c>
      <c r="Q126" s="59">
        <v>0</v>
      </c>
      <c r="R126" s="59">
        <v>0</v>
      </c>
      <c r="S126" s="59">
        <f>39889.82+52852.12+11882.07</f>
        <v>104624.01000000001</v>
      </c>
      <c r="T126" s="65" t="e">
        <f>#REF!*2.8</f>
        <v>#REF!</v>
      </c>
      <c r="U126" s="59">
        <f aca="true" t="shared" si="88" ref="U126:U137">SUM(V126:AG126)</f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59">
        <v>0</v>
      </c>
      <c r="AB126" s="59">
        <v>0</v>
      </c>
      <c r="AC126" s="59">
        <v>0</v>
      </c>
      <c r="AD126" s="67"/>
      <c r="AE126" s="67"/>
      <c r="AF126" s="67"/>
      <c r="AG126" s="67"/>
      <c r="AH126" s="59" t="e">
        <f>T126-U126</f>
        <v>#REF!</v>
      </c>
      <c r="AI126" s="65">
        <v>4618286.4</v>
      </c>
      <c r="AJ126" s="67"/>
      <c r="AK126" s="65" t="e">
        <f>#REF!*2.8</f>
        <v>#REF!</v>
      </c>
      <c r="AL126" s="67"/>
      <c r="AM126" s="59" t="e">
        <f aca="true" t="shared" si="89" ref="AM126:AM137">N126+U126+AJ126+AL126</f>
        <v>#REF!</v>
      </c>
      <c r="AN126" s="60" t="e">
        <f aca="true" t="shared" si="90" ref="AN126:AN138">M126+T126+AI126+AK126-F126</f>
        <v>#REF!</v>
      </c>
      <c r="AO126" s="28" t="s">
        <v>695</v>
      </c>
      <c r="AP126" s="29"/>
    </row>
    <row r="127" spans="1:42" ht="21.75" customHeight="1">
      <c r="A127" s="63"/>
      <c r="B127" s="63" t="s">
        <v>421</v>
      </c>
      <c r="C127" s="64" t="s">
        <v>780</v>
      </c>
      <c r="D127" s="65"/>
      <c r="E127" s="65"/>
      <c r="F127" s="65" t="e">
        <f>#REF!*2.8</f>
        <v>#REF!</v>
      </c>
      <c r="G127" s="65"/>
      <c r="H127" s="65">
        <v>24897278</v>
      </c>
      <c r="I127" s="65"/>
      <c r="J127" s="66"/>
      <c r="K127" s="66"/>
      <c r="L127" s="67">
        <v>0</v>
      </c>
      <c r="M127" s="67" t="e">
        <f t="shared" si="87"/>
        <v>#REF!</v>
      </c>
      <c r="N127" s="65" t="e">
        <f>#REF!*2.8</f>
        <v>#REF!</v>
      </c>
      <c r="O127" s="59"/>
      <c r="P127" s="59"/>
      <c r="Q127" s="59"/>
      <c r="R127" s="59"/>
      <c r="S127" s="59"/>
      <c r="T127" s="65" t="e">
        <f>#REF!*2.8</f>
        <v>#REF!</v>
      </c>
      <c r="U127" s="59">
        <f t="shared" si="88"/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59">
        <v>0</v>
      </c>
      <c r="AC127" s="59">
        <v>0</v>
      </c>
      <c r="AD127" s="67"/>
      <c r="AE127" s="67"/>
      <c r="AF127" s="67"/>
      <c r="AG127" s="67"/>
      <c r="AH127" s="59"/>
      <c r="AI127" s="65">
        <v>31951506.78</v>
      </c>
      <c r="AJ127" s="59"/>
      <c r="AK127" s="65" t="e">
        <f>#REF!*2.8</f>
        <v>#REF!</v>
      </c>
      <c r="AL127" s="67"/>
      <c r="AM127" s="59" t="e">
        <f t="shared" si="89"/>
        <v>#REF!</v>
      </c>
      <c r="AN127" s="60" t="e">
        <f t="shared" si="90"/>
        <v>#REF!</v>
      </c>
      <c r="AO127" s="28" t="s">
        <v>695</v>
      </c>
      <c r="AP127" s="29"/>
    </row>
    <row r="128" spans="1:42" ht="21.75" customHeight="1">
      <c r="A128" s="63"/>
      <c r="B128" s="63" t="s">
        <v>475</v>
      </c>
      <c r="C128" s="64" t="s">
        <v>781</v>
      </c>
      <c r="D128" s="65"/>
      <c r="E128" s="65"/>
      <c r="F128" s="65" t="e">
        <f>#REF!*2.8</f>
        <v>#REF!</v>
      </c>
      <c r="G128" s="65"/>
      <c r="H128" s="65">
        <v>1785675.96</v>
      </c>
      <c r="I128" s="65"/>
      <c r="J128" s="66"/>
      <c r="K128" s="66"/>
      <c r="L128" s="67">
        <v>0</v>
      </c>
      <c r="M128" s="67" t="e">
        <f t="shared" si="87"/>
        <v>#REF!</v>
      </c>
      <c r="N128" s="65" t="e">
        <f>#REF!*2.8</f>
        <v>#REF!</v>
      </c>
      <c r="O128" s="59"/>
      <c r="P128" s="59"/>
      <c r="Q128" s="59"/>
      <c r="R128" s="59"/>
      <c r="S128" s="59"/>
      <c r="T128" s="65" t="e">
        <f>#REF!*2.8</f>
        <v>#REF!</v>
      </c>
      <c r="U128" s="59">
        <f t="shared" si="88"/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59">
        <v>0</v>
      </c>
      <c r="AC128" s="59">
        <v>0</v>
      </c>
      <c r="AD128" s="67"/>
      <c r="AE128" s="67"/>
      <c r="AF128" s="67"/>
      <c r="AG128" s="67"/>
      <c r="AH128" s="59"/>
      <c r="AI128" s="65" t="e">
        <f>#REF!*2.8</f>
        <v>#REF!</v>
      </c>
      <c r="AJ128" s="59"/>
      <c r="AK128" s="65" t="e">
        <f>#REF!*2.8</f>
        <v>#REF!</v>
      </c>
      <c r="AL128" s="67"/>
      <c r="AM128" s="59" t="e">
        <f t="shared" si="89"/>
        <v>#REF!</v>
      </c>
      <c r="AN128" s="60" t="e">
        <f t="shared" si="90"/>
        <v>#REF!</v>
      </c>
      <c r="AO128" s="28" t="s">
        <v>695</v>
      </c>
      <c r="AP128" s="29"/>
    </row>
    <row r="129" spans="1:42" ht="21.75" customHeight="1">
      <c r="A129" s="63"/>
      <c r="B129" s="63" t="s">
        <v>494</v>
      </c>
      <c r="C129" s="64" t="s">
        <v>782</v>
      </c>
      <c r="D129" s="65"/>
      <c r="E129" s="65"/>
      <c r="F129" s="65" t="e">
        <f>#REF!*2.8</f>
        <v>#REF!</v>
      </c>
      <c r="G129" s="65"/>
      <c r="H129" s="65">
        <f>1018315+228571</f>
        <v>1246886</v>
      </c>
      <c r="I129" s="65"/>
      <c r="J129" s="66"/>
      <c r="K129" s="66"/>
      <c r="L129" s="67">
        <v>0</v>
      </c>
      <c r="M129" s="67" t="e">
        <f t="shared" si="87"/>
        <v>#REF!</v>
      </c>
      <c r="N129" s="65" t="e">
        <f>#REF!*2.8</f>
        <v>#REF!</v>
      </c>
      <c r="O129" s="59"/>
      <c r="P129" s="59"/>
      <c r="Q129" s="59"/>
      <c r="R129" s="59"/>
      <c r="S129" s="59"/>
      <c r="T129" s="65" t="e">
        <f>#REF!*2.8</f>
        <v>#REF!</v>
      </c>
      <c r="U129" s="59">
        <f t="shared" si="88"/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59">
        <v>0</v>
      </c>
      <c r="AC129" s="59">
        <v>0</v>
      </c>
      <c r="AD129" s="67"/>
      <c r="AE129" s="67"/>
      <c r="AF129" s="67"/>
      <c r="AG129" s="67"/>
      <c r="AH129" s="59"/>
      <c r="AI129" s="65" t="e">
        <f>#REF!*2.8</f>
        <v>#REF!</v>
      </c>
      <c r="AJ129" s="59"/>
      <c r="AK129" s="65" t="e">
        <f>#REF!*2.8</f>
        <v>#REF!</v>
      </c>
      <c r="AL129" s="67"/>
      <c r="AM129" s="59" t="e">
        <f t="shared" si="89"/>
        <v>#REF!</v>
      </c>
      <c r="AN129" s="60" t="e">
        <f t="shared" si="90"/>
        <v>#REF!</v>
      </c>
      <c r="AO129" s="28" t="s">
        <v>695</v>
      </c>
      <c r="AP129" s="29"/>
    </row>
    <row r="130" spans="1:42" ht="21.75" customHeight="1">
      <c r="A130" s="63"/>
      <c r="B130" s="63" t="s">
        <v>456</v>
      </c>
      <c r="C130" s="64" t="s">
        <v>783</v>
      </c>
      <c r="D130" s="65"/>
      <c r="E130" s="65"/>
      <c r="F130" s="65">
        <v>1280000</v>
      </c>
      <c r="G130" s="65"/>
      <c r="H130" s="65">
        <v>807143</v>
      </c>
      <c r="I130" s="65"/>
      <c r="J130" s="66"/>
      <c r="K130" s="66"/>
      <c r="L130" s="67">
        <v>0</v>
      </c>
      <c r="M130" s="67" t="e">
        <f t="shared" si="87"/>
        <v>#REF!</v>
      </c>
      <c r="N130" s="65" t="e">
        <f>#REF!*2.8</f>
        <v>#REF!</v>
      </c>
      <c r="O130" s="59"/>
      <c r="P130" s="59"/>
      <c r="Q130" s="59"/>
      <c r="R130" s="59"/>
      <c r="S130" s="59"/>
      <c r="T130" s="65">
        <v>1280000</v>
      </c>
      <c r="U130" s="59">
        <f t="shared" si="88"/>
        <v>1280000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59">
        <v>0</v>
      </c>
      <c r="AC130" s="67">
        <v>1280000</v>
      </c>
      <c r="AD130" s="67"/>
      <c r="AE130" s="67"/>
      <c r="AF130" s="67"/>
      <c r="AG130" s="67"/>
      <c r="AH130" s="59"/>
      <c r="AI130" s="65" t="e">
        <f>#REF!*2.8</f>
        <v>#REF!</v>
      </c>
      <c r="AJ130" s="59"/>
      <c r="AK130" s="65" t="e">
        <f>#REF!*2.8</f>
        <v>#REF!</v>
      </c>
      <c r="AL130" s="67"/>
      <c r="AM130" s="59" t="e">
        <f t="shared" si="89"/>
        <v>#REF!</v>
      </c>
      <c r="AN130" s="60" t="e">
        <f t="shared" si="90"/>
        <v>#REF!</v>
      </c>
      <c r="AO130" s="28" t="s">
        <v>695</v>
      </c>
      <c r="AP130" s="29"/>
    </row>
    <row r="131" spans="1:42" ht="21.75" customHeight="1">
      <c r="A131" s="63"/>
      <c r="B131" s="63" t="s">
        <v>484</v>
      </c>
      <c r="C131" s="64" t="s">
        <v>784</v>
      </c>
      <c r="D131" s="65"/>
      <c r="E131" s="65"/>
      <c r="F131" s="65">
        <v>2300000</v>
      </c>
      <c r="G131" s="65"/>
      <c r="H131" s="65">
        <v>965544</v>
      </c>
      <c r="I131" s="65"/>
      <c r="J131" s="66"/>
      <c r="K131" s="66"/>
      <c r="L131" s="67">
        <v>0</v>
      </c>
      <c r="M131" s="67" t="e">
        <f t="shared" si="87"/>
        <v>#REF!</v>
      </c>
      <c r="N131" s="65" t="e">
        <f>#REF!*2.8</f>
        <v>#REF!</v>
      </c>
      <c r="O131" s="59"/>
      <c r="P131" s="59"/>
      <c r="Q131" s="59"/>
      <c r="R131" s="59"/>
      <c r="S131" s="59"/>
      <c r="T131" s="65">
        <v>2300000</v>
      </c>
      <c r="U131" s="59">
        <f t="shared" si="88"/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59">
        <v>0</v>
      </c>
      <c r="AC131" s="59">
        <v>0</v>
      </c>
      <c r="AD131" s="67"/>
      <c r="AE131" s="67"/>
      <c r="AF131" s="67"/>
      <c r="AG131" s="67"/>
      <c r="AH131" s="59"/>
      <c r="AI131" s="65" t="e">
        <f>#REF!*2.8</f>
        <v>#REF!</v>
      </c>
      <c r="AJ131" s="59"/>
      <c r="AK131" s="65" t="e">
        <f>#REF!*2.8</f>
        <v>#REF!</v>
      </c>
      <c r="AL131" s="67"/>
      <c r="AM131" s="59" t="e">
        <f t="shared" si="89"/>
        <v>#REF!</v>
      </c>
      <c r="AN131" s="60" t="e">
        <f t="shared" si="90"/>
        <v>#REF!</v>
      </c>
      <c r="AO131" s="28" t="s">
        <v>695</v>
      </c>
      <c r="AP131" s="29"/>
    </row>
    <row r="132" spans="1:42" ht="21.75" customHeight="1">
      <c r="A132" s="63"/>
      <c r="B132" s="63" t="s">
        <v>508</v>
      </c>
      <c r="C132" s="64" t="s">
        <v>785</v>
      </c>
      <c r="D132" s="65"/>
      <c r="E132" s="65"/>
      <c r="F132" s="65">
        <v>446500</v>
      </c>
      <c r="G132" s="65"/>
      <c r="H132" s="65">
        <v>134407</v>
      </c>
      <c r="I132" s="65"/>
      <c r="J132" s="66"/>
      <c r="K132" s="66"/>
      <c r="L132" s="67">
        <v>0</v>
      </c>
      <c r="M132" s="67">
        <f t="shared" si="87"/>
        <v>133950</v>
      </c>
      <c r="N132" s="65">
        <v>133950</v>
      </c>
      <c r="O132" s="59"/>
      <c r="P132" s="59"/>
      <c r="Q132" s="59"/>
      <c r="R132" s="59"/>
      <c r="S132" s="59"/>
      <c r="T132" s="65">
        <v>312550</v>
      </c>
      <c r="U132" s="59">
        <f t="shared" si="88"/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59">
        <v>0</v>
      </c>
      <c r="AC132" s="59">
        <v>0</v>
      </c>
      <c r="AD132" s="67"/>
      <c r="AE132" s="67"/>
      <c r="AF132" s="67"/>
      <c r="AG132" s="67"/>
      <c r="AH132" s="59"/>
      <c r="AI132" s="65" t="e">
        <f>#REF!*2.8</f>
        <v>#REF!</v>
      </c>
      <c r="AJ132" s="59"/>
      <c r="AK132" s="65" t="e">
        <f>#REF!*2.8</f>
        <v>#REF!</v>
      </c>
      <c r="AL132" s="67"/>
      <c r="AM132" s="59">
        <f t="shared" si="89"/>
        <v>133950</v>
      </c>
      <c r="AN132" s="60" t="e">
        <f t="shared" si="90"/>
        <v>#REF!</v>
      </c>
      <c r="AO132" s="28" t="s">
        <v>695</v>
      </c>
      <c r="AP132" s="29"/>
    </row>
    <row r="133" spans="1:42" ht="21.75" customHeight="1">
      <c r="A133" s="63"/>
      <c r="B133" s="63" t="s">
        <v>786</v>
      </c>
      <c r="C133" s="64" t="s">
        <v>787</v>
      </c>
      <c r="D133" s="65"/>
      <c r="E133" s="65"/>
      <c r="F133" s="65">
        <v>527600</v>
      </c>
      <c r="G133" s="65"/>
      <c r="H133" s="65">
        <v>158820</v>
      </c>
      <c r="I133" s="65"/>
      <c r="J133" s="66"/>
      <c r="K133" s="66"/>
      <c r="L133" s="67">
        <v>0</v>
      </c>
      <c r="M133" s="67" t="e">
        <f t="shared" si="87"/>
        <v>#REF!</v>
      </c>
      <c r="N133" s="65" t="e">
        <f>#REF!*2.8</f>
        <v>#REF!</v>
      </c>
      <c r="O133" s="59"/>
      <c r="P133" s="59"/>
      <c r="Q133" s="59"/>
      <c r="R133" s="59"/>
      <c r="S133" s="59"/>
      <c r="T133" s="65">
        <v>527600</v>
      </c>
      <c r="U133" s="59">
        <f t="shared" si="88"/>
        <v>527600</v>
      </c>
      <c r="V133" s="67">
        <v>0</v>
      </c>
      <c r="W133" s="67">
        <v>0</v>
      </c>
      <c r="X133" s="67">
        <v>527600</v>
      </c>
      <c r="Y133" s="67">
        <v>0</v>
      </c>
      <c r="Z133" s="67">
        <v>0</v>
      </c>
      <c r="AA133" s="67">
        <v>0</v>
      </c>
      <c r="AB133" s="59">
        <v>0</v>
      </c>
      <c r="AC133" s="59">
        <v>0</v>
      </c>
      <c r="AD133" s="67"/>
      <c r="AE133" s="67"/>
      <c r="AF133" s="67"/>
      <c r="AG133" s="67"/>
      <c r="AH133" s="59"/>
      <c r="AI133" s="65" t="e">
        <f>#REF!*2.8</f>
        <v>#REF!</v>
      </c>
      <c r="AJ133" s="59"/>
      <c r="AK133" s="65" t="e">
        <f>#REF!*2.8</f>
        <v>#REF!</v>
      </c>
      <c r="AL133" s="67"/>
      <c r="AM133" s="59" t="e">
        <f t="shared" si="89"/>
        <v>#REF!</v>
      </c>
      <c r="AN133" s="60" t="e">
        <f t="shared" si="90"/>
        <v>#REF!</v>
      </c>
      <c r="AO133" s="28" t="s">
        <v>695</v>
      </c>
      <c r="AP133" s="29"/>
    </row>
    <row r="134" spans="1:42" ht="21.75" customHeight="1">
      <c r="A134" s="63"/>
      <c r="B134" s="63" t="s">
        <v>788</v>
      </c>
      <c r="C134" s="64" t="s">
        <v>789</v>
      </c>
      <c r="D134" s="65"/>
      <c r="E134" s="65"/>
      <c r="F134" s="65">
        <v>298712.5</v>
      </c>
      <c r="G134" s="65"/>
      <c r="H134" s="65">
        <v>89819.5</v>
      </c>
      <c r="I134" s="65"/>
      <c r="J134" s="66"/>
      <c r="K134" s="66"/>
      <c r="L134" s="67">
        <v>0</v>
      </c>
      <c r="M134" s="67" t="e">
        <f t="shared" si="87"/>
        <v>#REF!</v>
      </c>
      <c r="N134" s="65" t="e">
        <f>#REF!*2.8</f>
        <v>#REF!</v>
      </c>
      <c r="O134" s="59"/>
      <c r="P134" s="59"/>
      <c r="Q134" s="59"/>
      <c r="R134" s="59"/>
      <c r="S134" s="59"/>
      <c r="T134" s="65">
        <v>298712.5</v>
      </c>
      <c r="U134" s="59">
        <f t="shared" si="88"/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59">
        <v>0</v>
      </c>
      <c r="AC134" s="59">
        <v>0</v>
      </c>
      <c r="AD134" s="67"/>
      <c r="AE134" s="67"/>
      <c r="AF134" s="67"/>
      <c r="AG134" s="67"/>
      <c r="AH134" s="59"/>
      <c r="AI134" s="65" t="e">
        <f>#REF!*2.8</f>
        <v>#REF!</v>
      </c>
      <c r="AJ134" s="59"/>
      <c r="AK134" s="65" t="e">
        <f>#REF!*2.8</f>
        <v>#REF!</v>
      </c>
      <c r="AL134" s="67"/>
      <c r="AM134" s="59" t="e">
        <f t="shared" si="89"/>
        <v>#REF!</v>
      </c>
      <c r="AN134" s="60" t="e">
        <f t="shared" si="90"/>
        <v>#REF!</v>
      </c>
      <c r="AO134" s="28" t="s">
        <v>695</v>
      </c>
      <c r="AP134" s="29"/>
    </row>
    <row r="135" spans="1:42" ht="21.75" customHeight="1">
      <c r="A135" s="63"/>
      <c r="B135" s="63" t="s">
        <v>790</v>
      </c>
      <c r="C135" s="64" t="s">
        <v>791</v>
      </c>
      <c r="D135" s="65"/>
      <c r="E135" s="65"/>
      <c r="F135" s="65">
        <v>172800</v>
      </c>
      <c r="G135" s="65"/>
      <c r="H135" s="65">
        <v>52016.86</v>
      </c>
      <c r="I135" s="65"/>
      <c r="J135" s="66"/>
      <c r="K135" s="66"/>
      <c r="L135" s="67">
        <v>0</v>
      </c>
      <c r="M135" s="67">
        <f t="shared" si="87"/>
        <v>172800</v>
      </c>
      <c r="N135" s="65">
        <v>172800</v>
      </c>
      <c r="O135" s="59"/>
      <c r="P135" s="59"/>
      <c r="Q135" s="59"/>
      <c r="R135" s="59"/>
      <c r="S135" s="59"/>
      <c r="T135" s="65" t="e">
        <f>#REF!*2.8</f>
        <v>#REF!</v>
      </c>
      <c r="U135" s="59">
        <f t="shared" si="88"/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59">
        <v>0</v>
      </c>
      <c r="AC135" s="59">
        <v>0</v>
      </c>
      <c r="AD135" s="67"/>
      <c r="AE135" s="67"/>
      <c r="AF135" s="67"/>
      <c r="AG135" s="67"/>
      <c r="AH135" s="59"/>
      <c r="AI135" s="65" t="e">
        <f>#REF!*2.8</f>
        <v>#REF!</v>
      </c>
      <c r="AJ135" s="59"/>
      <c r="AK135" s="65" t="e">
        <f>#REF!*2.8</f>
        <v>#REF!</v>
      </c>
      <c r="AL135" s="67"/>
      <c r="AM135" s="59">
        <f t="shared" si="89"/>
        <v>172800</v>
      </c>
      <c r="AN135" s="60" t="e">
        <f t="shared" si="90"/>
        <v>#REF!</v>
      </c>
      <c r="AO135" s="28" t="s">
        <v>695</v>
      </c>
      <c r="AP135" s="29"/>
    </row>
    <row r="136" spans="1:42" ht="21.75" customHeight="1">
      <c r="A136" s="63"/>
      <c r="B136" s="63" t="s">
        <v>792</v>
      </c>
      <c r="C136" s="64" t="s">
        <v>793</v>
      </c>
      <c r="D136" s="65"/>
      <c r="E136" s="65"/>
      <c r="F136" s="65">
        <v>39900</v>
      </c>
      <c r="G136" s="65"/>
      <c r="H136" s="65">
        <v>12010.84</v>
      </c>
      <c r="I136" s="65"/>
      <c r="J136" s="66"/>
      <c r="K136" s="66"/>
      <c r="L136" s="67">
        <v>0</v>
      </c>
      <c r="M136" s="67">
        <f t="shared" si="87"/>
        <v>39900</v>
      </c>
      <c r="N136" s="65">
        <v>39900</v>
      </c>
      <c r="O136" s="59"/>
      <c r="P136" s="59"/>
      <c r="Q136" s="59"/>
      <c r="R136" s="59"/>
      <c r="S136" s="59"/>
      <c r="T136" s="65">
        <v>0</v>
      </c>
      <c r="U136" s="59">
        <f t="shared" si="88"/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59">
        <v>0</v>
      </c>
      <c r="AC136" s="59">
        <v>0</v>
      </c>
      <c r="AD136" s="67"/>
      <c r="AE136" s="67"/>
      <c r="AF136" s="67"/>
      <c r="AG136" s="67"/>
      <c r="AH136" s="59"/>
      <c r="AI136" s="65" t="e">
        <f>#REF!*2.8</f>
        <v>#REF!</v>
      </c>
      <c r="AJ136" s="59"/>
      <c r="AK136" s="65" t="e">
        <f>#REF!*2.8</f>
        <v>#REF!</v>
      </c>
      <c r="AL136" s="67"/>
      <c r="AM136" s="59">
        <f t="shared" si="89"/>
        <v>39900</v>
      </c>
      <c r="AN136" s="60" t="e">
        <f t="shared" si="90"/>
        <v>#REF!</v>
      </c>
      <c r="AO136" s="28" t="s">
        <v>695</v>
      </c>
      <c r="AP136" s="29"/>
    </row>
    <row r="137" spans="1:42" ht="21.75" customHeight="1">
      <c r="A137" s="63"/>
      <c r="B137" s="63" t="s">
        <v>794</v>
      </c>
      <c r="C137" s="64" t="s">
        <v>795</v>
      </c>
      <c r="D137" s="65"/>
      <c r="E137" s="65"/>
      <c r="F137" s="65">
        <v>1100000</v>
      </c>
      <c r="G137" s="65"/>
      <c r="H137" s="65">
        <v>331125.83</v>
      </c>
      <c r="I137" s="65"/>
      <c r="J137" s="66"/>
      <c r="K137" s="66"/>
      <c r="L137" s="67">
        <v>0</v>
      </c>
      <c r="M137" s="67" t="e">
        <f t="shared" si="87"/>
        <v>#REF!</v>
      </c>
      <c r="N137" s="65" t="e">
        <f>#REF!*2.8</f>
        <v>#REF!</v>
      </c>
      <c r="O137" s="59"/>
      <c r="P137" s="59"/>
      <c r="Q137" s="59"/>
      <c r="R137" s="59"/>
      <c r="S137" s="59"/>
      <c r="T137" s="65">
        <v>1100000</v>
      </c>
      <c r="U137" s="59">
        <f t="shared" si="88"/>
        <v>1100000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59">
        <v>1100000</v>
      </c>
      <c r="AC137" s="59">
        <v>0</v>
      </c>
      <c r="AD137" s="67"/>
      <c r="AE137" s="67"/>
      <c r="AF137" s="67"/>
      <c r="AG137" s="67"/>
      <c r="AH137" s="59"/>
      <c r="AI137" s="65" t="e">
        <f>#REF!*2.8</f>
        <v>#REF!</v>
      </c>
      <c r="AJ137" s="59"/>
      <c r="AK137" s="65" t="e">
        <f>#REF!*2.8</f>
        <v>#REF!</v>
      </c>
      <c r="AL137" s="67"/>
      <c r="AM137" s="59" t="e">
        <f t="shared" si="89"/>
        <v>#REF!</v>
      </c>
      <c r="AN137" s="60" t="e">
        <f t="shared" si="90"/>
        <v>#REF!</v>
      </c>
      <c r="AO137" s="28" t="s">
        <v>695</v>
      </c>
      <c r="AP137" s="29"/>
    </row>
    <row r="138" spans="1:44" ht="21" customHeight="1">
      <c r="A138" s="114"/>
      <c r="B138" s="114"/>
      <c r="C138" s="110" t="s">
        <v>796</v>
      </c>
      <c r="D138" s="115" t="e">
        <f>#REF!</f>
        <v>#REF!</v>
      </c>
      <c r="E138" s="115" t="e">
        <f>SUM(#REF!)</f>
        <v>#REF!</v>
      </c>
      <c r="F138" s="115" t="e">
        <f>SUM(F126:F137)</f>
        <v>#REF!</v>
      </c>
      <c r="G138" s="115" t="e">
        <f>SUM(#REF!)</f>
        <v>#REF!</v>
      </c>
      <c r="H138" s="115" t="e">
        <f>SUM(#REF!)</f>
        <v>#REF!</v>
      </c>
      <c r="I138" s="115" t="e">
        <f>SUM(#REF!)</f>
        <v>#REF!</v>
      </c>
      <c r="J138" s="116">
        <v>1</v>
      </c>
      <c r="K138" s="116">
        <v>0</v>
      </c>
      <c r="L138" s="115">
        <f>SUM(L126:L137)</f>
        <v>0</v>
      </c>
      <c r="M138" s="115" t="e">
        <f>SUM(M126:M137)</f>
        <v>#REF!</v>
      </c>
      <c r="N138" s="115" t="e">
        <f>SUM(N126:N137)</f>
        <v>#REF!</v>
      </c>
      <c r="O138" s="115" t="e">
        <f>#REF!</f>
        <v>#REF!</v>
      </c>
      <c r="P138" s="115" t="e">
        <f>#REF!</f>
        <v>#REF!</v>
      </c>
      <c r="Q138" s="115" t="e">
        <f>#REF!</f>
        <v>#REF!</v>
      </c>
      <c r="R138" s="115" t="e">
        <f>#REF!</f>
        <v>#REF!</v>
      </c>
      <c r="S138" s="115" t="e">
        <f>#REF!</f>
        <v>#REF!</v>
      </c>
      <c r="T138" s="115" t="e">
        <f aca="true" t="shared" si="91" ref="T138:AC138">SUM(T126:T137)</f>
        <v>#REF!</v>
      </c>
      <c r="U138" s="115">
        <f t="shared" si="91"/>
        <v>2907600</v>
      </c>
      <c r="V138" s="115">
        <f t="shared" si="91"/>
        <v>0</v>
      </c>
      <c r="W138" s="115">
        <f t="shared" si="91"/>
        <v>0</v>
      </c>
      <c r="X138" s="115">
        <f t="shared" si="91"/>
        <v>527600</v>
      </c>
      <c r="Y138" s="115">
        <f t="shared" si="91"/>
        <v>0</v>
      </c>
      <c r="Z138" s="115">
        <f t="shared" si="91"/>
        <v>0</v>
      </c>
      <c r="AA138" s="115">
        <f t="shared" si="91"/>
        <v>0</v>
      </c>
      <c r="AB138" s="115">
        <f t="shared" si="91"/>
        <v>1100000</v>
      </c>
      <c r="AC138" s="115">
        <f t="shared" si="91"/>
        <v>1280000</v>
      </c>
      <c r="AD138" s="115" t="e">
        <f>SUM(#REF!)</f>
        <v>#REF!</v>
      </c>
      <c r="AE138" s="115" t="e">
        <f>SUM(#REF!)</f>
        <v>#REF!</v>
      </c>
      <c r="AF138" s="115" t="e">
        <f>SUM(#REF!)</f>
        <v>#REF!</v>
      </c>
      <c r="AG138" s="115" t="e">
        <f>SUM(#REF!)</f>
        <v>#REF!</v>
      </c>
      <c r="AH138" s="115" t="e">
        <f>SUM(AH126:AH137)</f>
        <v>#REF!</v>
      </c>
      <c r="AI138" s="115" t="e">
        <f>SUM(AI126:AI137)</f>
        <v>#REF!</v>
      </c>
      <c r="AJ138" s="115"/>
      <c r="AK138" s="115" t="e">
        <f>SUM(AK126:AK137)</f>
        <v>#REF!</v>
      </c>
      <c r="AL138" s="115"/>
      <c r="AM138" s="115" t="e">
        <f>SUM(AM126:AM137)</f>
        <v>#REF!</v>
      </c>
      <c r="AN138" s="60" t="e">
        <f t="shared" si="90"/>
        <v>#REF!</v>
      </c>
      <c r="AO138" s="28" t="s">
        <v>695</v>
      </c>
      <c r="AP138" s="92" t="s">
        <v>702</v>
      </c>
      <c r="AQ138" s="93">
        <v>10319272</v>
      </c>
      <c r="AR138" s="92" t="s">
        <v>703</v>
      </c>
    </row>
    <row r="139" spans="1:40" ht="23.25" customHeight="1">
      <c r="A139" s="114"/>
      <c r="B139" s="114"/>
      <c r="C139" s="117" t="s">
        <v>51</v>
      </c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60"/>
    </row>
    <row r="140" spans="1:42" ht="21.75" customHeight="1">
      <c r="A140" s="63">
        <v>1</v>
      </c>
      <c r="B140" s="63" t="s">
        <v>797</v>
      </c>
      <c r="C140" s="64" t="s">
        <v>52</v>
      </c>
      <c r="D140" s="65">
        <f>E140*$D$7</f>
        <v>237999999.99999997</v>
      </c>
      <c r="E140" s="65">
        <v>85000000</v>
      </c>
      <c r="F140" s="65" t="e">
        <f>#REF!*2.8</f>
        <v>#REF!</v>
      </c>
      <c r="G140" s="65" t="e">
        <f>F140-D140</f>
        <v>#REF!</v>
      </c>
      <c r="H140" s="65">
        <f>E140</f>
        <v>85000000</v>
      </c>
      <c r="I140" s="65">
        <f>H140-E140</f>
        <v>0</v>
      </c>
      <c r="J140" s="66">
        <v>0</v>
      </c>
      <c r="K140" s="66">
        <v>1</v>
      </c>
      <c r="L140" s="67">
        <v>0</v>
      </c>
      <c r="M140" s="67">
        <f>N140</f>
        <v>0</v>
      </c>
      <c r="N140" s="59">
        <f>O140+P140+Q140+R140+S140</f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 t="e">
        <f>#REF!*2.8</f>
        <v>#REF!</v>
      </c>
      <c r="U140" s="59">
        <f>SUM(V140:AG140)</f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59">
        <v>0</v>
      </c>
      <c r="AB140" s="59">
        <v>0</v>
      </c>
      <c r="AC140" s="59">
        <v>0</v>
      </c>
      <c r="AD140" s="67"/>
      <c r="AE140" s="67"/>
      <c r="AF140" s="67"/>
      <c r="AG140" s="67"/>
      <c r="AH140" s="59" t="e">
        <f>T140-U140</f>
        <v>#REF!</v>
      </c>
      <c r="AI140" s="59" t="e">
        <f>#REF!*2.8</f>
        <v>#REF!</v>
      </c>
      <c r="AJ140" s="67"/>
      <c r="AK140" s="59" t="e">
        <f>#REF!*2.8</f>
        <v>#REF!</v>
      </c>
      <c r="AL140" s="67"/>
      <c r="AM140" s="59">
        <f>N140+U140+AJ140+AL140</f>
        <v>0</v>
      </c>
      <c r="AN140" s="60" t="e">
        <f>M140+T140+AI140+AK140-F140</f>
        <v>#REF!</v>
      </c>
      <c r="AO140" s="28" t="s">
        <v>712</v>
      </c>
      <c r="AP140" s="95" t="s">
        <v>798</v>
      </c>
    </row>
    <row r="141" spans="1:44" ht="30.75" customHeight="1">
      <c r="A141" s="114"/>
      <c r="B141" s="114"/>
      <c r="C141" s="135" t="s">
        <v>53</v>
      </c>
      <c r="D141" s="115">
        <f>D140</f>
        <v>237999999.99999997</v>
      </c>
      <c r="E141" s="115">
        <f>E140</f>
        <v>85000000</v>
      </c>
      <c r="F141" s="115" t="e">
        <f>SUM(F140)</f>
        <v>#REF!</v>
      </c>
      <c r="G141" s="115" t="e">
        <f>SUM(G140)</f>
        <v>#REF!</v>
      </c>
      <c r="H141" s="115">
        <f>SUM(H140)</f>
        <v>85000000</v>
      </c>
      <c r="I141" s="115">
        <f>SUM(I140)</f>
        <v>0</v>
      </c>
      <c r="J141" s="116">
        <v>0</v>
      </c>
      <c r="K141" s="116">
        <f aca="true" t="shared" si="92" ref="K141:AG141">K140</f>
        <v>1</v>
      </c>
      <c r="L141" s="115">
        <f t="shared" si="92"/>
        <v>0</v>
      </c>
      <c r="M141" s="115">
        <f t="shared" si="92"/>
        <v>0</v>
      </c>
      <c r="N141" s="115">
        <f t="shared" si="92"/>
        <v>0</v>
      </c>
      <c r="O141" s="115">
        <f t="shared" si="92"/>
        <v>0</v>
      </c>
      <c r="P141" s="115">
        <f t="shared" si="92"/>
        <v>0</v>
      </c>
      <c r="Q141" s="115">
        <f t="shared" si="92"/>
        <v>0</v>
      </c>
      <c r="R141" s="115">
        <f t="shared" si="92"/>
        <v>0</v>
      </c>
      <c r="S141" s="115">
        <f t="shared" si="92"/>
        <v>0</v>
      </c>
      <c r="T141" s="115" t="e">
        <f t="shared" si="92"/>
        <v>#REF!</v>
      </c>
      <c r="U141" s="115">
        <f t="shared" si="92"/>
        <v>0</v>
      </c>
      <c r="V141" s="115">
        <f t="shared" si="92"/>
        <v>0</v>
      </c>
      <c r="W141" s="115">
        <f t="shared" si="92"/>
        <v>0</v>
      </c>
      <c r="X141" s="115">
        <f t="shared" si="92"/>
        <v>0</v>
      </c>
      <c r="Y141" s="115">
        <f t="shared" si="92"/>
        <v>0</v>
      </c>
      <c r="Z141" s="115">
        <f t="shared" si="92"/>
        <v>0</v>
      </c>
      <c r="AA141" s="115">
        <f t="shared" si="92"/>
        <v>0</v>
      </c>
      <c r="AB141" s="115">
        <f t="shared" si="92"/>
        <v>0</v>
      </c>
      <c r="AC141" s="115">
        <f t="shared" si="92"/>
        <v>0</v>
      </c>
      <c r="AD141" s="115">
        <f t="shared" si="92"/>
        <v>0</v>
      </c>
      <c r="AE141" s="115">
        <f t="shared" si="92"/>
        <v>0</v>
      </c>
      <c r="AF141" s="115">
        <f t="shared" si="92"/>
        <v>0</v>
      </c>
      <c r="AG141" s="115">
        <f t="shared" si="92"/>
        <v>0</v>
      </c>
      <c r="AH141" s="115" t="e">
        <f>SUM(AH140)</f>
        <v>#REF!</v>
      </c>
      <c r="AI141" s="115" t="e">
        <f>SUM(AI140)</f>
        <v>#REF!</v>
      </c>
      <c r="AJ141" s="115"/>
      <c r="AK141" s="115" t="e">
        <f>SUM(AK140)</f>
        <v>#REF!</v>
      </c>
      <c r="AL141" s="115"/>
      <c r="AM141" s="115">
        <f>SUM(AM140)</f>
        <v>0</v>
      </c>
      <c r="AN141" s="60" t="e">
        <f>M141+T141+AI141+AK141-F141</f>
        <v>#REF!</v>
      </c>
      <c r="AO141" s="28" t="s">
        <v>695</v>
      </c>
      <c r="AP141" s="2"/>
      <c r="AR141" s="99"/>
    </row>
    <row r="142" spans="1:45" ht="40.5" customHeight="1">
      <c r="A142" s="114"/>
      <c r="B142" s="114"/>
      <c r="C142" s="136" t="s">
        <v>55</v>
      </c>
      <c r="D142" s="115" t="e">
        <f>D141+D138+D124+D120+D109+D83+D69+D55+D52+D94+D113+D115</f>
        <v>#REF!</v>
      </c>
      <c r="E142" s="115" t="e">
        <f>E141+E138+E124+E120+E109+E83+E69+E55+E94+E52+E113+E115</f>
        <v>#REF!</v>
      </c>
      <c r="F142" s="115" t="e">
        <f>F141+F138+F124+F120+F109+F83+F69+F55+F94+F52+F113+F115</f>
        <v>#REF!</v>
      </c>
      <c r="G142" s="115" t="e">
        <f>G141+G138+G124+G120+G109+G83+G69+G55+G94+G52+G113+G115+0.01</f>
        <v>#REF!</v>
      </c>
      <c r="H142" s="115" t="e">
        <f>H141+H138+H124+H120+H109+H83+H69+H55+H94+H52+H113+H115</f>
        <v>#REF!</v>
      </c>
      <c r="I142" s="115" t="e">
        <f>I141+I138+I124+I120+I109+I83+I69+I55+I94+I52+I113+I115</f>
        <v>#REF!</v>
      </c>
      <c r="J142" s="137" t="e">
        <f>(E142-E140)/E142</f>
        <v>#REF!</v>
      </c>
      <c r="K142" s="138">
        <v>0.3626</v>
      </c>
      <c r="L142" s="115">
        <f aca="true" t="shared" si="93" ref="L142:AG142">L141+L138+L124+L120+L109+L83+L69+L55+L94+L52+L113+L115</f>
        <v>0</v>
      </c>
      <c r="M142" s="115" t="e">
        <f t="shared" si="93"/>
        <v>#REF!</v>
      </c>
      <c r="N142" s="115" t="e">
        <f t="shared" si="93"/>
        <v>#REF!</v>
      </c>
      <c r="O142" s="115" t="e">
        <f t="shared" si="93"/>
        <v>#REF!</v>
      </c>
      <c r="P142" s="115" t="e">
        <f t="shared" si="93"/>
        <v>#REF!</v>
      </c>
      <c r="Q142" s="115" t="e">
        <f t="shared" si="93"/>
        <v>#REF!</v>
      </c>
      <c r="R142" s="115" t="e">
        <f t="shared" si="93"/>
        <v>#REF!</v>
      </c>
      <c r="S142" s="115" t="e">
        <f t="shared" si="93"/>
        <v>#REF!</v>
      </c>
      <c r="T142" s="115" t="e">
        <f t="shared" si="93"/>
        <v>#REF!</v>
      </c>
      <c r="U142" s="115" t="e">
        <f t="shared" si="93"/>
        <v>#REF!</v>
      </c>
      <c r="V142" s="115">
        <f t="shared" si="93"/>
        <v>0</v>
      </c>
      <c r="W142" s="115">
        <f t="shared" si="93"/>
        <v>0</v>
      </c>
      <c r="X142" s="115">
        <f t="shared" si="93"/>
        <v>2005979.48</v>
      </c>
      <c r="Y142" s="115">
        <f t="shared" si="93"/>
        <v>0</v>
      </c>
      <c r="Z142" s="115">
        <f t="shared" si="93"/>
        <v>0</v>
      </c>
      <c r="AA142" s="115" t="e">
        <f t="shared" si="93"/>
        <v>#VALUE!</v>
      </c>
      <c r="AB142" s="115">
        <f t="shared" si="93"/>
        <v>3169000</v>
      </c>
      <c r="AC142" s="115">
        <f t="shared" si="93"/>
        <v>2038482.25</v>
      </c>
      <c r="AD142" s="115" t="e">
        <f t="shared" si="93"/>
        <v>#REF!</v>
      </c>
      <c r="AE142" s="115" t="e">
        <f t="shared" si="93"/>
        <v>#REF!</v>
      </c>
      <c r="AF142" s="115" t="e">
        <f t="shared" si="93"/>
        <v>#REF!</v>
      </c>
      <c r="AG142" s="115" t="e">
        <f t="shared" si="93"/>
        <v>#REF!</v>
      </c>
      <c r="AH142" s="139" t="e">
        <f>AH49+AH116</f>
        <v>#VALUE!</v>
      </c>
      <c r="AI142" s="139" t="e">
        <f>AI49+AI116-0.01</f>
        <v>#REF!</v>
      </c>
      <c r="AJ142" s="139"/>
      <c r="AK142" s="139" t="e">
        <f>AK49+AK116</f>
        <v>#REF!</v>
      </c>
      <c r="AL142" s="139"/>
      <c r="AM142" s="139" t="e">
        <f>AM49+AM116</f>
        <v>#VALUE!</v>
      </c>
      <c r="AN142" s="60" t="e">
        <f>M142+T142+AI142+AK142-F142</f>
        <v>#REF!</v>
      </c>
      <c r="AO142" s="28" t="s">
        <v>695</v>
      </c>
      <c r="AP142" s="92" t="s">
        <v>702</v>
      </c>
      <c r="AQ142" s="93">
        <v>148145961.64</v>
      </c>
      <c r="AR142" s="92" t="s">
        <v>703</v>
      </c>
      <c r="AS142" s="95" t="s">
        <v>704</v>
      </c>
    </row>
    <row r="143" spans="1:40" ht="34.5" customHeight="1">
      <c r="A143" s="140"/>
      <c r="B143" s="140">
        <v>3</v>
      </c>
      <c r="C143" s="141" t="s">
        <v>122</v>
      </c>
      <c r="D143" s="142"/>
      <c r="E143" s="142"/>
      <c r="F143" s="143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60"/>
    </row>
    <row r="144" spans="1:41" ht="21" customHeight="1">
      <c r="A144" s="144"/>
      <c r="B144" s="144"/>
      <c r="C144" s="145" t="s">
        <v>123</v>
      </c>
      <c r="D144" s="146"/>
      <c r="E144" s="146"/>
      <c r="F144" s="147"/>
      <c r="G144" s="146"/>
      <c r="H144" s="146"/>
      <c r="I144" s="146"/>
      <c r="J144" s="148"/>
      <c r="K144" s="149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60"/>
      <c r="AO144" s="29"/>
    </row>
    <row r="145" spans="1:42" ht="30">
      <c r="A145" s="55">
        <v>3</v>
      </c>
      <c r="B145" s="55" t="s">
        <v>628</v>
      </c>
      <c r="C145" s="56" t="s">
        <v>124</v>
      </c>
      <c r="D145" s="57">
        <f>E145*$D$7</f>
        <v>39466000</v>
      </c>
      <c r="E145" s="57">
        <v>14095000</v>
      </c>
      <c r="F145" s="57">
        <v>18228970.79</v>
      </c>
      <c r="G145" s="57">
        <f>F145-D145</f>
        <v>-21237029.21</v>
      </c>
      <c r="H145" s="57" t="e">
        <f>#REF!</f>
        <v>#REF!</v>
      </c>
      <c r="I145" s="57" t="e">
        <f>H145-E145</f>
        <v>#REF!</v>
      </c>
      <c r="J145" s="58">
        <v>1</v>
      </c>
      <c r="K145" s="58">
        <v>0</v>
      </c>
      <c r="L145" s="59">
        <v>0</v>
      </c>
      <c r="M145" s="59">
        <f>N145</f>
        <v>0</v>
      </c>
      <c r="N145" s="59">
        <f>O145+P145+Q145+R145+S145</f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62">
        <v>6640804.79</v>
      </c>
      <c r="U145" s="59">
        <f>SUM(V145:AG145)</f>
        <v>2340504.75</v>
      </c>
      <c r="V145" s="62">
        <v>0</v>
      </c>
      <c r="W145" s="62">
        <v>0</v>
      </c>
      <c r="X145" s="62">
        <v>0</v>
      </c>
      <c r="Y145" s="62">
        <f>'[1]Controle Contrato Prest. Serviç'!$O$13+'[1]Controle Contrato Prest. Serviç'!$O$14+'[1]Controle Contrato Prest. Serviç'!$O$15+'[1]Controle Contrato Prest. Serviç'!$O$16+'[1]Controle Contrato Prest. Serviç'!$O$17+'[1]Controle Contrato Prest. Serviç'!$O$18+'[1]Controle Contrato Prest. Serviç'!$O$19+'[1]Controle Contrato Prest. Serviç'!$O$20+'[1]Controle Contrato Prest. Serviç'!$O$21+'[1]Controle Contrato Prest. Serviç'!$O$22+'[1]Controle Contrato Prest. Serviç'!$O$23+'[1]Controle Contrato Prest. Serviç'!$O$24</f>
        <v>760358.4600000001</v>
      </c>
      <c r="Z145" s="59">
        <v>506905.64</v>
      </c>
      <c r="AA145" s="59">
        <v>0</v>
      </c>
      <c r="AB145" s="59">
        <v>59429.37</v>
      </c>
      <c r="AC145" s="59">
        <f>228107.54+202762.26+50690.56+25345.28+228107.54+202762.26+50690.56+25345.28</f>
        <v>1013811.28</v>
      </c>
      <c r="AD145" s="59"/>
      <c r="AE145" s="59"/>
      <c r="AF145" s="59"/>
      <c r="AG145" s="59"/>
      <c r="AH145" s="59">
        <f>T145-U145</f>
        <v>4300300.04</v>
      </c>
      <c r="AI145" s="59">
        <v>6598383.4</v>
      </c>
      <c r="AJ145" s="59"/>
      <c r="AK145" s="59">
        <v>4989782.6</v>
      </c>
      <c r="AL145" s="59"/>
      <c r="AM145" s="59">
        <f>N145+U145+AJ145+AL145</f>
        <v>2340504.75</v>
      </c>
      <c r="AN145" s="60">
        <f aca="true" t="shared" si="94" ref="AN145:AN151">M145+T145+AI145+AK145-F145</f>
        <v>0</v>
      </c>
      <c r="AO145" s="28" t="s">
        <v>712</v>
      </c>
      <c r="AP145" s="95" t="s">
        <v>799</v>
      </c>
    </row>
    <row r="146" spans="1:41" ht="21.75" customHeight="1">
      <c r="A146" s="63">
        <v>3</v>
      </c>
      <c r="B146" s="63" t="s">
        <v>639</v>
      </c>
      <c r="C146" s="64" t="s">
        <v>125</v>
      </c>
      <c r="D146" s="65">
        <f>E146*$D$7</f>
        <v>560000.196</v>
      </c>
      <c r="E146" s="65">
        <v>200000.07</v>
      </c>
      <c r="F146" s="65">
        <v>501036.55</v>
      </c>
      <c r="G146" s="65">
        <f>F146-D146</f>
        <v>-58963.64600000001</v>
      </c>
      <c r="H146" s="65">
        <f>E146</f>
        <v>200000.07</v>
      </c>
      <c r="I146" s="65">
        <f>H146-E146</f>
        <v>0</v>
      </c>
      <c r="J146" s="66">
        <v>1</v>
      </c>
      <c r="K146" s="66">
        <v>0</v>
      </c>
      <c r="L146" s="67">
        <v>0</v>
      </c>
      <c r="M146" s="59">
        <f>N146</f>
        <v>0</v>
      </c>
      <c r="N146" s="59">
        <f>O146+P146+Q146+R146+S146</f>
        <v>0</v>
      </c>
      <c r="O146" s="59">
        <v>0</v>
      </c>
      <c r="P146" s="59">
        <v>0</v>
      </c>
      <c r="Q146" s="59">
        <v>0</v>
      </c>
      <c r="R146" s="59">
        <v>0</v>
      </c>
      <c r="S146" s="59">
        <v>0</v>
      </c>
      <c r="T146" s="59">
        <v>218400.55</v>
      </c>
      <c r="U146" s="59">
        <f>SUM(V146:AG146)</f>
        <v>0</v>
      </c>
      <c r="V146" s="62">
        <v>0</v>
      </c>
      <c r="W146" s="62">
        <v>0</v>
      </c>
      <c r="X146" s="62">
        <v>0</v>
      </c>
      <c r="Y146" s="62">
        <v>0</v>
      </c>
      <c r="Z146" s="67">
        <v>0</v>
      </c>
      <c r="AA146" s="59">
        <v>0</v>
      </c>
      <c r="AB146" s="59">
        <v>0</v>
      </c>
      <c r="AC146" s="59">
        <v>0</v>
      </c>
      <c r="AD146" s="67"/>
      <c r="AE146" s="67"/>
      <c r="AF146" s="67"/>
      <c r="AG146" s="67"/>
      <c r="AH146" s="59">
        <f>T146-U146</f>
        <v>218400.55</v>
      </c>
      <c r="AI146" s="59">
        <v>96353.18</v>
      </c>
      <c r="AJ146" s="67"/>
      <c r="AK146" s="59">
        <v>186282.82</v>
      </c>
      <c r="AL146" s="67"/>
      <c r="AM146" s="59">
        <f>N146+U146+AJ146+AL146</f>
        <v>0</v>
      </c>
      <c r="AN146" s="60">
        <f t="shared" si="94"/>
        <v>0</v>
      </c>
      <c r="AO146" s="28" t="s">
        <v>712</v>
      </c>
    </row>
    <row r="147" spans="1:41" ht="21.75" customHeight="1">
      <c r="A147" s="63">
        <v>3</v>
      </c>
      <c r="B147" s="63" t="s">
        <v>662</v>
      </c>
      <c r="C147" s="64" t="s">
        <v>126</v>
      </c>
      <c r="D147" s="65">
        <f>E147*$D$7</f>
        <v>333200</v>
      </c>
      <c r="E147" s="65">
        <v>119000</v>
      </c>
      <c r="F147" s="65" t="e">
        <f>#REF!*2.8</f>
        <v>#REF!</v>
      </c>
      <c r="G147" s="65" t="e">
        <f>F147-D147</f>
        <v>#REF!</v>
      </c>
      <c r="H147" s="65">
        <f>E147</f>
        <v>119000</v>
      </c>
      <c r="I147" s="65">
        <f>H147-E147</f>
        <v>0</v>
      </c>
      <c r="J147" s="66">
        <v>1</v>
      </c>
      <c r="K147" s="66">
        <v>0</v>
      </c>
      <c r="L147" s="67">
        <v>0</v>
      </c>
      <c r="M147" s="59">
        <f>N147</f>
        <v>0</v>
      </c>
      <c r="N147" s="59">
        <f>O147+P147+Q147+R147+S147</f>
        <v>0</v>
      </c>
      <c r="O147" s="59">
        <v>0</v>
      </c>
      <c r="P147" s="59">
        <v>0</v>
      </c>
      <c r="Q147" s="59">
        <v>0</v>
      </c>
      <c r="R147" s="59">
        <v>0</v>
      </c>
      <c r="S147" s="59">
        <v>0</v>
      </c>
      <c r="T147" s="59" t="e">
        <f>#REF!*2.8</f>
        <v>#REF!</v>
      </c>
      <c r="U147" s="59">
        <f>SUM(V147:AG147)</f>
        <v>0</v>
      </c>
      <c r="V147" s="62">
        <v>0</v>
      </c>
      <c r="W147" s="62">
        <v>0</v>
      </c>
      <c r="X147" s="62">
        <v>0</v>
      </c>
      <c r="Y147" s="62">
        <v>0</v>
      </c>
      <c r="Z147" s="67">
        <v>0</v>
      </c>
      <c r="AA147" s="59">
        <v>0</v>
      </c>
      <c r="AB147" s="59">
        <v>0</v>
      </c>
      <c r="AC147" s="59">
        <v>0</v>
      </c>
      <c r="AD147" s="67"/>
      <c r="AE147" s="67"/>
      <c r="AF147" s="67"/>
      <c r="AG147" s="67"/>
      <c r="AH147" s="59" t="e">
        <f>T147-U147</f>
        <v>#REF!</v>
      </c>
      <c r="AI147" s="59">
        <v>111066.68</v>
      </c>
      <c r="AJ147" s="67"/>
      <c r="AK147" s="59">
        <v>222133.32</v>
      </c>
      <c r="AL147" s="67"/>
      <c r="AM147" s="59">
        <f>N147+U147+AJ147+AL147</f>
        <v>0</v>
      </c>
      <c r="AN147" s="60" t="e">
        <f t="shared" si="94"/>
        <v>#REF!</v>
      </c>
      <c r="AO147" s="28" t="s">
        <v>712</v>
      </c>
    </row>
    <row r="148" spans="1:41" ht="21.75" customHeight="1" hidden="1">
      <c r="A148" s="63">
        <v>3</v>
      </c>
      <c r="B148" s="63" t="s">
        <v>800</v>
      </c>
      <c r="C148" s="64" t="s">
        <v>127</v>
      </c>
      <c r="D148" s="65">
        <f>E148*$D$7</f>
        <v>0</v>
      </c>
      <c r="E148" s="65">
        <v>0</v>
      </c>
      <c r="F148" s="65">
        <f>D148</f>
        <v>0</v>
      </c>
      <c r="G148" s="65">
        <f>F148-D148</f>
        <v>0</v>
      </c>
      <c r="H148" s="65">
        <f>E148</f>
        <v>0</v>
      </c>
      <c r="I148" s="65">
        <f>H148-E148</f>
        <v>0</v>
      </c>
      <c r="J148" s="66">
        <v>1</v>
      </c>
      <c r="K148" s="66">
        <v>0</v>
      </c>
      <c r="L148" s="67">
        <v>0</v>
      </c>
      <c r="M148" s="59">
        <f>N148</f>
        <v>0</v>
      </c>
      <c r="N148" s="59">
        <f>O148+P148+Q148+R148+S148</f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 t="e">
        <f>#REF!*2.8</f>
        <v>#REF!</v>
      </c>
      <c r="U148" s="59">
        <f>SUM(V148:AG148)</f>
        <v>0</v>
      </c>
      <c r="V148" s="62">
        <v>0</v>
      </c>
      <c r="W148" s="62">
        <v>0</v>
      </c>
      <c r="X148" s="62">
        <v>0</v>
      </c>
      <c r="Y148" s="62">
        <v>0</v>
      </c>
      <c r="Z148" s="67">
        <v>0</v>
      </c>
      <c r="AA148" s="59">
        <v>0</v>
      </c>
      <c r="AB148" s="59">
        <v>0</v>
      </c>
      <c r="AC148" s="67"/>
      <c r="AD148" s="67"/>
      <c r="AE148" s="67"/>
      <c r="AF148" s="67"/>
      <c r="AG148" s="67"/>
      <c r="AH148" s="59" t="e">
        <f>T148-U148</f>
        <v>#REF!</v>
      </c>
      <c r="AI148" s="59" t="e">
        <f>#REF!*2.8</f>
        <v>#REF!</v>
      </c>
      <c r="AJ148" s="67"/>
      <c r="AK148" s="59" t="e">
        <f>#REF!*2.8</f>
        <v>#REF!</v>
      </c>
      <c r="AL148" s="67"/>
      <c r="AM148" s="59">
        <f>N148+U148+AJ148+AL148</f>
        <v>0</v>
      </c>
      <c r="AN148" s="60" t="e">
        <f t="shared" si="94"/>
        <v>#REF!</v>
      </c>
      <c r="AO148" s="28" t="s">
        <v>695</v>
      </c>
    </row>
    <row r="149" spans="1:44" ht="30" customHeight="1">
      <c r="A149" s="114"/>
      <c r="B149" s="114"/>
      <c r="C149" s="110" t="s">
        <v>128</v>
      </c>
      <c r="D149" s="115">
        <f aca="true" t="shared" si="95" ref="D149:I149">SUM(D145:D148)</f>
        <v>40359200.196</v>
      </c>
      <c r="E149" s="115">
        <f t="shared" si="95"/>
        <v>14414000.07</v>
      </c>
      <c r="F149" s="115" t="e">
        <f t="shared" si="95"/>
        <v>#REF!</v>
      </c>
      <c r="G149" s="115" t="e">
        <f t="shared" si="95"/>
        <v>#REF!</v>
      </c>
      <c r="H149" s="115" t="e">
        <f t="shared" si="95"/>
        <v>#REF!</v>
      </c>
      <c r="I149" s="115" t="e">
        <f t="shared" si="95"/>
        <v>#REF!</v>
      </c>
      <c r="J149" s="116">
        <v>1</v>
      </c>
      <c r="K149" s="116">
        <v>0</v>
      </c>
      <c r="L149" s="115">
        <f aca="true" t="shared" si="96" ref="L149:AI149">SUM(L145:L148)</f>
        <v>0</v>
      </c>
      <c r="M149" s="115">
        <f t="shared" si="96"/>
        <v>0</v>
      </c>
      <c r="N149" s="115">
        <f t="shared" si="96"/>
        <v>0</v>
      </c>
      <c r="O149" s="115">
        <f t="shared" si="96"/>
        <v>0</v>
      </c>
      <c r="P149" s="115">
        <f t="shared" si="96"/>
        <v>0</v>
      </c>
      <c r="Q149" s="115">
        <f t="shared" si="96"/>
        <v>0</v>
      </c>
      <c r="R149" s="115">
        <f t="shared" si="96"/>
        <v>0</v>
      </c>
      <c r="S149" s="115">
        <f t="shared" si="96"/>
        <v>0</v>
      </c>
      <c r="T149" s="115" t="e">
        <f t="shared" si="96"/>
        <v>#REF!</v>
      </c>
      <c r="U149" s="115">
        <f t="shared" si="96"/>
        <v>2340504.75</v>
      </c>
      <c r="V149" s="115">
        <f t="shared" si="96"/>
        <v>0</v>
      </c>
      <c r="W149" s="115">
        <f t="shared" si="96"/>
        <v>0</v>
      </c>
      <c r="X149" s="115">
        <f t="shared" si="96"/>
        <v>0</v>
      </c>
      <c r="Y149" s="115">
        <f t="shared" si="96"/>
        <v>760358.4600000001</v>
      </c>
      <c r="Z149" s="115">
        <f t="shared" si="96"/>
        <v>506905.64</v>
      </c>
      <c r="AA149" s="115">
        <f t="shared" si="96"/>
        <v>0</v>
      </c>
      <c r="AB149" s="115">
        <f t="shared" si="96"/>
        <v>59429.37</v>
      </c>
      <c r="AC149" s="115">
        <f t="shared" si="96"/>
        <v>1013811.28</v>
      </c>
      <c r="AD149" s="115">
        <f t="shared" si="96"/>
        <v>0</v>
      </c>
      <c r="AE149" s="115">
        <f t="shared" si="96"/>
        <v>0</v>
      </c>
      <c r="AF149" s="115">
        <f t="shared" si="96"/>
        <v>0</v>
      </c>
      <c r="AG149" s="115">
        <f t="shared" si="96"/>
        <v>0</v>
      </c>
      <c r="AH149" s="115" t="e">
        <f t="shared" si="96"/>
        <v>#REF!</v>
      </c>
      <c r="AI149" s="115" t="e">
        <f t="shared" si="96"/>
        <v>#REF!</v>
      </c>
      <c r="AJ149" s="115"/>
      <c r="AK149" s="115" t="e">
        <f>SUM(AK145:AK148)</f>
        <v>#REF!</v>
      </c>
      <c r="AL149" s="115"/>
      <c r="AM149" s="115">
        <f>SUM(AM145:AM148)</f>
        <v>2340504.75</v>
      </c>
      <c r="AN149" s="60" t="e">
        <f t="shared" si="94"/>
        <v>#REF!</v>
      </c>
      <c r="AO149" s="28" t="s">
        <v>695</v>
      </c>
      <c r="AP149" s="92" t="s">
        <v>702</v>
      </c>
      <c r="AQ149" s="93">
        <v>14414281.23</v>
      </c>
      <c r="AR149" s="92" t="s">
        <v>703</v>
      </c>
    </row>
    <row r="150" spans="1:41" ht="40.5" customHeight="1">
      <c r="A150" s="114"/>
      <c r="B150" s="114"/>
      <c r="C150" s="150" t="s">
        <v>129</v>
      </c>
      <c r="D150" s="139">
        <f>D149</f>
        <v>40359200.196</v>
      </c>
      <c r="E150" s="139">
        <f>SUM(E149)</f>
        <v>14414000.07</v>
      </c>
      <c r="F150" s="139" t="e">
        <f>SUM(F149)</f>
        <v>#REF!</v>
      </c>
      <c r="G150" s="151" t="e">
        <f>SUM(G149)</f>
        <v>#REF!</v>
      </c>
      <c r="H150" s="139" t="e">
        <f>SUM(H149)</f>
        <v>#REF!</v>
      </c>
      <c r="I150" s="151" t="e">
        <f>SUM(I149)</f>
        <v>#REF!</v>
      </c>
      <c r="J150" s="116">
        <v>1</v>
      </c>
      <c r="K150" s="116">
        <v>0</v>
      </c>
      <c r="L150" s="139">
        <f aca="true" t="shared" si="97" ref="L150:AI150">L149</f>
        <v>0</v>
      </c>
      <c r="M150" s="139">
        <f t="shared" si="97"/>
        <v>0</v>
      </c>
      <c r="N150" s="139">
        <f t="shared" si="97"/>
        <v>0</v>
      </c>
      <c r="O150" s="139">
        <f t="shared" si="97"/>
        <v>0</v>
      </c>
      <c r="P150" s="139">
        <f t="shared" si="97"/>
        <v>0</v>
      </c>
      <c r="Q150" s="139">
        <f t="shared" si="97"/>
        <v>0</v>
      </c>
      <c r="R150" s="139">
        <f t="shared" si="97"/>
        <v>0</v>
      </c>
      <c r="S150" s="139">
        <f t="shared" si="97"/>
        <v>0</v>
      </c>
      <c r="T150" s="139" t="e">
        <f t="shared" si="97"/>
        <v>#REF!</v>
      </c>
      <c r="U150" s="139">
        <f t="shared" si="97"/>
        <v>2340504.75</v>
      </c>
      <c r="V150" s="139">
        <f t="shared" si="97"/>
        <v>0</v>
      </c>
      <c r="W150" s="139">
        <f t="shared" si="97"/>
        <v>0</v>
      </c>
      <c r="X150" s="139">
        <f t="shared" si="97"/>
        <v>0</v>
      </c>
      <c r="Y150" s="139">
        <f t="shared" si="97"/>
        <v>760358.4600000001</v>
      </c>
      <c r="Z150" s="139">
        <f t="shared" si="97"/>
        <v>506905.64</v>
      </c>
      <c r="AA150" s="139">
        <f t="shared" si="97"/>
        <v>0</v>
      </c>
      <c r="AB150" s="139">
        <f t="shared" si="97"/>
        <v>59429.37</v>
      </c>
      <c r="AC150" s="139">
        <f t="shared" si="97"/>
        <v>1013811.28</v>
      </c>
      <c r="AD150" s="139">
        <f t="shared" si="97"/>
        <v>0</v>
      </c>
      <c r="AE150" s="139">
        <f t="shared" si="97"/>
        <v>0</v>
      </c>
      <c r="AF150" s="139">
        <f t="shared" si="97"/>
        <v>0</v>
      </c>
      <c r="AG150" s="139">
        <f t="shared" si="97"/>
        <v>0</v>
      </c>
      <c r="AH150" s="139" t="e">
        <f t="shared" si="97"/>
        <v>#REF!</v>
      </c>
      <c r="AI150" s="139" t="e">
        <f t="shared" si="97"/>
        <v>#REF!</v>
      </c>
      <c r="AJ150" s="139"/>
      <c r="AK150" s="139" t="e">
        <f>AK149</f>
        <v>#REF!</v>
      </c>
      <c r="AL150" s="139"/>
      <c r="AM150" s="139">
        <f>AM149</f>
        <v>2340504.75</v>
      </c>
      <c r="AN150" s="60" t="e">
        <f t="shared" si="94"/>
        <v>#REF!</v>
      </c>
      <c r="AO150" s="28" t="s">
        <v>695</v>
      </c>
    </row>
    <row r="151" spans="1:41" ht="34.5" customHeight="1">
      <c r="A151" s="152"/>
      <c r="B151" s="152"/>
      <c r="C151" s="153" t="s">
        <v>130</v>
      </c>
      <c r="D151" s="154" t="e">
        <f>D150+D142+D47</f>
        <v>#REF!</v>
      </c>
      <c r="E151" s="154" t="e">
        <f>E150+E142+E47</f>
        <v>#REF!</v>
      </c>
      <c r="F151" s="154" t="e">
        <f>F150+F142+F47</f>
        <v>#REF!</v>
      </c>
      <c r="G151" s="155" t="e">
        <f>G150+G142+G47+0.01</f>
        <v>#REF!</v>
      </c>
      <c r="H151" s="154" t="e">
        <f>H150+H142+H47</f>
        <v>#REF!</v>
      </c>
      <c r="I151" s="155" t="e">
        <f>I150+I142+I47</f>
        <v>#REF!</v>
      </c>
      <c r="J151" s="148">
        <v>0.7</v>
      </c>
      <c r="K151" s="148">
        <v>0.3</v>
      </c>
      <c r="L151" s="154">
        <f aca="true" t="shared" si="98" ref="L151:AG151">L150+L142+L47</f>
        <v>0</v>
      </c>
      <c r="M151" s="154" t="e">
        <f t="shared" si="98"/>
        <v>#REF!</v>
      </c>
      <c r="N151" s="154" t="e">
        <f t="shared" si="98"/>
        <v>#REF!</v>
      </c>
      <c r="O151" s="154" t="e">
        <f t="shared" si="98"/>
        <v>#REF!</v>
      </c>
      <c r="P151" s="154" t="e">
        <f t="shared" si="98"/>
        <v>#REF!</v>
      </c>
      <c r="Q151" s="154" t="e">
        <f t="shared" si="98"/>
        <v>#REF!</v>
      </c>
      <c r="R151" s="154" t="e">
        <f t="shared" si="98"/>
        <v>#REF!</v>
      </c>
      <c r="S151" s="154" t="e">
        <f t="shared" si="98"/>
        <v>#REF!</v>
      </c>
      <c r="T151" s="154" t="e">
        <f t="shared" si="98"/>
        <v>#REF!</v>
      </c>
      <c r="U151" s="154" t="e">
        <f t="shared" si="98"/>
        <v>#REF!</v>
      </c>
      <c r="V151" s="154">
        <f t="shared" si="98"/>
        <v>0</v>
      </c>
      <c r="W151" s="154">
        <f t="shared" si="98"/>
        <v>0</v>
      </c>
      <c r="X151" s="154">
        <f t="shared" si="98"/>
        <v>2005979.48</v>
      </c>
      <c r="Y151" s="154">
        <f t="shared" si="98"/>
        <v>760358.4600000001</v>
      </c>
      <c r="Z151" s="154">
        <f t="shared" si="98"/>
        <v>506905.64</v>
      </c>
      <c r="AA151" s="154" t="e">
        <f t="shared" si="98"/>
        <v>#VALUE!</v>
      </c>
      <c r="AB151" s="154">
        <f t="shared" si="98"/>
        <v>19472429.37</v>
      </c>
      <c r="AC151" s="154">
        <f t="shared" si="98"/>
        <v>7252293.53</v>
      </c>
      <c r="AD151" s="154" t="e">
        <f t="shared" si="98"/>
        <v>#REF!</v>
      </c>
      <c r="AE151" s="154" t="e">
        <f t="shared" si="98"/>
        <v>#REF!</v>
      </c>
      <c r="AF151" s="154" t="e">
        <f t="shared" si="98"/>
        <v>#REF!</v>
      </c>
      <c r="AG151" s="154" t="e">
        <f t="shared" si="98"/>
        <v>#REF!</v>
      </c>
      <c r="AH151" s="154" t="e">
        <f>AH150+AH142+AH47-0.01</f>
        <v>#REF!</v>
      </c>
      <c r="AI151" s="154" t="e">
        <f>AI150+AI142+AI47</f>
        <v>#REF!</v>
      </c>
      <c r="AJ151" s="154"/>
      <c r="AK151" s="154" t="e">
        <f>AK150+AK142+AK47</f>
        <v>#REF!</v>
      </c>
      <c r="AL151" s="154"/>
      <c r="AM151" s="154" t="e">
        <f>AM47+AM142+AM150</f>
        <v>#VALUE!</v>
      </c>
      <c r="AN151" s="60" t="e">
        <f t="shared" si="94"/>
        <v>#REF!</v>
      </c>
      <c r="AO151" s="28" t="s">
        <v>695</v>
      </c>
    </row>
    <row r="153" spans="2:9" ht="15">
      <c r="B153" s="156">
        <v>1</v>
      </c>
      <c r="C153" s="157" t="s">
        <v>801</v>
      </c>
      <c r="F153" s="158" t="e">
        <f>F27+F28+F58+F59+F60+F61+F62+F63+F64+F65+F66+F67+F68+F71+F73+F74+F75+F76+F77+F78+F79+F80+F81+F85+F86+F87+F88+F89+F90+F91+F92+F96+F97+F98+F99+F100+F101+F102+F103+F104+F105+F106+F107+F108+F111+F119+F122+F123+F140</f>
        <v>#REF!</v>
      </c>
      <c r="H153" s="413"/>
      <c r="I153" s="413"/>
    </row>
    <row r="154" spans="2:39" ht="15">
      <c r="B154" s="156">
        <v>2</v>
      </c>
      <c r="C154" s="157" t="s">
        <v>802</v>
      </c>
      <c r="F154" s="158" t="e">
        <f>F13+F14+F15+F16+F23+F24+F82+F93+F112+F29+F138</f>
        <v>#REF!</v>
      </c>
      <c r="H154" s="413"/>
      <c r="I154" s="413"/>
      <c r="U154" s="159"/>
      <c r="AM154" s="160"/>
    </row>
    <row r="155" spans="2:21" ht="15">
      <c r="B155" s="156">
        <v>3</v>
      </c>
      <c r="C155" s="157" t="s">
        <v>803</v>
      </c>
      <c r="F155" s="158" t="e">
        <f>F12+F33+F38+F46+F51+F149+F114</f>
        <v>#REF!</v>
      </c>
      <c r="H155" s="413"/>
      <c r="I155" s="413"/>
      <c r="U155" s="161"/>
    </row>
    <row r="156" spans="1:9" ht="12.75">
      <c r="A156" s="28"/>
      <c r="B156" s="156">
        <v>4</v>
      </c>
      <c r="C156" s="162" t="s">
        <v>804</v>
      </c>
      <c r="F156" s="158">
        <f>F17+F18+F19+F20+F54</f>
        <v>27683274.662</v>
      </c>
      <c r="H156" s="413"/>
      <c r="I156" s="413"/>
    </row>
  </sheetData>
  <sheetProtection selectLockedCells="1" selectUnlockedCells="1"/>
  <mergeCells count="16">
    <mergeCell ref="B1:A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AK5"/>
    <mergeCell ref="H153:I153"/>
    <mergeCell ref="H154:I154"/>
    <mergeCell ref="H155:I155"/>
    <mergeCell ref="H156:I156"/>
  </mergeCells>
  <printOptions/>
  <pageMargins left="0.11805555555555555" right="0.19652777777777777" top="0.19652777777777777" bottom="0.19652777777777777" header="0.5118055555555555" footer="0.5118055555555555"/>
  <pageSetup horizontalDpi="300" verticalDpi="300" orientation="portrait" paperSize="9" scale="45"/>
  <rowBreaks count="2" manualBreakCount="2">
    <brk id="58" max="255" man="1"/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C256"/>
  <sheetViews>
    <sheetView zoomScalePageLayoutView="0" workbookViewId="0" topLeftCell="B1">
      <selection activeCell="X152" sqref="X152"/>
    </sheetView>
  </sheetViews>
  <sheetFormatPr defaultColWidth="8.7109375" defaultRowHeight="12.75"/>
  <cols>
    <col min="1" max="1" width="8.7109375" style="163" customWidth="1"/>
    <col min="2" max="4" width="8.7109375" style="164" customWidth="1"/>
    <col min="5" max="5" width="44.140625" style="165" customWidth="1"/>
    <col min="6" max="41" width="3.00390625" style="163" customWidth="1"/>
    <col min="42" max="54" width="2.57421875" style="163" customWidth="1"/>
    <col min="55" max="16384" width="8.7109375" style="163" customWidth="1"/>
  </cols>
  <sheetData>
    <row r="1" spans="2:41" ht="15.75" customHeight="1">
      <c r="B1" s="163"/>
      <c r="C1" s="163"/>
      <c r="D1" s="427" t="s">
        <v>669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</row>
    <row r="2" spans="2:41" ht="15.75">
      <c r="B2" s="163"/>
      <c r="C2" s="163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</row>
    <row r="3" spans="2:41" ht="15.75" customHeight="1">
      <c r="B3" s="166"/>
      <c r="C3" s="166"/>
      <c r="D3" s="167"/>
      <c r="E3" s="428" t="s">
        <v>805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2:41" ht="15.75">
      <c r="B4" s="166"/>
      <c r="C4" s="166"/>
      <c r="D4" s="169"/>
      <c r="E4" s="170" t="s">
        <v>806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</row>
    <row r="5" spans="2:41" ht="15.75">
      <c r="B5" s="171"/>
      <c r="C5" s="171"/>
      <c r="D5" s="172"/>
      <c r="E5" s="173" t="s">
        <v>807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</row>
    <row r="6" spans="2:41" ht="15.75" customHeight="1">
      <c r="B6" s="429"/>
      <c r="C6" s="429" t="s">
        <v>808</v>
      </c>
      <c r="D6" s="429" t="s">
        <v>671</v>
      </c>
      <c r="E6" s="430" t="s">
        <v>672</v>
      </c>
      <c r="F6" s="431">
        <v>2017</v>
      </c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2">
        <v>2018</v>
      </c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3">
        <v>2019</v>
      </c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</row>
    <row r="7" spans="2:41" ht="24.75" customHeight="1">
      <c r="B7" s="429"/>
      <c r="C7" s="429"/>
      <c r="D7" s="429"/>
      <c r="E7" s="430"/>
      <c r="F7" s="176">
        <v>1</v>
      </c>
      <c r="G7" s="177">
        <v>2</v>
      </c>
      <c r="H7" s="177">
        <v>3</v>
      </c>
      <c r="I7" s="177">
        <v>4</v>
      </c>
      <c r="J7" s="177">
        <v>5</v>
      </c>
      <c r="K7" s="177">
        <v>6</v>
      </c>
      <c r="L7" s="177">
        <v>7</v>
      </c>
      <c r="M7" s="177">
        <v>8</v>
      </c>
      <c r="N7" s="177">
        <v>9</v>
      </c>
      <c r="O7" s="177">
        <v>10</v>
      </c>
      <c r="P7" s="177">
        <v>11</v>
      </c>
      <c r="Q7" s="178">
        <v>12</v>
      </c>
      <c r="R7" s="176">
        <v>1</v>
      </c>
      <c r="S7" s="177">
        <v>2</v>
      </c>
      <c r="T7" s="177">
        <v>3</v>
      </c>
      <c r="U7" s="177">
        <v>4</v>
      </c>
      <c r="V7" s="177">
        <v>5</v>
      </c>
      <c r="W7" s="177">
        <v>6</v>
      </c>
      <c r="X7" s="177">
        <v>7</v>
      </c>
      <c r="Y7" s="177">
        <v>8</v>
      </c>
      <c r="Z7" s="177">
        <v>9</v>
      </c>
      <c r="AA7" s="177">
        <v>10</v>
      </c>
      <c r="AB7" s="177">
        <v>11</v>
      </c>
      <c r="AC7" s="178">
        <v>12</v>
      </c>
      <c r="AD7" s="176">
        <v>1</v>
      </c>
      <c r="AE7" s="177">
        <v>2</v>
      </c>
      <c r="AF7" s="177">
        <v>3</v>
      </c>
      <c r="AG7" s="177">
        <v>4</v>
      </c>
      <c r="AH7" s="177">
        <v>5</v>
      </c>
      <c r="AI7" s="177">
        <v>6</v>
      </c>
      <c r="AJ7" s="177">
        <v>7</v>
      </c>
      <c r="AK7" s="177">
        <v>8</v>
      </c>
      <c r="AL7" s="177">
        <v>9</v>
      </c>
      <c r="AM7" s="177">
        <v>10</v>
      </c>
      <c r="AN7" s="177">
        <v>11</v>
      </c>
      <c r="AO7" s="178">
        <v>12</v>
      </c>
    </row>
    <row r="8" spans="2:41" ht="15.75" hidden="1">
      <c r="B8" s="179"/>
      <c r="C8" s="179"/>
      <c r="D8" s="179"/>
      <c r="E8" s="180"/>
      <c r="F8" s="181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3"/>
      <c r="R8" s="181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3"/>
      <c r="AD8" s="181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3"/>
    </row>
    <row r="9" spans="2:41" ht="12" customHeight="1" hidden="1">
      <c r="B9" s="184"/>
      <c r="C9" s="184"/>
      <c r="D9" s="184"/>
      <c r="E9" s="185"/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81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3"/>
      <c r="AD9" s="181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3"/>
    </row>
    <row r="10" spans="2:41" ht="30">
      <c r="B10" s="31"/>
      <c r="C10" s="31"/>
      <c r="D10" s="31">
        <v>1</v>
      </c>
      <c r="E10" s="186" t="s">
        <v>17</v>
      </c>
      <c r="F10" s="187"/>
      <c r="G10" s="188"/>
      <c r="H10" s="189"/>
      <c r="I10" s="188"/>
      <c r="J10" s="189"/>
      <c r="K10" s="188"/>
      <c r="L10" s="189"/>
      <c r="M10" s="188"/>
      <c r="N10" s="189"/>
      <c r="O10" s="188"/>
      <c r="P10" s="189"/>
      <c r="Q10" s="190"/>
      <c r="R10" s="187"/>
      <c r="S10" s="188"/>
      <c r="T10" s="189"/>
      <c r="U10" s="188"/>
      <c r="V10" s="189"/>
      <c r="W10" s="188"/>
      <c r="X10" s="189"/>
      <c r="Y10" s="188"/>
      <c r="Z10" s="189"/>
      <c r="AA10" s="188"/>
      <c r="AB10" s="189"/>
      <c r="AC10" s="190"/>
      <c r="AD10" s="187"/>
      <c r="AE10" s="188"/>
      <c r="AF10" s="189"/>
      <c r="AG10" s="188"/>
      <c r="AH10" s="189"/>
      <c r="AI10" s="188"/>
      <c r="AJ10" s="189"/>
      <c r="AK10" s="188"/>
      <c r="AL10" s="189"/>
      <c r="AM10" s="188"/>
      <c r="AN10" s="189"/>
      <c r="AO10" s="190"/>
    </row>
    <row r="11" spans="2:41" ht="30">
      <c r="B11" s="31"/>
      <c r="C11" s="31"/>
      <c r="D11" s="31"/>
      <c r="E11" s="186" t="s">
        <v>18</v>
      </c>
      <c r="F11" s="187"/>
      <c r="G11" s="188"/>
      <c r="H11" s="189"/>
      <c r="I11" s="188"/>
      <c r="J11" s="189"/>
      <c r="K11" s="188"/>
      <c r="L11" s="189"/>
      <c r="M11" s="188"/>
      <c r="N11" s="189"/>
      <c r="O11" s="188"/>
      <c r="P11" s="189"/>
      <c r="Q11" s="190"/>
      <c r="R11" s="187"/>
      <c r="S11" s="188"/>
      <c r="T11" s="189"/>
      <c r="U11" s="188"/>
      <c r="V11" s="189"/>
      <c r="W11" s="188"/>
      <c r="X11" s="189"/>
      <c r="Y11" s="188"/>
      <c r="Z11" s="189"/>
      <c r="AA11" s="188"/>
      <c r="AB11" s="189"/>
      <c r="AC11" s="190"/>
      <c r="AD11" s="187"/>
      <c r="AE11" s="188"/>
      <c r="AF11" s="189"/>
      <c r="AG11" s="188"/>
      <c r="AH11" s="189"/>
      <c r="AI11" s="188"/>
      <c r="AJ11" s="189"/>
      <c r="AK11" s="188"/>
      <c r="AL11" s="189"/>
      <c r="AM11" s="188"/>
      <c r="AN11" s="189"/>
      <c r="AO11" s="190"/>
    </row>
    <row r="12" spans="2:41" ht="15.75" customHeight="1">
      <c r="B12" s="417"/>
      <c r="C12" s="417"/>
      <c r="D12" s="417" t="s">
        <v>499</v>
      </c>
      <c r="E12" s="418" t="s">
        <v>19</v>
      </c>
      <c r="F12" s="191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3"/>
      <c r="R12" s="191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3"/>
      <c r="AD12" s="191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3"/>
    </row>
    <row r="13" spans="2:41" ht="15.75">
      <c r="B13" s="417"/>
      <c r="C13" s="417"/>
      <c r="D13" s="417"/>
      <c r="E13" s="418"/>
      <c r="F13" s="194"/>
      <c r="G13" s="195"/>
      <c r="H13" s="195"/>
      <c r="I13" s="195"/>
      <c r="J13" s="196"/>
      <c r="K13" s="196"/>
      <c r="L13" s="196"/>
      <c r="M13" s="196"/>
      <c r="N13" s="196"/>
      <c r="O13" s="196"/>
      <c r="P13" s="196"/>
      <c r="Q13" s="197"/>
      <c r="R13" s="198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181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3"/>
    </row>
    <row r="14" spans="2:54" ht="15.75">
      <c r="B14" s="417"/>
      <c r="C14" s="417"/>
      <c r="D14" s="417"/>
      <c r="E14" s="418"/>
      <c r="F14" s="199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  <c r="R14" s="199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1"/>
      <c r="AD14" s="199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1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</row>
    <row r="15" spans="2:41" ht="15.75" customHeight="1">
      <c r="B15" s="417"/>
      <c r="C15" s="417"/>
      <c r="D15" s="417" t="s">
        <v>550</v>
      </c>
      <c r="E15" s="418" t="s">
        <v>809</v>
      </c>
      <c r="F15" s="191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3"/>
      <c r="R15" s="191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3"/>
      <c r="AD15" s="191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3"/>
    </row>
    <row r="16" spans="2:41" ht="15.75">
      <c r="B16" s="417"/>
      <c r="C16" s="417"/>
      <c r="D16" s="417"/>
      <c r="E16" s="418"/>
      <c r="F16" s="203"/>
      <c r="G16" s="204"/>
      <c r="H16" s="204"/>
      <c r="I16" s="204"/>
      <c r="J16" s="195"/>
      <c r="K16" s="195"/>
      <c r="L16" s="195"/>
      <c r="M16" s="195"/>
      <c r="N16" s="196"/>
      <c r="O16" s="196"/>
      <c r="P16" s="196"/>
      <c r="Q16" s="197"/>
      <c r="R16" s="198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7"/>
      <c r="AD16" s="198"/>
      <c r="AE16" s="196"/>
      <c r="AF16" s="196"/>
      <c r="AG16" s="196"/>
      <c r="AH16" s="196"/>
      <c r="AI16" s="196"/>
      <c r="AJ16" s="196"/>
      <c r="AK16" s="182"/>
      <c r="AL16" s="182"/>
      <c r="AM16" s="182"/>
      <c r="AN16" s="182"/>
      <c r="AO16" s="183"/>
    </row>
    <row r="17" spans="2:54" ht="15.75">
      <c r="B17" s="417"/>
      <c r="C17" s="417"/>
      <c r="D17" s="417"/>
      <c r="E17" s="418"/>
      <c r="F17" s="199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1"/>
      <c r="R17" s="199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1"/>
      <c r="AD17" s="199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1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</row>
    <row r="18" spans="2:41" ht="15.75" customHeight="1">
      <c r="B18" s="417"/>
      <c r="C18" s="417"/>
      <c r="D18" s="417" t="s">
        <v>489</v>
      </c>
      <c r="E18" s="418" t="s">
        <v>21</v>
      </c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  <c r="R18" s="191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3"/>
      <c r="AD18" s="191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3"/>
    </row>
    <row r="19" spans="2:41" ht="15.75">
      <c r="B19" s="417"/>
      <c r="C19" s="417"/>
      <c r="D19" s="417"/>
      <c r="E19" s="418"/>
      <c r="F19" s="203"/>
      <c r="G19" s="204"/>
      <c r="H19" s="204"/>
      <c r="I19" s="195"/>
      <c r="J19" s="195"/>
      <c r="K19" s="195"/>
      <c r="L19" s="196"/>
      <c r="M19" s="196"/>
      <c r="N19" s="196"/>
      <c r="O19" s="196"/>
      <c r="P19" s="182"/>
      <c r="Q19" s="182"/>
      <c r="R19" s="181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1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3"/>
    </row>
    <row r="20" spans="2:54" ht="15.75">
      <c r="B20" s="417"/>
      <c r="C20" s="417"/>
      <c r="D20" s="417"/>
      <c r="E20" s="418"/>
      <c r="F20" s="199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199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1"/>
      <c r="AD20" s="199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1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</row>
    <row r="21" spans="2:41" ht="15.75" customHeight="1">
      <c r="B21" s="417"/>
      <c r="C21" s="417"/>
      <c r="D21" s="417" t="s">
        <v>565</v>
      </c>
      <c r="E21" s="418" t="s">
        <v>810</v>
      </c>
      <c r="F21" s="191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3"/>
      <c r="AD21" s="191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3"/>
    </row>
    <row r="22" spans="2:41" ht="15.75">
      <c r="B22" s="417"/>
      <c r="C22" s="417"/>
      <c r="D22" s="417"/>
      <c r="E22" s="418"/>
      <c r="F22" s="203"/>
      <c r="G22" s="204"/>
      <c r="H22" s="204"/>
      <c r="I22" s="204"/>
      <c r="J22" s="195"/>
      <c r="K22" s="195"/>
      <c r="L22" s="195"/>
      <c r="M22" s="195"/>
      <c r="N22" s="196"/>
      <c r="O22" s="196"/>
      <c r="P22" s="196"/>
      <c r="Q22" s="197"/>
      <c r="R22" s="198"/>
      <c r="S22" s="196"/>
      <c r="T22" s="196"/>
      <c r="U22" s="196"/>
      <c r="V22" s="196"/>
      <c r="W22" s="182"/>
      <c r="X22" s="182"/>
      <c r="Y22" s="182"/>
      <c r="Z22" s="182"/>
      <c r="AA22" s="182"/>
      <c r="AB22" s="182"/>
      <c r="AC22" s="182"/>
      <c r="AD22" s="181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3"/>
    </row>
    <row r="23" spans="2:54" ht="15.75">
      <c r="B23" s="417"/>
      <c r="C23" s="417"/>
      <c r="D23" s="417"/>
      <c r="E23" s="418"/>
      <c r="F23" s="199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1"/>
      <c r="R23" s="199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1"/>
      <c r="AD23" s="199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1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</row>
    <row r="24" spans="2:41" ht="15.75" customHeight="1">
      <c r="B24" s="417"/>
      <c r="C24" s="417"/>
      <c r="D24" s="417" t="s">
        <v>560</v>
      </c>
      <c r="E24" s="418" t="s">
        <v>23</v>
      </c>
      <c r="F24" s="191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3"/>
      <c r="R24" s="191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3"/>
      <c r="AD24" s="191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3"/>
    </row>
    <row r="25" spans="2:41" ht="15.75">
      <c r="B25" s="417"/>
      <c r="C25" s="417"/>
      <c r="D25" s="417"/>
      <c r="E25" s="418"/>
      <c r="F25" s="203"/>
      <c r="G25" s="204"/>
      <c r="H25" s="204"/>
      <c r="I25" s="204"/>
      <c r="J25" s="195"/>
      <c r="K25" s="195"/>
      <c r="L25" s="195"/>
      <c r="M25" s="196"/>
      <c r="N25" s="196"/>
      <c r="O25" s="196"/>
      <c r="P25" s="205"/>
      <c r="Q25" s="206"/>
      <c r="R25" s="207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6"/>
      <c r="AD25" s="207"/>
      <c r="AE25" s="205"/>
      <c r="AF25" s="205"/>
      <c r="AG25" s="205"/>
      <c r="AH25" s="205"/>
      <c r="AI25" s="205"/>
      <c r="AJ25" s="205"/>
      <c r="AK25" s="208"/>
      <c r="AL25" s="182"/>
      <c r="AM25" s="182"/>
      <c r="AN25" s="182"/>
      <c r="AO25" s="183"/>
    </row>
    <row r="26" spans="2:54" ht="15.75">
      <c r="B26" s="417"/>
      <c r="C26" s="417"/>
      <c r="D26" s="417"/>
      <c r="E26" s="418"/>
      <c r="F26" s="199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1"/>
      <c r="R26" s="199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1"/>
      <c r="AD26" s="199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1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</row>
    <row r="27" spans="2:41" ht="15.75" customHeight="1">
      <c r="B27" s="417"/>
      <c r="C27" s="417"/>
      <c r="D27" s="417" t="s">
        <v>569</v>
      </c>
      <c r="E27" s="418" t="s">
        <v>811</v>
      </c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3"/>
      <c r="R27" s="191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3"/>
      <c r="AD27" s="191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3"/>
    </row>
    <row r="28" spans="2:41" ht="15.75">
      <c r="B28" s="417"/>
      <c r="C28" s="417"/>
      <c r="D28" s="417"/>
      <c r="E28" s="418"/>
      <c r="F28" s="203"/>
      <c r="G28" s="204"/>
      <c r="H28" s="204"/>
      <c r="I28" s="204"/>
      <c r="J28" s="195"/>
      <c r="K28" s="195"/>
      <c r="L28" s="195"/>
      <c r="M28" s="195"/>
      <c r="N28" s="196"/>
      <c r="O28" s="196"/>
      <c r="P28" s="196"/>
      <c r="Q28" s="197"/>
      <c r="R28" s="198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7"/>
      <c r="AD28" s="198"/>
      <c r="AE28" s="196"/>
      <c r="AF28" s="196"/>
      <c r="AG28" s="196"/>
      <c r="AH28" s="196"/>
      <c r="AI28" s="196"/>
      <c r="AJ28" s="196"/>
      <c r="AK28" s="182"/>
      <c r="AL28" s="182"/>
      <c r="AM28" s="182"/>
      <c r="AN28" s="182"/>
      <c r="AO28" s="183"/>
    </row>
    <row r="29" spans="2:54" ht="15.75">
      <c r="B29" s="417"/>
      <c r="C29" s="417"/>
      <c r="D29" s="417"/>
      <c r="E29" s="418"/>
      <c r="F29" s="199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1"/>
      <c r="R29" s="199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1"/>
      <c r="AD29" s="199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1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</row>
    <row r="30" spans="2:41" ht="15.75" customHeight="1">
      <c r="B30" s="417"/>
      <c r="C30" s="417"/>
      <c r="D30" s="417" t="s">
        <v>572</v>
      </c>
      <c r="E30" s="418" t="s">
        <v>812</v>
      </c>
      <c r="F30" s="191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3"/>
      <c r="R30" s="191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3"/>
      <c r="AD30" s="191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3"/>
    </row>
    <row r="31" spans="2:41" ht="13.5" customHeight="1">
      <c r="B31" s="417"/>
      <c r="C31" s="417"/>
      <c r="D31" s="417"/>
      <c r="E31" s="418"/>
      <c r="F31" s="203"/>
      <c r="G31" s="204"/>
      <c r="H31" s="204"/>
      <c r="I31" s="204"/>
      <c r="J31" s="204"/>
      <c r="K31" s="195"/>
      <c r="L31" s="195"/>
      <c r="M31" s="195"/>
      <c r="N31" s="195"/>
      <c r="O31" s="196"/>
      <c r="P31" s="196"/>
      <c r="Q31" s="197"/>
      <c r="R31" s="198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7"/>
      <c r="AD31" s="198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</row>
    <row r="32" spans="2:54" ht="15.75">
      <c r="B32" s="417"/>
      <c r="C32" s="417"/>
      <c r="D32" s="417"/>
      <c r="E32" s="418"/>
      <c r="F32" s="199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  <c r="R32" s="199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1"/>
      <c r="AD32" s="199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1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</row>
    <row r="33" spans="2:41" ht="15.75" customHeight="1">
      <c r="B33" s="417"/>
      <c r="C33" s="417"/>
      <c r="D33" s="417" t="s">
        <v>575</v>
      </c>
      <c r="E33" s="418" t="s">
        <v>26</v>
      </c>
      <c r="F33" s="191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3"/>
      <c r="R33" s="191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3"/>
      <c r="AD33" s="191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3"/>
    </row>
    <row r="34" spans="2:41" ht="15.75">
      <c r="B34" s="417"/>
      <c r="C34" s="417"/>
      <c r="D34" s="417"/>
      <c r="E34" s="418"/>
      <c r="F34" s="203"/>
      <c r="G34" s="204"/>
      <c r="H34" s="204"/>
      <c r="I34" s="204"/>
      <c r="J34" s="204"/>
      <c r="K34" s="195"/>
      <c r="L34" s="195"/>
      <c r="M34" s="195"/>
      <c r="N34" s="195"/>
      <c r="O34" s="196"/>
      <c r="P34" s="196"/>
      <c r="Q34" s="197"/>
      <c r="R34" s="198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7"/>
      <c r="AD34" s="198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7"/>
    </row>
    <row r="35" spans="2:54" ht="15.75">
      <c r="B35" s="417"/>
      <c r="C35" s="417"/>
      <c r="D35" s="417"/>
      <c r="E35" s="418"/>
      <c r="F35" s="199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199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1"/>
      <c r="AD35" s="199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1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</row>
    <row r="36" spans="2:41" ht="15.75" customHeight="1">
      <c r="B36" s="417"/>
      <c r="C36" s="417"/>
      <c r="D36" s="417" t="s">
        <v>578</v>
      </c>
      <c r="E36" s="418" t="s">
        <v>27</v>
      </c>
      <c r="F36" s="191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3"/>
      <c r="R36" s="191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3"/>
      <c r="AD36" s="191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3"/>
    </row>
    <row r="37" spans="2:41" ht="15.75">
      <c r="B37" s="417"/>
      <c r="C37" s="417"/>
      <c r="D37" s="417"/>
      <c r="E37" s="418"/>
      <c r="F37" s="203"/>
      <c r="G37" s="204"/>
      <c r="H37" s="204"/>
      <c r="I37" s="204"/>
      <c r="J37" s="204"/>
      <c r="K37" s="195"/>
      <c r="L37" s="195"/>
      <c r="M37" s="195"/>
      <c r="N37" s="195"/>
      <c r="O37" s="196"/>
      <c r="P37" s="196"/>
      <c r="Q37" s="197"/>
      <c r="R37" s="198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7"/>
      <c r="AD37" s="198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</row>
    <row r="38" spans="2:54" ht="15.75">
      <c r="B38" s="417"/>
      <c r="C38" s="417"/>
      <c r="D38" s="417"/>
      <c r="E38" s="418"/>
      <c r="F38" s="199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1"/>
      <c r="R38" s="199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1"/>
      <c r="AD38" s="199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1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</row>
    <row r="39" spans="2:41" ht="30">
      <c r="B39" s="31"/>
      <c r="C39" s="31"/>
      <c r="D39" s="31"/>
      <c r="E39" s="186" t="s">
        <v>29</v>
      </c>
      <c r="F39" s="187"/>
      <c r="G39" s="188"/>
      <c r="H39" s="189"/>
      <c r="I39" s="188"/>
      <c r="J39" s="189"/>
      <c r="K39" s="188"/>
      <c r="L39" s="189"/>
      <c r="M39" s="188"/>
      <c r="N39" s="189"/>
      <c r="O39" s="188"/>
      <c r="P39" s="189"/>
      <c r="Q39" s="190"/>
      <c r="R39" s="187"/>
      <c r="S39" s="188"/>
      <c r="T39" s="189"/>
      <c r="U39" s="188"/>
      <c r="V39" s="189"/>
      <c r="W39" s="188"/>
      <c r="X39" s="189"/>
      <c r="Y39" s="188"/>
      <c r="Z39" s="189"/>
      <c r="AA39" s="188"/>
      <c r="AB39" s="189"/>
      <c r="AC39" s="190"/>
      <c r="AD39" s="187"/>
      <c r="AE39" s="188"/>
      <c r="AF39" s="189"/>
      <c r="AG39" s="188"/>
      <c r="AH39" s="189"/>
      <c r="AI39" s="188"/>
      <c r="AJ39" s="189"/>
      <c r="AK39" s="188"/>
      <c r="AL39" s="189"/>
      <c r="AM39" s="188"/>
      <c r="AN39" s="189"/>
      <c r="AO39" s="190"/>
    </row>
    <row r="40" spans="2:41" ht="15.75" customHeight="1">
      <c r="B40" s="417"/>
      <c r="C40" s="417"/>
      <c r="D40" s="417"/>
      <c r="E40" s="418" t="s">
        <v>813</v>
      </c>
      <c r="F40" s="191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3"/>
      <c r="R40" s="191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3"/>
      <c r="AD40" s="191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3"/>
    </row>
    <row r="41" spans="2:41" ht="15.75">
      <c r="B41" s="417"/>
      <c r="C41" s="417"/>
      <c r="D41" s="417"/>
      <c r="E41" s="418"/>
      <c r="F41" s="181"/>
      <c r="G41" s="182"/>
      <c r="H41" s="182"/>
      <c r="I41" s="204"/>
      <c r="J41" s="204"/>
      <c r="K41" s="204"/>
      <c r="L41" s="195"/>
      <c r="M41" s="195"/>
      <c r="N41" s="195"/>
      <c r="O41" s="195"/>
      <c r="P41" s="195"/>
      <c r="Q41" s="209"/>
      <c r="R41" s="198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7"/>
      <c r="AD41" s="198"/>
      <c r="AE41" s="196"/>
      <c r="AF41" s="196"/>
      <c r="AG41" s="196"/>
      <c r="AH41" s="196"/>
      <c r="AI41" s="196"/>
      <c r="AJ41" s="182"/>
      <c r="AK41" s="182"/>
      <c r="AL41" s="182"/>
      <c r="AM41" s="182"/>
      <c r="AN41" s="182"/>
      <c r="AO41" s="183"/>
    </row>
    <row r="42" spans="2:54" ht="25.5" customHeight="1">
      <c r="B42" s="417"/>
      <c r="C42" s="417"/>
      <c r="D42" s="417"/>
      <c r="E42" s="418"/>
      <c r="F42" s="199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199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1"/>
      <c r="AD42" s="199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1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</row>
    <row r="43" spans="2:41" ht="15.75">
      <c r="B43" s="31"/>
      <c r="C43" s="31"/>
      <c r="D43" s="31"/>
      <c r="E43" s="186" t="s">
        <v>32</v>
      </c>
      <c r="F43" s="187"/>
      <c r="G43" s="188"/>
      <c r="H43" s="189"/>
      <c r="I43" s="188"/>
      <c r="J43" s="189"/>
      <c r="K43" s="188"/>
      <c r="L43" s="189"/>
      <c r="M43" s="188"/>
      <c r="N43" s="189"/>
      <c r="O43" s="188"/>
      <c r="P43" s="189"/>
      <c r="Q43" s="190"/>
      <c r="R43" s="187"/>
      <c r="S43" s="188"/>
      <c r="T43" s="189"/>
      <c r="U43" s="188"/>
      <c r="V43" s="189"/>
      <c r="W43" s="188"/>
      <c r="X43" s="189"/>
      <c r="Y43" s="188"/>
      <c r="Z43" s="189"/>
      <c r="AA43" s="188"/>
      <c r="AB43" s="189"/>
      <c r="AC43" s="190"/>
      <c r="AD43" s="187"/>
      <c r="AE43" s="188"/>
      <c r="AF43" s="189"/>
      <c r="AG43" s="188"/>
      <c r="AH43" s="189"/>
      <c r="AI43" s="188"/>
      <c r="AJ43" s="189"/>
      <c r="AK43" s="188"/>
      <c r="AL43" s="189"/>
      <c r="AM43" s="188"/>
      <c r="AN43" s="189"/>
      <c r="AO43" s="190"/>
    </row>
    <row r="44" spans="2:41" ht="15.75" customHeight="1">
      <c r="B44" s="417"/>
      <c r="C44" s="417"/>
      <c r="D44" s="417"/>
      <c r="E44" s="418" t="s">
        <v>33</v>
      </c>
      <c r="F44" s="191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3"/>
      <c r="R44" s="191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3"/>
      <c r="AD44" s="191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3"/>
    </row>
    <row r="45" spans="2:41" ht="15.75">
      <c r="B45" s="417"/>
      <c r="C45" s="417"/>
      <c r="D45" s="417"/>
      <c r="E45" s="418"/>
      <c r="F45" s="181"/>
      <c r="G45" s="182"/>
      <c r="H45" s="182"/>
      <c r="I45" s="182"/>
      <c r="J45" s="182"/>
      <c r="K45" s="182"/>
      <c r="L45" s="182"/>
      <c r="M45" s="182"/>
      <c r="N45" s="182"/>
      <c r="O45" s="204"/>
      <c r="P45" s="204"/>
      <c r="Q45" s="210"/>
      <c r="R45" s="194"/>
      <c r="S45" s="195"/>
      <c r="T45" s="195"/>
      <c r="U45" s="195"/>
      <c r="V45" s="196"/>
      <c r="W45" s="196"/>
      <c r="X45" s="196"/>
      <c r="Y45" s="196"/>
      <c r="Z45" s="182"/>
      <c r="AA45" s="182"/>
      <c r="AB45" s="182"/>
      <c r="AC45" s="183"/>
      <c r="AD45" s="181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3"/>
    </row>
    <row r="46" spans="2:54" ht="15.75">
      <c r="B46" s="417"/>
      <c r="C46" s="417"/>
      <c r="D46" s="417"/>
      <c r="E46" s="418"/>
      <c r="F46" s="199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1"/>
      <c r="R46" s="199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1"/>
      <c r="AD46" s="199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1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</row>
    <row r="47" spans="2:41" ht="15.75" customHeight="1">
      <c r="B47" s="417"/>
      <c r="C47" s="417"/>
      <c r="D47" s="417"/>
      <c r="E47" s="418" t="s">
        <v>696</v>
      </c>
      <c r="F47" s="191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3"/>
      <c r="R47" s="191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3"/>
      <c r="AD47" s="191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3"/>
    </row>
    <row r="48" spans="2:41" ht="15.75">
      <c r="B48" s="417"/>
      <c r="C48" s="417"/>
      <c r="D48" s="417"/>
      <c r="E48" s="418"/>
      <c r="F48" s="181"/>
      <c r="G48" s="182"/>
      <c r="H48" s="182"/>
      <c r="I48" s="182"/>
      <c r="J48" s="182"/>
      <c r="K48" s="182"/>
      <c r="L48" s="182"/>
      <c r="M48" s="182"/>
      <c r="N48" s="182"/>
      <c r="O48" s="204"/>
      <c r="P48" s="204"/>
      <c r="Q48" s="210"/>
      <c r="R48" s="194"/>
      <c r="S48" s="195"/>
      <c r="T48" s="195"/>
      <c r="U48" s="195"/>
      <c r="V48" s="196"/>
      <c r="W48" s="196"/>
      <c r="X48" s="196"/>
      <c r="Y48" s="196"/>
      <c r="Z48" s="182"/>
      <c r="AA48" s="182"/>
      <c r="AB48" s="182"/>
      <c r="AC48" s="183"/>
      <c r="AD48" s="181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3"/>
    </row>
    <row r="49" spans="2:54" ht="15.75">
      <c r="B49" s="417"/>
      <c r="C49" s="417"/>
      <c r="D49" s="417"/>
      <c r="E49" s="418"/>
      <c r="F49" s="199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R49" s="199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1"/>
      <c r="AD49" s="199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1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</row>
    <row r="50" spans="2:41" ht="15.75">
      <c r="B50" s="31"/>
      <c r="C50" s="31"/>
      <c r="D50" s="31"/>
      <c r="E50" s="186" t="s">
        <v>36</v>
      </c>
      <c r="F50" s="187"/>
      <c r="G50" s="188"/>
      <c r="H50" s="189"/>
      <c r="I50" s="188"/>
      <c r="J50" s="189"/>
      <c r="K50" s="188"/>
      <c r="L50" s="189"/>
      <c r="M50" s="188"/>
      <c r="N50" s="189"/>
      <c r="O50" s="188"/>
      <c r="P50" s="189"/>
      <c r="Q50" s="190"/>
      <c r="R50" s="187"/>
      <c r="S50" s="188"/>
      <c r="T50" s="189"/>
      <c r="U50" s="188"/>
      <c r="V50" s="189"/>
      <c r="W50" s="188"/>
      <c r="X50" s="189"/>
      <c r="Y50" s="188"/>
      <c r="Z50" s="189"/>
      <c r="AA50" s="188"/>
      <c r="AB50" s="189"/>
      <c r="AC50" s="190"/>
      <c r="AD50" s="187"/>
      <c r="AE50" s="188"/>
      <c r="AF50" s="189"/>
      <c r="AG50" s="188"/>
      <c r="AH50" s="189"/>
      <c r="AI50" s="188"/>
      <c r="AJ50" s="189"/>
      <c r="AK50" s="188"/>
      <c r="AL50" s="189"/>
      <c r="AM50" s="188"/>
      <c r="AN50" s="189"/>
      <c r="AO50" s="190"/>
    </row>
    <row r="51" spans="2:41" ht="15.75" customHeight="1">
      <c r="B51" s="417"/>
      <c r="C51" s="417"/>
      <c r="D51" s="417"/>
      <c r="E51" s="418" t="s">
        <v>37</v>
      </c>
      <c r="F51" s="191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3"/>
      <c r="R51" s="191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3"/>
      <c r="AD51" s="191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3"/>
    </row>
    <row r="52" spans="2:41" ht="15.75">
      <c r="B52" s="417"/>
      <c r="C52" s="417"/>
      <c r="D52" s="417"/>
      <c r="E52" s="418"/>
      <c r="F52" s="203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10"/>
      <c r="R52" s="194"/>
      <c r="S52" s="195"/>
      <c r="T52" s="195"/>
      <c r="U52" s="195"/>
      <c r="V52" s="195"/>
      <c r="W52" s="196"/>
      <c r="X52" s="196"/>
      <c r="Y52" s="196"/>
      <c r="Z52" s="196"/>
      <c r="AA52" s="196"/>
      <c r="AB52" s="196"/>
      <c r="AC52" s="197"/>
      <c r="AD52" s="198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7"/>
    </row>
    <row r="53" spans="2:54" ht="15.75">
      <c r="B53" s="417"/>
      <c r="C53" s="417"/>
      <c r="D53" s="417"/>
      <c r="E53" s="418"/>
      <c r="F53" s="199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1"/>
      <c r="R53" s="199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1"/>
      <c r="AD53" s="199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1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</row>
    <row r="54" spans="2:41" ht="15.75" customHeight="1">
      <c r="B54" s="417"/>
      <c r="C54" s="417"/>
      <c r="D54" s="417"/>
      <c r="E54" s="418" t="s">
        <v>38</v>
      </c>
      <c r="F54" s="191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3"/>
      <c r="R54" s="191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3"/>
      <c r="AD54" s="191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3"/>
    </row>
    <row r="55" spans="2:41" ht="15.75">
      <c r="B55" s="417"/>
      <c r="C55" s="417"/>
      <c r="D55" s="417"/>
      <c r="E55" s="418"/>
      <c r="F55" s="203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10"/>
      <c r="R55" s="194"/>
      <c r="S55" s="195"/>
      <c r="T55" s="195"/>
      <c r="U55" s="195"/>
      <c r="V55" s="195"/>
      <c r="W55" s="196"/>
      <c r="X55" s="196"/>
      <c r="Y55" s="196"/>
      <c r="Z55" s="196"/>
      <c r="AA55" s="196"/>
      <c r="AB55" s="196"/>
      <c r="AC55" s="197"/>
      <c r="AD55" s="198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7"/>
    </row>
    <row r="56" spans="2:54" ht="15.75">
      <c r="B56" s="417"/>
      <c r="C56" s="417"/>
      <c r="D56" s="417"/>
      <c r="E56" s="418"/>
      <c r="F56" s="199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199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1"/>
      <c r="AD56" s="199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1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</row>
    <row r="57" spans="2:41" ht="15.75" customHeight="1">
      <c r="B57" s="417"/>
      <c r="C57" s="417"/>
      <c r="D57" s="417"/>
      <c r="E57" s="418" t="s">
        <v>39</v>
      </c>
      <c r="F57" s="191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3"/>
      <c r="R57" s="191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3"/>
      <c r="AD57" s="191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3"/>
    </row>
    <row r="58" spans="2:41" ht="15.75">
      <c r="B58" s="417"/>
      <c r="C58" s="417"/>
      <c r="D58" s="417"/>
      <c r="E58" s="418"/>
      <c r="F58" s="181"/>
      <c r="G58" s="182"/>
      <c r="H58" s="182"/>
      <c r="I58" s="182"/>
      <c r="J58" s="182"/>
      <c r="K58" s="182"/>
      <c r="L58" s="182"/>
      <c r="M58" s="182"/>
      <c r="N58" s="182"/>
      <c r="O58" s="204"/>
      <c r="P58" s="204"/>
      <c r="Q58" s="210"/>
      <c r="R58" s="203"/>
      <c r="S58" s="204"/>
      <c r="T58" s="195"/>
      <c r="U58" s="195"/>
      <c r="V58" s="195"/>
      <c r="W58" s="195"/>
      <c r="X58" s="195"/>
      <c r="Y58" s="196"/>
      <c r="Z58" s="196"/>
      <c r="AA58" s="196"/>
      <c r="AB58" s="196"/>
      <c r="AC58" s="197"/>
      <c r="AD58" s="198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7"/>
    </row>
    <row r="59" spans="2:54" ht="15.75">
      <c r="B59" s="417"/>
      <c r="C59" s="417"/>
      <c r="D59" s="417"/>
      <c r="E59" s="418"/>
      <c r="F59" s="199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1"/>
      <c r="R59" s="199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1"/>
      <c r="AD59" s="199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1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</row>
    <row r="60" spans="2:41" ht="30">
      <c r="B60" s="31"/>
      <c r="C60" s="31"/>
      <c r="D60" s="31"/>
      <c r="E60" s="186" t="s">
        <v>41</v>
      </c>
      <c r="F60" s="187"/>
      <c r="G60" s="188"/>
      <c r="H60" s="189"/>
      <c r="I60" s="188"/>
      <c r="J60" s="189"/>
      <c r="K60" s="188"/>
      <c r="L60" s="189"/>
      <c r="M60" s="188"/>
      <c r="N60" s="189"/>
      <c r="O60" s="188"/>
      <c r="P60" s="189"/>
      <c r="Q60" s="190"/>
      <c r="R60" s="187"/>
      <c r="S60" s="188"/>
      <c r="T60" s="189"/>
      <c r="U60" s="188"/>
      <c r="V60" s="189"/>
      <c r="W60" s="188"/>
      <c r="X60" s="189"/>
      <c r="Y60" s="188"/>
      <c r="Z60" s="189"/>
      <c r="AA60" s="188"/>
      <c r="AB60" s="189"/>
      <c r="AC60" s="190"/>
      <c r="AD60" s="187"/>
      <c r="AE60" s="188"/>
      <c r="AF60" s="189"/>
      <c r="AG60" s="188"/>
      <c r="AH60" s="189"/>
      <c r="AI60" s="188"/>
      <c r="AJ60" s="189"/>
      <c r="AK60" s="188"/>
      <c r="AL60" s="189"/>
      <c r="AM60" s="188"/>
      <c r="AN60" s="189"/>
      <c r="AO60" s="190"/>
    </row>
    <row r="61" spans="2:41" ht="15.75" customHeight="1">
      <c r="B61" s="421"/>
      <c r="C61" s="421"/>
      <c r="D61" s="421"/>
      <c r="E61" s="422" t="s">
        <v>814</v>
      </c>
      <c r="F61" s="211"/>
      <c r="G61" s="212"/>
      <c r="H61" s="213"/>
      <c r="I61" s="212"/>
      <c r="J61" s="213"/>
      <c r="K61" s="212"/>
      <c r="L61" s="213"/>
      <c r="M61" s="212"/>
      <c r="N61" s="213"/>
      <c r="O61" s="212"/>
      <c r="P61" s="213"/>
      <c r="Q61" s="214"/>
      <c r="R61" s="211"/>
      <c r="S61" s="212"/>
      <c r="T61" s="213"/>
      <c r="U61" s="212"/>
      <c r="V61" s="213"/>
      <c r="W61" s="212"/>
      <c r="X61" s="213"/>
      <c r="Y61" s="212"/>
      <c r="Z61" s="213"/>
      <c r="AA61" s="212"/>
      <c r="AB61" s="213"/>
      <c r="AC61" s="214"/>
      <c r="AD61" s="211"/>
      <c r="AE61" s="212"/>
      <c r="AF61" s="213"/>
      <c r="AG61" s="212"/>
      <c r="AH61" s="213"/>
      <c r="AI61" s="212"/>
      <c r="AJ61" s="213"/>
      <c r="AK61" s="212"/>
      <c r="AL61" s="213"/>
      <c r="AM61" s="212"/>
      <c r="AN61" s="213"/>
      <c r="AO61" s="214"/>
    </row>
    <row r="62" spans="2:41" ht="15.75">
      <c r="B62" s="421"/>
      <c r="C62" s="421"/>
      <c r="D62" s="421"/>
      <c r="E62" s="422"/>
      <c r="F62" s="211"/>
      <c r="G62" s="212"/>
      <c r="H62" s="213"/>
      <c r="I62" s="212"/>
      <c r="J62" s="213"/>
      <c r="K62" s="212"/>
      <c r="L62" s="213"/>
      <c r="M62" s="212"/>
      <c r="N62" s="213"/>
      <c r="O62" s="212"/>
      <c r="P62" s="213"/>
      <c r="Q62" s="214"/>
      <c r="R62" s="211"/>
      <c r="S62" s="212"/>
      <c r="T62" s="213"/>
      <c r="U62" s="212"/>
      <c r="V62" s="213"/>
      <c r="W62" s="212"/>
      <c r="X62" s="213"/>
      <c r="Y62" s="212"/>
      <c r="Z62" s="213"/>
      <c r="AA62" s="212"/>
      <c r="AB62" s="213"/>
      <c r="AC62" s="214"/>
      <c r="AD62" s="211"/>
      <c r="AE62" s="212"/>
      <c r="AF62" s="213"/>
      <c r="AG62" s="212"/>
      <c r="AH62" s="213"/>
      <c r="AI62" s="212"/>
      <c r="AJ62" s="213"/>
      <c r="AK62" s="212"/>
      <c r="AL62" s="213"/>
      <c r="AM62" s="212"/>
      <c r="AN62" s="213"/>
      <c r="AO62" s="214"/>
    </row>
    <row r="63" spans="2:55" ht="15.75">
      <c r="B63" s="421"/>
      <c r="C63" s="421"/>
      <c r="D63" s="421"/>
      <c r="E63" s="422"/>
      <c r="F63" s="181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3"/>
      <c r="R63" s="181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3"/>
      <c r="AD63" s="181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3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</row>
    <row r="64" spans="2:41" ht="15.75">
      <c r="B64" s="31"/>
      <c r="C64" s="31"/>
      <c r="D64" s="31"/>
      <c r="E64" s="186" t="s">
        <v>44</v>
      </c>
      <c r="F64" s="187"/>
      <c r="G64" s="188"/>
      <c r="H64" s="189"/>
      <c r="I64" s="188"/>
      <c r="J64" s="189"/>
      <c r="K64" s="188"/>
      <c r="L64" s="189"/>
      <c r="M64" s="188"/>
      <c r="N64" s="189"/>
      <c r="O64" s="188"/>
      <c r="P64" s="189"/>
      <c r="Q64" s="190"/>
      <c r="R64" s="187"/>
      <c r="S64" s="188"/>
      <c r="T64" s="189"/>
      <c r="U64" s="188"/>
      <c r="V64" s="189"/>
      <c r="W64" s="188"/>
      <c r="X64" s="189"/>
      <c r="Y64" s="188"/>
      <c r="Z64" s="189"/>
      <c r="AA64" s="188"/>
      <c r="AB64" s="189"/>
      <c r="AC64" s="190"/>
      <c r="AD64" s="187"/>
      <c r="AE64" s="188"/>
      <c r="AF64" s="189"/>
      <c r="AG64" s="188"/>
      <c r="AH64" s="189"/>
      <c r="AI64" s="188"/>
      <c r="AJ64" s="189"/>
      <c r="AK64" s="188"/>
      <c r="AL64" s="189"/>
      <c r="AM64" s="188"/>
      <c r="AN64" s="189"/>
      <c r="AO64" s="190"/>
    </row>
    <row r="65" spans="2:55" ht="16.5" customHeight="1">
      <c r="B65" s="421"/>
      <c r="C65" s="421"/>
      <c r="D65" s="421"/>
      <c r="E65" s="422" t="s">
        <v>46</v>
      </c>
      <c r="F65" s="181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3"/>
      <c r="R65" s="181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3"/>
      <c r="AD65" s="181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3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</row>
    <row r="66" spans="2:55" ht="15.75">
      <c r="B66" s="421"/>
      <c r="C66" s="421"/>
      <c r="D66" s="421"/>
      <c r="E66" s="422"/>
      <c r="F66" s="181"/>
      <c r="G66" s="182"/>
      <c r="H66" s="182"/>
      <c r="I66" s="182"/>
      <c r="J66" s="182"/>
      <c r="K66" s="182"/>
      <c r="L66" s="204"/>
      <c r="M66" s="204"/>
      <c r="N66" s="204"/>
      <c r="O66" s="204"/>
      <c r="P66" s="195"/>
      <c r="Q66" s="209"/>
      <c r="R66" s="194"/>
      <c r="S66" s="195"/>
      <c r="T66" s="195"/>
      <c r="U66" s="195"/>
      <c r="V66" s="196"/>
      <c r="W66" s="196"/>
      <c r="X66" s="196"/>
      <c r="Y66" s="196"/>
      <c r="Z66" s="196"/>
      <c r="AA66" s="196"/>
      <c r="AB66" s="196"/>
      <c r="AC66" s="197"/>
      <c r="AD66" s="198"/>
      <c r="AE66" s="196"/>
      <c r="AF66" s="196"/>
      <c r="AG66" s="196"/>
      <c r="AH66" s="182"/>
      <c r="AI66" s="182"/>
      <c r="AJ66" s="182"/>
      <c r="AK66" s="182"/>
      <c r="AL66" s="182"/>
      <c r="AM66" s="182"/>
      <c r="AN66" s="182"/>
      <c r="AO66" s="183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</row>
    <row r="67" spans="2:55" ht="15.75">
      <c r="B67" s="421"/>
      <c r="C67" s="421"/>
      <c r="D67" s="421"/>
      <c r="E67" s="422"/>
      <c r="F67" s="181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3"/>
      <c r="R67" s="181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3"/>
      <c r="AD67" s="181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3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</row>
    <row r="68" spans="2:41" ht="15.75" customHeight="1">
      <c r="B68" s="417"/>
      <c r="C68" s="417"/>
      <c r="D68" s="417"/>
      <c r="E68" s="418" t="s">
        <v>47</v>
      </c>
      <c r="F68" s="191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3"/>
      <c r="R68" s="191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3"/>
      <c r="AD68" s="191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3"/>
    </row>
    <row r="69" spans="2:41" ht="15.75">
      <c r="B69" s="417"/>
      <c r="C69" s="417"/>
      <c r="D69" s="417"/>
      <c r="E69" s="418"/>
      <c r="F69" s="181"/>
      <c r="G69" s="182"/>
      <c r="H69" s="182"/>
      <c r="I69" s="182"/>
      <c r="J69" s="182"/>
      <c r="K69" s="182"/>
      <c r="L69" s="204"/>
      <c r="M69" s="204"/>
      <c r="N69" s="204"/>
      <c r="O69" s="204"/>
      <c r="P69" s="195"/>
      <c r="Q69" s="209"/>
      <c r="R69" s="194"/>
      <c r="S69" s="195"/>
      <c r="T69" s="195"/>
      <c r="U69" s="195"/>
      <c r="V69" s="196"/>
      <c r="W69" s="196"/>
      <c r="X69" s="196"/>
      <c r="Y69" s="196"/>
      <c r="Z69" s="196"/>
      <c r="AA69" s="196"/>
      <c r="AB69" s="196"/>
      <c r="AC69" s="197"/>
      <c r="AD69" s="198"/>
      <c r="AE69" s="196"/>
      <c r="AF69" s="196"/>
      <c r="AG69" s="196"/>
      <c r="AH69" s="182"/>
      <c r="AI69" s="182"/>
      <c r="AJ69" s="182"/>
      <c r="AK69" s="182"/>
      <c r="AL69" s="182"/>
      <c r="AM69" s="182"/>
      <c r="AN69" s="182"/>
      <c r="AO69" s="183"/>
    </row>
    <row r="70" spans="2:54" ht="15.75">
      <c r="B70" s="417"/>
      <c r="C70" s="417"/>
      <c r="D70" s="417"/>
      <c r="E70" s="418"/>
      <c r="F70" s="199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1"/>
      <c r="R70" s="199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1"/>
      <c r="AD70" s="199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1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</row>
    <row r="71" spans="2:41" ht="15.75" customHeight="1">
      <c r="B71" s="417"/>
      <c r="C71" s="417"/>
      <c r="D71" s="417"/>
      <c r="E71" s="418" t="s">
        <v>48</v>
      </c>
      <c r="F71" s="191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3"/>
      <c r="R71" s="191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3"/>
      <c r="AD71" s="191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3"/>
    </row>
    <row r="72" spans="2:41" ht="15.75">
      <c r="B72" s="417"/>
      <c r="C72" s="417"/>
      <c r="D72" s="417"/>
      <c r="E72" s="418"/>
      <c r="F72" s="181"/>
      <c r="G72" s="182"/>
      <c r="H72" s="182"/>
      <c r="I72" s="182"/>
      <c r="J72" s="182"/>
      <c r="K72" s="182"/>
      <c r="L72" s="204"/>
      <c r="M72" s="204"/>
      <c r="N72" s="204"/>
      <c r="O72" s="204"/>
      <c r="P72" s="195"/>
      <c r="Q72" s="209"/>
      <c r="R72" s="194"/>
      <c r="S72" s="195"/>
      <c r="T72" s="195"/>
      <c r="U72" s="195"/>
      <c r="V72" s="196"/>
      <c r="W72" s="196"/>
      <c r="X72" s="196"/>
      <c r="Y72" s="196"/>
      <c r="Z72" s="196"/>
      <c r="AA72" s="196"/>
      <c r="AB72" s="196"/>
      <c r="AC72" s="197"/>
      <c r="AD72" s="198"/>
      <c r="AE72" s="196"/>
      <c r="AF72" s="196"/>
      <c r="AG72" s="196"/>
      <c r="AH72" s="182"/>
      <c r="AI72" s="182"/>
      <c r="AJ72" s="182"/>
      <c r="AK72" s="182"/>
      <c r="AL72" s="182"/>
      <c r="AM72" s="182"/>
      <c r="AN72" s="182"/>
      <c r="AO72" s="183"/>
    </row>
    <row r="73" spans="2:54" ht="15.75">
      <c r="B73" s="417"/>
      <c r="C73" s="417"/>
      <c r="D73" s="417"/>
      <c r="E73" s="418"/>
      <c r="F73" s="199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1"/>
      <c r="R73" s="199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1"/>
      <c r="AD73" s="199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1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</row>
    <row r="74" spans="2:55" ht="15.75" customHeight="1">
      <c r="B74" s="419"/>
      <c r="C74" s="419"/>
      <c r="D74" s="419"/>
      <c r="E74" s="426" t="s">
        <v>49</v>
      </c>
      <c r="F74" s="181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3"/>
      <c r="R74" s="181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3"/>
      <c r="AD74" s="181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3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</row>
    <row r="75" spans="2:55" ht="15.75">
      <c r="B75" s="419"/>
      <c r="C75" s="419"/>
      <c r="D75" s="419"/>
      <c r="E75" s="426"/>
      <c r="F75" s="181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3"/>
      <c r="R75" s="203"/>
      <c r="S75" s="204"/>
      <c r="T75" s="204"/>
      <c r="U75" s="204"/>
      <c r="V75" s="204"/>
      <c r="W75" s="204"/>
      <c r="X75" s="195"/>
      <c r="Y75" s="195"/>
      <c r="Z75" s="195"/>
      <c r="AA75" s="195"/>
      <c r="AB75" s="196"/>
      <c r="AC75" s="197"/>
      <c r="AD75" s="198"/>
      <c r="AE75" s="196"/>
      <c r="AF75" s="196"/>
      <c r="AG75" s="196"/>
      <c r="AH75" s="182"/>
      <c r="AI75" s="182"/>
      <c r="AJ75" s="182"/>
      <c r="AK75" s="182"/>
      <c r="AL75" s="182"/>
      <c r="AM75" s="182"/>
      <c r="AN75" s="182"/>
      <c r="AO75" s="183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</row>
    <row r="76" spans="2:55" ht="15.75">
      <c r="B76" s="419"/>
      <c r="C76" s="419"/>
      <c r="D76" s="419"/>
      <c r="E76" s="426"/>
      <c r="F76" s="181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3"/>
      <c r="R76" s="181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3"/>
      <c r="AD76" s="181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3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</row>
    <row r="77" spans="2:41" ht="15.75">
      <c r="B77" s="31"/>
      <c r="C77" s="31"/>
      <c r="D77" s="31">
        <v>2</v>
      </c>
      <c r="E77" s="186" t="e">
        <f>#REF!</f>
        <v>#REF!</v>
      </c>
      <c r="F77" s="187"/>
      <c r="G77" s="188"/>
      <c r="H77" s="189"/>
      <c r="I77" s="188"/>
      <c r="J77" s="189"/>
      <c r="K77" s="188"/>
      <c r="L77" s="189"/>
      <c r="M77" s="188"/>
      <c r="N77" s="189"/>
      <c r="O77" s="188"/>
      <c r="P77" s="189"/>
      <c r="Q77" s="190"/>
      <c r="R77" s="187"/>
      <c r="S77" s="188"/>
      <c r="T77" s="189"/>
      <c r="U77" s="188"/>
      <c r="V77" s="189"/>
      <c r="W77" s="188"/>
      <c r="X77" s="189"/>
      <c r="Y77" s="188"/>
      <c r="Z77" s="189"/>
      <c r="AA77" s="188"/>
      <c r="AB77" s="189"/>
      <c r="AC77" s="190"/>
      <c r="AD77" s="187"/>
      <c r="AE77" s="188"/>
      <c r="AF77" s="189"/>
      <c r="AG77" s="188"/>
      <c r="AH77" s="189"/>
      <c r="AI77" s="188"/>
      <c r="AJ77" s="189"/>
      <c r="AK77" s="188"/>
      <c r="AL77" s="189"/>
      <c r="AM77" s="188"/>
      <c r="AN77" s="189"/>
      <c r="AO77" s="190"/>
    </row>
    <row r="78" spans="2:55" ht="15.75" customHeight="1">
      <c r="B78" s="424"/>
      <c r="C78" s="424"/>
      <c r="D78" s="424"/>
      <c r="E78" s="425" t="s">
        <v>815</v>
      </c>
      <c r="F78" s="181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3"/>
      <c r="R78" s="181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3"/>
      <c r="AD78" s="181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3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</row>
    <row r="79" spans="2:55" ht="15.75">
      <c r="B79" s="424"/>
      <c r="C79" s="424"/>
      <c r="D79" s="424"/>
      <c r="E79" s="425"/>
      <c r="F79" s="198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7"/>
      <c r="R79" s="198"/>
      <c r="S79" s="196"/>
      <c r="T79" s="196"/>
      <c r="U79" s="196"/>
      <c r="V79" s="196"/>
      <c r="W79" s="196"/>
      <c r="X79" s="182"/>
      <c r="Y79" s="182"/>
      <c r="Z79" s="182"/>
      <c r="AA79" s="182"/>
      <c r="AB79" s="182"/>
      <c r="AC79" s="183"/>
      <c r="AD79" s="181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3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</row>
    <row r="80" spans="2:55" ht="15.75">
      <c r="B80" s="424"/>
      <c r="C80" s="424"/>
      <c r="D80" s="424"/>
      <c r="E80" s="425"/>
      <c r="F80" s="181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3"/>
      <c r="R80" s="181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3"/>
      <c r="AD80" s="181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3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</row>
    <row r="81" spans="2:41" ht="15.75">
      <c r="B81" s="31"/>
      <c r="C81" s="31"/>
      <c r="D81" s="31"/>
      <c r="E81" s="186" t="s">
        <v>64</v>
      </c>
      <c r="F81" s="187"/>
      <c r="G81" s="188"/>
      <c r="H81" s="189"/>
      <c r="I81" s="188"/>
      <c r="J81" s="189"/>
      <c r="K81" s="188"/>
      <c r="L81" s="189"/>
      <c r="M81" s="188"/>
      <c r="N81" s="189"/>
      <c r="O81" s="188"/>
      <c r="P81" s="189"/>
      <c r="Q81" s="190"/>
      <c r="R81" s="187"/>
      <c r="S81" s="188"/>
      <c r="T81" s="189"/>
      <c r="U81" s="188"/>
      <c r="V81" s="189"/>
      <c r="W81" s="188"/>
      <c r="X81" s="189"/>
      <c r="Y81" s="188"/>
      <c r="Z81" s="189"/>
      <c r="AA81" s="188"/>
      <c r="AB81" s="189"/>
      <c r="AC81" s="190"/>
      <c r="AD81" s="187"/>
      <c r="AE81" s="188"/>
      <c r="AF81" s="189"/>
      <c r="AG81" s="188"/>
      <c r="AH81" s="189"/>
      <c r="AI81" s="188"/>
      <c r="AJ81" s="189"/>
      <c r="AK81" s="188"/>
      <c r="AL81" s="189"/>
      <c r="AM81" s="188"/>
      <c r="AN81" s="189"/>
      <c r="AO81" s="190"/>
    </row>
    <row r="82" spans="2:41" ht="30">
      <c r="B82" s="31"/>
      <c r="C82" s="31"/>
      <c r="D82" s="31"/>
      <c r="E82" s="186" t="s">
        <v>65</v>
      </c>
      <c r="F82" s="187"/>
      <c r="G82" s="188"/>
      <c r="H82" s="189"/>
      <c r="I82" s="188"/>
      <c r="J82" s="189"/>
      <c r="K82" s="188"/>
      <c r="L82" s="189"/>
      <c r="M82" s="188"/>
      <c r="N82" s="189"/>
      <c r="O82" s="188"/>
      <c r="P82" s="189"/>
      <c r="Q82" s="190"/>
      <c r="R82" s="187"/>
      <c r="S82" s="188"/>
      <c r="T82" s="189"/>
      <c r="U82" s="188"/>
      <c r="V82" s="189"/>
      <c r="W82" s="188"/>
      <c r="X82" s="189"/>
      <c r="Y82" s="188"/>
      <c r="Z82" s="189"/>
      <c r="AA82" s="188"/>
      <c r="AB82" s="189"/>
      <c r="AC82" s="190"/>
      <c r="AD82" s="187"/>
      <c r="AE82" s="188"/>
      <c r="AF82" s="189"/>
      <c r="AG82" s="188"/>
      <c r="AH82" s="189"/>
      <c r="AI82" s="188"/>
      <c r="AJ82" s="189"/>
      <c r="AK82" s="188"/>
      <c r="AL82" s="189"/>
      <c r="AM82" s="188"/>
      <c r="AN82" s="189"/>
      <c r="AO82" s="190"/>
    </row>
    <row r="83" spans="2:55" ht="17.25" customHeight="1">
      <c r="B83" s="421"/>
      <c r="C83" s="421"/>
      <c r="D83" s="421"/>
      <c r="E83" s="422" t="s">
        <v>66</v>
      </c>
      <c r="F83" s="181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3"/>
      <c r="R83" s="181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3"/>
      <c r="AD83" s="181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3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</row>
    <row r="84" spans="2:55" ht="15.75">
      <c r="B84" s="421"/>
      <c r="C84" s="421"/>
      <c r="D84" s="421"/>
      <c r="E84" s="422"/>
      <c r="F84" s="203"/>
      <c r="G84" s="204"/>
      <c r="H84" s="204"/>
      <c r="I84" s="204"/>
      <c r="J84" s="204"/>
      <c r="K84" s="195"/>
      <c r="L84" s="195"/>
      <c r="M84" s="195"/>
      <c r="N84" s="195"/>
      <c r="O84" s="195"/>
      <c r="P84" s="196"/>
      <c r="Q84" s="197"/>
      <c r="R84" s="198"/>
      <c r="S84" s="196"/>
      <c r="T84" s="196"/>
      <c r="U84" s="196"/>
      <c r="V84" s="196"/>
      <c r="W84" s="196"/>
      <c r="X84" s="196"/>
      <c r="Y84" s="196"/>
      <c r="Z84" s="196"/>
      <c r="AA84" s="196"/>
      <c r="AB84" s="182"/>
      <c r="AC84" s="183"/>
      <c r="AD84" s="181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3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</row>
    <row r="85" spans="2:55" ht="15.75">
      <c r="B85" s="421"/>
      <c r="C85" s="421"/>
      <c r="D85" s="421"/>
      <c r="E85" s="422"/>
      <c r="F85" s="181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3"/>
      <c r="R85" s="181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3"/>
      <c r="AD85" s="181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3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</row>
    <row r="86" spans="2:41" ht="15.75" customHeight="1">
      <c r="B86" s="417"/>
      <c r="C86" s="417"/>
      <c r="D86" s="417"/>
      <c r="E86" s="418" t="s">
        <v>67</v>
      </c>
      <c r="F86" s="191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3"/>
      <c r="R86" s="191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3"/>
      <c r="AD86" s="191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3"/>
    </row>
    <row r="87" spans="2:41" ht="15.75">
      <c r="B87" s="417"/>
      <c r="C87" s="417"/>
      <c r="D87" s="417"/>
      <c r="E87" s="418"/>
      <c r="F87" s="203"/>
      <c r="G87" s="204"/>
      <c r="H87" s="204"/>
      <c r="I87" s="204"/>
      <c r="J87" s="204"/>
      <c r="K87" s="195"/>
      <c r="L87" s="195"/>
      <c r="M87" s="195"/>
      <c r="N87" s="195"/>
      <c r="O87" s="195"/>
      <c r="P87" s="196"/>
      <c r="Q87" s="197"/>
      <c r="R87" s="198"/>
      <c r="S87" s="196"/>
      <c r="T87" s="196"/>
      <c r="U87" s="196"/>
      <c r="V87" s="196"/>
      <c r="W87" s="196"/>
      <c r="X87" s="196"/>
      <c r="Y87" s="196"/>
      <c r="Z87" s="196"/>
      <c r="AA87" s="196"/>
      <c r="AB87" s="182"/>
      <c r="AC87" s="183"/>
      <c r="AD87" s="181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3"/>
    </row>
    <row r="88" spans="2:54" ht="15.75">
      <c r="B88" s="417"/>
      <c r="C88" s="417"/>
      <c r="D88" s="417"/>
      <c r="E88" s="418"/>
      <c r="F88" s="199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1"/>
      <c r="R88" s="199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1"/>
      <c r="AD88" s="199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1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</row>
    <row r="89" spans="2:55" ht="15.75" customHeight="1">
      <c r="B89" s="417"/>
      <c r="C89" s="417"/>
      <c r="D89" s="417"/>
      <c r="E89" s="423" t="s">
        <v>68</v>
      </c>
      <c r="F89" s="181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3"/>
      <c r="R89" s="181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3"/>
      <c r="AD89" s="181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3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</row>
    <row r="90" spans="2:55" ht="15.75">
      <c r="B90" s="417"/>
      <c r="C90" s="417"/>
      <c r="D90" s="417"/>
      <c r="E90" s="423"/>
      <c r="F90" s="203"/>
      <c r="G90" s="204"/>
      <c r="H90" s="204"/>
      <c r="I90" s="204"/>
      <c r="J90" s="204"/>
      <c r="K90" s="195"/>
      <c r="L90" s="195"/>
      <c r="M90" s="195"/>
      <c r="N90" s="195"/>
      <c r="O90" s="195"/>
      <c r="P90" s="196"/>
      <c r="Q90" s="197"/>
      <c r="R90" s="198"/>
      <c r="S90" s="196"/>
      <c r="T90" s="196"/>
      <c r="U90" s="196"/>
      <c r="V90" s="196"/>
      <c r="W90" s="196"/>
      <c r="X90" s="196"/>
      <c r="Y90" s="196"/>
      <c r="Z90" s="196"/>
      <c r="AA90" s="196"/>
      <c r="AB90" s="182"/>
      <c r="AC90" s="183"/>
      <c r="AD90" s="181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3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</row>
    <row r="91" spans="2:55" ht="15.75">
      <c r="B91" s="417"/>
      <c r="C91" s="417"/>
      <c r="D91" s="417"/>
      <c r="E91" s="423"/>
      <c r="F91" s="181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3"/>
      <c r="R91" s="181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3"/>
      <c r="AD91" s="181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3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</row>
    <row r="92" spans="2:41" ht="15.75" customHeight="1">
      <c r="B92" s="417"/>
      <c r="C92" s="417"/>
      <c r="D92" s="417"/>
      <c r="E92" s="418" t="s">
        <v>69</v>
      </c>
      <c r="F92" s="191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3"/>
      <c r="R92" s="191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3"/>
      <c r="AD92" s="191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3"/>
    </row>
    <row r="93" spans="2:41" ht="15.75">
      <c r="B93" s="417"/>
      <c r="C93" s="417"/>
      <c r="D93" s="417"/>
      <c r="E93" s="418"/>
      <c r="F93" s="203"/>
      <c r="G93" s="204"/>
      <c r="H93" s="204"/>
      <c r="I93" s="204"/>
      <c r="J93" s="204"/>
      <c r="K93" s="195"/>
      <c r="L93" s="195"/>
      <c r="M93" s="195"/>
      <c r="N93" s="195"/>
      <c r="O93" s="195"/>
      <c r="P93" s="196"/>
      <c r="Q93" s="197"/>
      <c r="R93" s="198"/>
      <c r="S93" s="196"/>
      <c r="T93" s="196"/>
      <c r="U93" s="196"/>
      <c r="V93" s="196"/>
      <c r="W93" s="196"/>
      <c r="X93" s="196"/>
      <c r="Y93" s="196"/>
      <c r="Z93" s="196"/>
      <c r="AA93" s="196"/>
      <c r="AB93" s="182"/>
      <c r="AC93" s="183"/>
      <c r="AD93" s="181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3"/>
    </row>
    <row r="94" spans="2:54" ht="15.75">
      <c r="B94" s="417"/>
      <c r="C94" s="417"/>
      <c r="D94" s="417"/>
      <c r="E94" s="418"/>
      <c r="F94" s="199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1"/>
      <c r="R94" s="199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1"/>
      <c r="AD94" s="199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1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</row>
    <row r="95" spans="2:55" ht="15.75" customHeight="1">
      <c r="B95" s="417"/>
      <c r="C95" s="417"/>
      <c r="D95" s="417"/>
      <c r="E95" s="423" t="s">
        <v>70</v>
      </c>
      <c r="F95" s="181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3"/>
      <c r="R95" s="181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3"/>
      <c r="AD95" s="181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3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</row>
    <row r="96" spans="2:55" ht="15.75">
      <c r="B96" s="417"/>
      <c r="C96" s="417"/>
      <c r="D96" s="417"/>
      <c r="E96" s="423"/>
      <c r="F96" s="203"/>
      <c r="G96" s="204"/>
      <c r="H96" s="204"/>
      <c r="I96" s="204"/>
      <c r="J96" s="204"/>
      <c r="K96" s="204"/>
      <c r="L96" s="204"/>
      <c r="M96" s="195"/>
      <c r="N96" s="195"/>
      <c r="O96" s="195"/>
      <c r="P96" s="195"/>
      <c r="Q96" s="209"/>
      <c r="R96" s="198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7"/>
      <c r="AD96" s="181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3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</row>
    <row r="97" spans="2:55" ht="15.75">
      <c r="B97" s="417"/>
      <c r="C97" s="417"/>
      <c r="D97" s="417"/>
      <c r="E97" s="423"/>
      <c r="F97" s="181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3"/>
      <c r="R97" s="181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3"/>
      <c r="AD97" s="181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3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</row>
    <row r="98" spans="2:41" ht="15.75" customHeight="1">
      <c r="B98" s="417"/>
      <c r="C98" s="417"/>
      <c r="D98" s="417"/>
      <c r="E98" s="418" t="s">
        <v>71</v>
      </c>
      <c r="F98" s="191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3"/>
      <c r="R98" s="191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3"/>
      <c r="AD98" s="191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3"/>
    </row>
    <row r="99" spans="2:41" ht="15.75">
      <c r="B99" s="417"/>
      <c r="C99" s="417"/>
      <c r="D99" s="417"/>
      <c r="E99" s="418"/>
      <c r="F99" s="203"/>
      <c r="G99" s="204"/>
      <c r="H99" s="204"/>
      <c r="I99" s="204"/>
      <c r="J99" s="204"/>
      <c r="K99" s="204"/>
      <c r="L99" s="204"/>
      <c r="M99" s="195"/>
      <c r="N99" s="195"/>
      <c r="O99" s="195"/>
      <c r="P99" s="195"/>
      <c r="Q99" s="209"/>
      <c r="R99" s="198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7"/>
      <c r="AD99" s="181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3"/>
    </row>
    <row r="100" spans="2:54" ht="15.75">
      <c r="B100" s="417"/>
      <c r="C100" s="417"/>
      <c r="D100" s="417"/>
      <c r="E100" s="418"/>
      <c r="F100" s="199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1"/>
      <c r="R100" s="199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1"/>
      <c r="AD100" s="199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1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</row>
    <row r="101" spans="2:55" ht="15.75" customHeight="1">
      <c r="B101" s="417"/>
      <c r="C101" s="417"/>
      <c r="D101" s="417"/>
      <c r="E101" s="423" t="s">
        <v>72</v>
      </c>
      <c r="F101" s="181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3"/>
      <c r="R101" s="181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3"/>
      <c r="AD101" s="181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3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</row>
    <row r="102" spans="2:55" ht="15.75">
      <c r="B102" s="417"/>
      <c r="C102" s="417"/>
      <c r="D102" s="417"/>
      <c r="E102" s="423"/>
      <c r="F102" s="203"/>
      <c r="G102" s="204"/>
      <c r="H102" s="204"/>
      <c r="I102" s="204"/>
      <c r="J102" s="204"/>
      <c r="K102" s="204"/>
      <c r="L102" s="204"/>
      <c r="M102" s="195"/>
      <c r="N102" s="195"/>
      <c r="O102" s="195"/>
      <c r="P102" s="195"/>
      <c r="Q102" s="209"/>
      <c r="R102" s="198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7"/>
      <c r="AD102" s="181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3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</row>
    <row r="103" spans="2:55" ht="15.75">
      <c r="B103" s="417"/>
      <c r="C103" s="417"/>
      <c r="D103" s="417"/>
      <c r="E103" s="423"/>
      <c r="F103" s="181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3"/>
      <c r="R103" s="181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3"/>
      <c r="AD103" s="181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3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</row>
    <row r="104" spans="2:41" ht="15.75" customHeight="1">
      <c r="B104" s="417"/>
      <c r="C104" s="417"/>
      <c r="D104" s="417"/>
      <c r="E104" s="418" t="s">
        <v>73</v>
      </c>
      <c r="F104" s="191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3"/>
      <c r="R104" s="191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3"/>
      <c r="AD104" s="191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3"/>
    </row>
    <row r="105" spans="2:41" ht="15.75">
      <c r="B105" s="417"/>
      <c r="C105" s="417"/>
      <c r="D105" s="417"/>
      <c r="E105" s="418"/>
      <c r="F105" s="203"/>
      <c r="G105" s="204"/>
      <c r="H105" s="204"/>
      <c r="I105" s="204"/>
      <c r="J105" s="204"/>
      <c r="K105" s="204"/>
      <c r="L105" s="204"/>
      <c r="M105" s="195"/>
      <c r="N105" s="195"/>
      <c r="O105" s="195"/>
      <c r="P105" s="195"/>
      <c r="Q105" s="209"/>
      <c r="R105" s="198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7"/>
      <c r="AD105" s="181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3"/>
    </row>
    <row r="106" spans="2:54" ht="15.75">
      <c r="B106" s="417"/>
      <c r="C106" s="417"/>
      <c r="D106" s="417"/>
      <c r="E106" s="418"/>
      <c r="F106" s="199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1"/>
      <c r="R106" s="199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1"/>
      <c r="AD106" s="199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1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</row>
    <row r="107" spans="2:55" ht="15.75" customHeight="1">
      <c r="B107" s="417"/>
      <c r="C107" s="417"/>
      <c r="D107" s="417"/>
      <c r="E107" s="423" t="s">
        <v>74</v>
      </c>
      <c r="F107" s="181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3"/>
      <c r="R107" s="181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3"/>
      <c r="AD107" s="181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3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</row>
    <row r="108" spans="2:55" ht="15.75">
      <c r="B108" s="417"/>
      <c r="C108" s="417"/>
      <c r="D108" s="417"/>
      <c r="E108" s="423"/>
      <c r="F108" s="203"/>
      <c r="G108" s="204"/>
      <c r="H108" s="204"/>
      <c r="I108" s="204"/>
      <c r="J108" s="204"/>
      <c r="K108" s="204"/>
      <c r="L108" s="204"/>
      <c r="M108" s="204"/>
      <c r="N108" s="204"/>
      <c r="O108" s="195"/>
      <c r="P108" s="195"/>
      <c r="Q108" s="209"/>
      <c r="R108" s="194"/>
      <c r="S108" s="195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7"/>
      <c r="AD108" s="198"/>
      <c r="AE108" s="196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3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</row>
    <row r="109" spans="2:55" ht="15.75">
      <c r="B109" s="417"/>
      <c r="C109" s="417"/>
      <c r="D109" s="417"/>
      <c r="E109" s="423"/>
      <c r="F109" s="181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3"/>
      <c r="R109" s="181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3"/>
      <c r="AD109" s="181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3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</row>
    <row r="110" spans="2:41" ht="15.75" customHeight="1">
      <c r="B110" s="417"/>
      <c r="C110" s="417"/>
      <c r="D110" s="417"/>
      <c r="E110" s="418" t="s">
        <v>75</v>
      </c>
      <c r="F110" s="191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3"/>
      <c r="R110" s="191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3"/>
      <c r="AD110" s="191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3"/>
    </row>
    <row r="111" spans="2:41" ht="15.75">
      <c r="B111" s="417"/>
      <c r="C111" s="417"/>
      <c r="D111" s="417"/>
      <c r="E111" s="418"/>
      <c r="F111" s="203"/>
      <c r="G111" s="204"/>
      <c r="H111" s="204"/>
      <c r="I111" s="204"/>
      <c r="J111" s="204"/>
      <c r="K111" s="204"/>
      <c r="L111" s="204"/>
      <c r="M111" s="204"/>
      <c r="N111" s="204"/>
      <c r="O111" s="195"/>
      <c r="P111" s="195"/>
      <c r="Q111" s="209"/>
      <c r="R111" s="194"/>
      <c r="S111" s="195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7"/>
      <c r="AD111" s="198"/>
      <c r="AE111" s="196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3"/>
    </row>
    <row r="112" spans="2:54" ht="15.75">
      <c r="B112" s="417"/>
      <c r="C112" s="417"/>
      <c r="D112" s="417"/>
      <c r="E112" s="418"/>
      <c r="F112" s="199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1"/>
      <c r="R112" s="199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1"/>
      <c r="AD112" s="199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1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</row>
    <row r="113" spans="2:55" ht="15.75" customHeight="1">
      <c r="B113" s="417"/>
      <c r="C113" s="417"/>
      <c r="D113" s="417"/>
      <c r="E113" s="423" t="s">
        <v>76</v>
      </c>
      <c r="F113" s="181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3"/>
      <c r="R113" s="181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3"/>
      <c r="AD113" s="181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3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</row>
    <row r="114" spans="2:55" ht="15.75">
      <c r="B114" s="417"/>
      <c r="C114" s="417"/>
      <c r="D114" s="417"/>
      <c r="E114" s="423"/>
      <c r="F114" s="203"/>
      <c r="G114" s="204"/>
      <c r="H114" s="204"/>
      <c r="I114" s="204"/>
      <c r="J114" s="204"/>
      <c r="K114" s="204"/>
      <c r="L114" s="204"/>
      <c r="M114" s="204"/>
      <c r="N114" s="204"/>
      <c r="O114" s="195"/>
      <c r="P114" s="195"/>
      <c r="Q114" s="209"/>
      <c r="R114" s="194"/>
      <c r="S114" s="195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7"/>
      <c r="AD114" s="198"/>
      <c r="AE114" s="196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3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</row>
    <row r="115" spans="2:55" ht="15.75">
      <c r="B115" s="417"/>
      <c r="C115" s="417"/>
      <c r="D115" s="417"/>
      <c r="E115" s="423"/>
      <c r="F115" s="181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3"/>
      <c r="R115" s="181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3"/>
      <c r="AD115" s="181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3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</row>
    <row r="116" spans="2:41" ht="15.75" customHeight="1">
      <c r="B116" s="417"/>
      <c r="C116" s="417"/>
      <c r="D116" s="417"/>
      <c r="E116" s="418" t="s">
        <v>77</v>
      </c>
      <c r="F116" s="191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3"/>
      <c r="R116" s="191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3"/>
      <c r="AD116" s="191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3"/>
    </row>
    <row r="117" spans="2:41" ht="15.75">
      <c r="B117" s="417"/>
      <c r="C117" s="417"/>
      <c r="D117" s="417"/>
      <c r="E117" s="418"/>
      <c r="F117" s="203"/>
      <c r="G117" s="204"/>
      <c r="H117" s="204"/>
      <c r="I117" s="204"/>
      <c r="J117" s="204"/>
      <c r="K117" s="204"/>
      <c r="L117" s="204"/>
      <c r="M117" s="204"/>
      <c r="N117" s="204"/>
      <c r="O117" s="195"/>
      <c r="P117" s="195"/>
      <c r="Q117" s="209"/>
      <c r="R117" s="194"/>
      <c r="S117" s="195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7"/>
      <c r="AD117" s="198"/>
      <c r="AE117" s="196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3"/>
    </row>
    <row r="118" spans="2:54" ht="15.75">
      <c r="B118" s="417"/>
      <c r="C118" s="417"/>
      <c r="D118" s="417"/>
      <c r="E118" s="418"/>
      <c r="F118" s="199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1"/>
      <c r="R118" s="199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1"/>
      <c r="AD118" s="199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1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</row>
    <row r="119" spans="2:41" ht="15.75">
      <c r="B119" s="31"/>
      <c r="C119" s="31"/>
      <c r="D119" s="31"/>
      <c r="E119" s="186" t="s">
        <v>79</v>
      </c>
      <c r="F119" s="187"/>
      <c r="G119" s="188"/>
      <c r="H119" s="189"/>
      <c r="I119" s="188"/>
      <c r="J119" s="189"/>
      <c r="K119" s="188"/>
      <c r="L119" s="189"/>
      <c r="M119" s="188"/>
      <c r="N119" s="189"/>
      <c r="O119" s="188"/>
      <c r="P119" s="189"/>
      <c r="Q119" s="190"/>
      <c r="R119" s="187"/>
      <c r="S119" s="188"/>
      <c r="T119" s="189"/>
      <c r="U119" s="188"/>
      <c r="V119" s="189"/>
      <c r="W119" s="188"/>
      <c r="X119" s="189"/>
      <c r="Y119" s="188"/>
      <c r="Z119" s="189"/>
      <c r="AA119" s="188"/>
      <c r="AB119" s="189"/>
      <c r="AC119" s="190"/>
      <c r="AD119" s="187"/>
      <c r="AE119" s="188"/>
      <c r="AF119" s="189"/>
      <c r="AG119" s="188"/>
      <c r="AH119" s="189"/>
      <c r="AI119" s="188"/>
      <c r="AJ119" s="189"/>
      <c r="AK119" s="188"/>
      <c r="AL119" s="189"/>
      <c r="AM119" s="188"/>
      <c r="AN119" s="189"/>
      <c r="AO119" s="190"/>
    </row>
    <row r="120" spans="2:55" ht="15.75" customHeight="1">
      <c r="B120" s="421"/>
      <c r="C120" s="421"/>
      <c r="D120" s="421"/>
      <c r="E120" s="422" t="s">
        <v>816</v>
      </c>
      <c r="F120" s="216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8"/>
      <c r="R120" s="216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8"/>
      <c r="AD120" s="216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8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5"/>
    </row>
    <row r="121" spans="2:55" ht="15.75">
      <c r="B121" s="421"/>
      <c r="C121" s="421"/>
      <c r="D121" s="421"/>
      <c r="E121" s="422"/>
      <c r="F121" s="220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2"/>
      <c r="R121" s="223"/>
      <c r="S121" s="224"/>
      <c r="T121" s="224"/>
      <c r="U121" s="224"/>
      <c r="V121" s="225"/>
      <c r="W121" s="225"/>
      <c r="X121" s="225"/>
      <c r="Y121" s="225"/>
      <c r="Z121" s="225"/>
      <c r="AA121" s="225"/>
      <c r="AB121" s="225"/>
      <c r="AC121" s="226"/>
      <c r="AD121" s="227"/>
      <c r="AE121" s="225"/>
      <c r="AF121" s="225"/>
      <c r="AG121" s="225"/>
      <c r="AH121" s="217"/>
      <c r="AI121" s="217"/>
      <c r="AJ121" s="217"/>
      <c r="AK121" s="217"/>
      <c r="AL121" s="217"/>
      <c r="AM121" s="217"/>
      <c r="AN121" s="217"/>
      <c r="AO121" s="218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5"/>
    </row>
    <row r="122" spans="2:55" ht="15.75">
      <c r="B122" s="421"/>
      <c r="C122" s="421"/>
      <c r="D122" s="421"/>
      <c r="E122" s="422"/>
      <c r="F122" s="216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8"/>
      <c r="R122" s="216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8"/>
      <c r="AD122" s="216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8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5"/>
    </row>
    <row r="123" spans="2:41" ht="15.75" customHeight="1">
      <c r="B123" s="417"/>
      <c r="C123" s="417"/>
      <c r="D123" s="417"/>
      <c r="E123" s="418" t="s">
        <v>817</v>
      </c>
      <c r="F123" s="191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3"/>
      <c r="R123" s="191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3"/>
      <c r="AD123" s="191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3"/>
    </row>
    <row r="124" spans="2:41" ht="15.75">
      <c r="B124" s="417"/>
      <c r="C124" s="417"/>
      <c r="D124" s="417"/>
      <c r="E124" s="418"/>
      <c r="F124" s="203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9"/>
      <c r="R124" s="194"/>
      <c r="S124" s="195"/>
      <c r="T124" s="195"/>
      <c r="U124" s="195"/>
      <c r="V124" s="225"/>
      <c r="W124" s="225"/>
      <c r="X124" s="225"/>
      <c r="Y124" s="225"/>
      <c r="Z124" s="225"/>
      <c r="AA124" s="225"/>
      <c r="AB124" s="225"/>
      <c r="AC124" s="226"/>
      <c r="AD124" s="227"/>
      <c r="AE124" s="225"/>
      <c r="AF124" s="225"/>
      <c r="AG124" s="225"/>
      <c r="AH124" s="182"/>
      <c r="AI124" s="182"/>
      <c r="AJ124" s="182"/>
      <c r="AK124" s="182"/>
      <c r="AL124" s="182"/>
      <c r="AM124" s="182"/>
      <c r="AN124" s="182"/>
      <c r="AO124" s="183"/>
    </row>
    <row r="125" spans="2:54" ht="15.75">
      <c r="B125" s="417"/>
      <c r="C125" s="417"/>
      <c r="D125" s="417"/>
      <c r="E125" s="418"/>
      <c r="F125" s="199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1"/>
      <c r="R125" s="199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1"/>
      <c r="AD125" s="199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1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</row>
    <row r="126" spans="2:55" ht="15.75" customHeight="1">
      <c r="B126" s="417"/>
      <c r="C126" s="417"/>
      <c r="D126" s="417"/>
      <c r="E126" s="423" t="s">
        <v>818</v>
      </c>
      <c r="F126" s="181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3"/>
      <c r="R126" s="181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3"/>
      <c r="AD126" s="181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3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</row>
    <row r="127" spans="2:55" ht="15.75">
      <c r="B127" s="417"/>
      <c r="C127" s="417"/>
      <c r="D127" s="417"/>
      <c r="E127" s="423"/>
      <c r="F127" s="203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9"/>
      <c r="R127" s="194"/>
      <c r="S127" s="195"/>
      <c r="T127" s="195"/>
      <c r="U127" s="195"/>
      <c r="V127" s="225"/>
      <c r="W127" s="225"/>
      <c r="X127" s="225"/>
      <c r="Y127" s="225"/>
      <c r="Z127" s="225"/>
      <c r="AA127" s="225"/>
      <c r="AB127" s="225"/>
      <c r="AC127" s="226"/>
      <c r="AD127" s="227"/>
      <c r="AE127" s="225"/>
      <c r="AF127" s="225"/>
      <c r="AG127" s="225"/>
      <c r="AH127" s="182"/>
      <c r="AI127" s="182"/>
      <c r="AJ127" s="182"/>
      <c r="AK127" s="182"/>
      <c r="AL127" s="182"/>
      <c r="AM127" s="182"/>
      <c r="AN127" s="182"/>
      <c r="AO127" s="183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</row>
    <row r="128" spans="2:55" ht="15.75">
      <c r="B128" s="417"/>
      <c r="C128" s="417"/>
      <c r="D128" s="417"/>
      <c r="E128" s="423"/>
      <c r="F128" s="181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3"/>
      <c r="R128" s="181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3"/>
      <c r="AD128" s="181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3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</row>
    <row r="129" spans="2:41" ht="15.75" customHeight="1">
      <c r="B129" s="417"/>
      <c r="C129" s="417"/>
      <c r="D129" s="417"/>
      <c r="E129" s="418" t="s">
        <v>819</v>
      </c>
      <c r="F129" s="191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3"/>
      <c r="R129" s="191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3"/>
      <c r="AD129" s="191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3"/>
    </row>
    <row r="130" spans="2:41" ht="15.75">
      <c r="B130" s="417"/>
      <c r="C130" s="417"/>
      <c r="D130" s="417"/>
      <c r="E130" s="418"/>
      <c r="F130" s="203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9"/>
      <c r="R130" s="194"/>
      <c r="S130" s="195"/>
      <c r="T130" s="195"/>
      <c r="U130" s="195"/>
      <c r="V130" s="225"/>
      <c r="W130" s="225"/>
      <c r="X130" s="225"/>
      <c r="Y130" s="225"/>
      <c r="Z130" s="225"/>
      <c r="AA130" s="225"/>
      <c r="AB130" s="225"/>
      <c r="AC130" s="226"/>
      <c r="AD130" s="227"/>
      <c r="AE130" s="225"/>
      <c r="AF130" s="225"/>
      <c r="AG130" s="225"/>
      <c r="AH130" s="182"/>
      <c r="AI130" s="182"/>
      <c r="AJ130" s="182"/>
      <c r="AK130" s="182"/>
      <c r="AL130" s="182"/>
      <c r="AM130" s="182"/>
      <c r="AN130" s="182"/>
      <c r="AO130" s="183"/>
    </row>
    <row r="131" spans="2:54" ht="15.75">
      <c r="B131" s="417"/>
      <c r="C131" s="417"/>
      <c r="D131" s="417"/>
      <c r="E131" s="418"/>
      <c r="F131" s="199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1"/>
      <c r="R131" s="199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1"/>
      <c r="AD131" s="199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1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</row>
    <row r="132" spans="2:55" ht="15.75" customHeight="1">
      <c r="B132" s="417"/>
      <c r="C132" s="417"/>
      <c r="D132" s="417"/>
      <c r="E132" s="423" t="s">
        <v>820</v>
      </c>
      <c r="F132" s="181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3"/>
      <c r="R132" s="181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3"/>
      <c r="AD132" s="181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3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</row>
    <row r="133" spans="2:55" ht="15.75">
      <c r="B133" s="417"/>
      <c r="C133" s="417"/>
      <c r="D133" s="417"/>
      <c r="E133" s="423"/>
      <c r="F133" s="220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2"/>
      <c r="R133" s="223"/>
      <c r="S133" s="224"/>
      <c r="T133" s="224"/>
      <c r="U133" s="224"/>
      <c r="V133" s="225"/>
      <c r="W133" s="225"/>
      <c r="X133" s="225"/>
      <c r="Y133" s="225"/>
      <c r="Z133" s="225"/>
      <c r="AA133" s="225"/>
      <c r="AB133" s="225"/>
      <c r="AC133" s="226"/>
      <c r="AD133" s="227"/>
      <c r="AE133" s="225"/>
      <c r="AF133" s="225"/>
      <c r="AG133" s="225"/>
      <c r="AH133" s="182"/>
      <c r="AI133" s="182"/>
      <c r="AJ133" s="182"/>
      <c r="AK133" s="182"/>
      <c r="AL133" s="182"/>
      <c r="AM133" s="182"/>
      <c r="AN133" s="182"/>
      <c r="AO133" s="183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</row>
    <row r="134" spans="2:55" ht="15.75">
      <c r="B134" s="417"/>
      <c r="C134" s="417"/>
      <c r="D134" s="417"/>
      <c r="E134" s="423"/>
      <c r="F134" s="181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3"/>
      <c r="R134" s="181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3"/>
      <c r="AD134" s="181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3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</row>
    <row r="135" spans="2:41" ht="15.75" customHeight="1">
      <c r="B135" s="417"/>
      <c r="C135" s="417"/>
      <c r="D135" s="417"/>
      <c r="E135" s="418" t="s">
        <v>85</v>
      </c>
      <c r="F135" s="191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3"/>
      <c r="R135" s="191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3"/>
      <c r="AD135" s="191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3"/>
    </row>
    <row r="136" spans="2:41" ht="15.75">
      <c r="B136" s="417"/>
      <c r="C136" s="417"/>
      <c r="D136" s="417"/>
      <c r="E136" s="418"/>
      <c r="F136" s="220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2"/>
      <c r="R136" s="223"/>
      <c r="S136" s="224"/>
      <c r="T136" s="224"/>
      <c r="U136" s="224"/>
      <c r="V136" s="225"/>
      <c r="W136" s="225"/>
      <c r="X136" s="225"/>
      <c r="Y136" s="225"/>
      <c r="Z136" s="225"/>
      <c r="AA136" s="225"/>
      <c r="AB136" s="225"/>
      <c r="AC136" s="226"/>
      <c r="AD136" s="227"/>
      <c r="AE136" s="225"/>
      <c r="AF136" s="225"/>
      <c r="AG136" s="225"/>
      <c r="AH136" s="182"/>
      <c r="AI136" s="182"/>
      <c r="AJ136" s="182"/>
      <c r="AK136" s="182"/>
      <c r="AL136" s="182"/>
      <c r="AM136" s="182"/>
      <c r="AN136" s="182"/>
      <c r="AO136" s="183"/>
    </row>
    <row r="137" spans="2:54" ht="15.75">
      <c r="B137" s="417"/>
      <c r="C137" s="417"/>
      <c r="D137" s="417"/>
      <c r="E137" s="418"/>
      <c r="F137" s="199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1"/>
      <c r="R137" s="199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1"/>
      <c r="AD137" s="199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1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</row>
    <row r="138" spans="2:55" ht="15.75" customHeight="1">
      <c r="B138" s="417"/>
      <c r="C138" s="417"/>
      <c r="D138" s="417"/>
      <c r="E138" s="423" t="s">
        <v>821</v>
      </c>
      <c r="F138" s="181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3"/>
      <c r="R138" s="181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3"/>
      <c r="AD138" s="181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3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</row>
    <row r="139" spans="2:55" ht="15.75">
      <c r="B139" s="417"/>
      <c r="C139" s="417"/>
      <c r="D139" s="417"/>
      <c r="E139" s="423"/>
      <c r="F139" s="220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2"/>
      <c r="R139" s="223"/>
      <c r="S139" s="224"/>
      <c r="T139" s="224"/>
      <c r="U139" s="224"/>
      <c r="V139" s="225"/>
      <c r="W139" s="225"/>
      <c r="X139" s="225"/>
      <c r="Y139" s="225"/>
      <c r="Z139" s="225"/>
      <c r="AA139" s="225"/>
      <c r="AB139" s="225"/>
      <c r="AC139" s="226"/>
      <c r="AD139" s="227"/>
      <c r="AE139" s="225"/>
      <c r="AF139" s="225"/>
      <c r="AG139" s="225"/>
      <c r="AH139" s="182"/>
      <c r="AI139" s="182"/>
      <c r="AJ139" s="182"/>
      <c r="AK139" s="182"/>
      <c r="AL139" s="182"/>
      <c r="AM139" s="182"/>
      <c r="AN139" s="182"/>
      <c r="AO139" s="183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</row>
    <row r="140" spans="2:55" ht="15.75">
      <c r="B140" s="417"/>
      <c r="C140" s="417"/>
      <c r="D140" s="417"/>
      <c r="E140" s="423"/>
      <c r="F140" s="181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3"/>
      <c r="R140" s="181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3"/>
      <c r="AD140" s="181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3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</row>
    <row r="141" spans="2:41" ht="15.75" customHeight="1">
      <c r="B141" s="417"/>
      <c r="C141" s="417"/>
      <c r="D141" s="417"/>
      <c r="E141" s="418" t="s">
        <v>822</v>
      </c>
      <c r="F141" s="191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3"/>
      <c r="R141" s="191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3"/>
      <c r="AD141" s="191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3"/>
    </row>
    <row r="142" spans="2:41" ht="15.75">
      <c r="B142" s="417"/>
      <c r="C142" s="417"/>
      <c r="D142" s="417"/>
      <c r="E142" s="418"/>
      <c r="F142" s="220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2"/>
      <c r="R142" s="223"/>
      <c r="S142" s="224"/>
      <c r="T142" s="224"/>
      <c r="U142" s="224"/>
      <c r="V142" s="225"/>
      <c r="W142" s="225"/>
      <c r="X142" s="225"/>
      <c r="Y142" s="225"/>
      <c r="Z142" s="225"/>
      <c r="AA142" s="225"/>
      <c r="AB142" s="225"/>
      <c r="AC142" s="226"/>
      <c r="AD142" s="227"/>
      <c r="AE142" s="225"/>
      <c r="AF142" s="225"/>
      <c r="AG142" s="225"/>
      <c r="AH142" s="182"/>
      <c r="AI142" s="182"/>
      <c r="AJ142" s="182"/>
      <c r="AK142" s="182"/>
      <c r="AL142" s="182"/>
      <c r="AM142" s="182"/>
      <c r="AN142" s="182"/>
      <c r="AO142" s="183"/>
    </row>
    <row r="143" spans="2:54" ht="15.75">
      <c r="B143" s="417"/>
      <c r="C143" s="417"/>
      <c r="D143" s="417"/>
      <c r="E143" s="418"/>
      <c r="F143" s="199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1"/>
      <c r="R143" s="199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1"/>
      <c r="AD143" s="199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1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</row>
    <row r="144" spans="2:41" ht="15.75" customHeight="1">
      <c r="B144" s="417"/>
      <c r="C144" s="417"/>
      <c r="D144" s="417"/>
      <c r="E144" s="418" t="s">
        <v>823</v>
      </c>
      <c r="F144" s="191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3"/>
      <c r="R144" s="191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3"/>
      <c r="AD144" s="191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3"/>
    </row>
    <row r="145" spans="2:41" ht="15.75">
      <c r="B145" s="417"/>
      <c r="C145" s="417"/>
      <c r="D145" s="417"/>
      <c r="E145" s="418"/>
      <c r="F145" s="220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2"/>
      <c r="R145" s="223"/>
      <c r="S145" s="224"/>
      <c r="T145" s="224"/>
      <c r="U145" s="224"/>
      <c r="V145" s="225"/>
      <c r="W145" s="225"/>
      <c r="X145" s="225"/>
      <c r="Y145" s="225"/>
      <c r="Z145" s="225"/>
      <c r="AA145" s="225"/>
      <c r="AB145" s="225"/>
      <c r="AC145" s="226"/>
      <c r="AD145" s="227"/>
      <c r="AE145" s="225"/>
      <c r="AF145" s="225"/>
      <c r="AG145" s="225"/>
      <c r="AH145" s="182"/>
      <c r="AI145" s="182"/>
      <c r="AJ145" s="182"/>
      <c r="AK145" s="182"/>
      <c r="AL145" s="182"/>
      <c r="AM145" s="182"/>
      <c r="AN145" s="182"/>
      <c r="AO145" s="183"/>
    </row>
    <row r="146" spans="2:54" ht="15.75">
      <c r="B146" s="417"/>
      <c r="C146" s="417"/>
      <c r="D146" s="417"/>
      <c r="E146" s="418"/>
      <c r="F146" s="199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1"/>
      <c r="R146" s="199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1"/>
      <c r="AD146" s="199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1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</row>
    <row r="147" spans="2:55" ht="15.75" customHeight="1">
      <c r="B147" s="417"/>
      <c r="C147" s="417"/>
      <c r="D147" s="417"/>
      <c r="E147" s="423" t="s">
        <v>89</v>
      </c>
      <c r="F147" s="181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3"/>
      <c r="R147" s="181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3"/>
      <c r="AD147" s="181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3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</row>
    <row r="148" spans="2:55" ht="15.75">
      <c r="B148" s="417"/>
      <c r="C148" s="417"/>
      <c r="D148" s="417"/>
      <c r="E148" s="423"/>
      <c r="F148" s="220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2"/>
      <c r="R148" s="223"/>
      <c r="S148" s="224"/>
      <c r="T148" s="224"/>
      <c r="U148" s="224"/>
      <c r="V148" s="225"/>
      <c r="W148" s="225"/>
      <c r="X148" s="225"/>
      <c r="Y148" s="225"/>
      <c r="Z148" s="225"/>
      <c r="AA148" s="225"/>
      <c r="AB148" s="225"/>
      <c r="AC148" s="226"/>
      <c r="AD148" s="227"/>
      <c r="AE148" s="225"/>
      <c r="AF148" s="225"/>
      <c r="AG148" s="225"/>
      <c r="AH148" s="182"/>
      <c r="AI148" s="182"/>
      <c r="AJ148" s="182"/>
      <c r="AK148" s="182"/>
      <c r="AL148" s="182"/>
      <c r="AM148" s="182"/>
      <c r="AN148" s="182"/>
      <c r="AO148" s="183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</row>
    <row r="149" spans="2:55" ht="15.75">
      <c r="B149" s="417"/>
      <c r="C149" s="417"/>
      <c r="D149" s="417"/>
      <c r="E149" s="423"/>
      <c r="F149" s="181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3"/>
      <c r="R149" s="181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3"/>
      <c r="AD149" s="181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3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</row>
    <row r="150" spans="2:41" ht="30">
      <c r="B150" s="31"/>
      <c r="C150" s="31"/>
      <c r="D150" s="31"/>
      <c r="E150" s="186" t="s">
        <v>91</v>
      </c>
      <c r="F150" s="187"/>
      <c r="G150" s="188"/>
      <c r="H150" s="189"/>
      <c r="I150" s="188"/>
      <c r="J150" s="189"/>
      <c r="K150" s="188"/>
      <c r="L150" s="189"/>
      <c r="M150" s="188"/>
      <c r="N150" s="189"/>
      <c r="O150" s="188"/>
      <c r="P150" s="189"/>
      <c r="Q150" s="190"/>
      <c r="R150" s="187"/>
      <c r="S150" s="188"/>
      <c r="T150" s="189"/>
      <c r="U150" s="188"/>
      <c r="V150" s="189"/>
      <c r="W150" s="188"/>
      <c r="X150" s="189"/>
      <c r="Y150" s="188"/>
      <c r="Z150" s="189"/>
      <c r="AA150" s="188"/>
      <c r="AB150" s="189"/>
      <c r="AC150" s="190"/>
      <c r="AD150" s="187"/>
      <c r="AE150" s="188"/>
      <c r="AF150" s="189"/>
      <c r="AG150" s="188"/>
      <c r="AH150" s="189"/>
      <c r="AI150" s="188"/>
      <c r="AJ150" s="189"/>
      <c r="AK150" s="188"/>
      <c r="AL150" s="189"/>
      <c r="AM150" s="188"/>
      <c r="AN150" s="189"/>
      <c r="AO150" s="190"/>
    </row>
    <row r="151" spans="2:55" ht="15.75" customHeight="1">
      <c r="B151" s="421"/>
      <c r="C151" s="421"/>
      <c r="D151" s="421"/>
      <c r="E151" s="422" t="s">
        <v>824</v>
      </c>
      <c r="F151" s="216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8"/>
      <c r="R151" s="216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8"/>
      <c r="AD151" s="216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8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5"/>
    </row>
    <row r="152" spans="2:55" ht="15.75">
      <c r="B152" s="421"/>
      <c r="C152" s="421"/>
      <c r="D152" s="421"/>
      <c r="E152" s="422"/>
      <c r="F152" s="220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8"/>
      <c r="R152" s="223"/>
      <c r="S152" s="224"/>
      <c r="T152" s="224"/>
      <c r="U152" s="224"/>
      <c r="V152" s="224"/>
      <c r="W152" s="225"/>
      <c r="X152" s="225"/>
      <c r="Y152" s="225"/>
      <c r="Z152" s="225"/>
      <c r="AA152" s="225"/>
      <c r="AB152" s="225"/>
      <c r="AC152" s="226"/>
      <c r="AD152" s="227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6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5"/>
    </row>
    <row r="153" spans="2:55" ht="15.75">
      <c r="B153" s="421"/>
      <c r="C153" s="421"/>
      <c r="D153" s="421"/>
      <c r="E153" s="422"/>
      <c r="F153" s="216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8"/>
      <c r="R153" s="216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8"/>
      <c r="AD153" s="216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8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5"/>
    </row>
    <row r="154" spans="2:41" ht="15.75" customHeight="1">
      <c r="B154" s="417"/>
      <c r="C154" s="417"/>
      <c r="D154" s="417"/>
      <c r="E154" s="418" t="s">
        <v>825</v>
      </c>
      <c r="F154" s="191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3"/>
      <c r="R154" s="191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3"/>
      <c r="AD154" s="191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3"/>
    </row>
    <row r="155" spans="2:41" ht="15.75">
      <c r="B155" s="417"/>
      <c r="C155" s="417"/>
      <c r="D155" s="417"/>
      <c r="E155" s="418"/>
      <c r="F155" s="194"/>
      <c r="G155" s="195"/>
      <c r="H155" s="195"/>
      <c r="I155" s="195"/>
      <c r="J155" s="196"/>
      <c r="K155" s="196"/>
      <c r="L155" s="196"/>
      <c r="M155" s="196"/>
      <c r="N155" s="196"/>
      <c r="O155" s="196"/>
      <c r="P155" s="196"/>
      <c r="Q155" s="197"/>
      <c r="R155" s="198"/>
      <c r="S155" s="196"/>
      <c r="T155" s="196"/>
      <c r="U155" s="196"/>
      <c r="V155" s="182"/>
      <c r="W155" s="182"/>
      <c r="X155" s="182"/>
      <c r="Y155" s="182"/>
      <c r="Z155" s="182"/>
      <c r="AA155" s="182"/>
      <c r="AB155" s="182"/>
      <c r="AC155" s="183"/>
      <c r="AD155" s="181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3"/>
    </row>
    <row r="156" spans="2:54" ht="15.75">
      <c r="B156" s="417"/>
      <c r="C156" s="417"/>
      <c r="D156" s="417"/>
      <c r="E156" s="418"/>
      <c r="F156" s="199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1"/>
      <c r="R156" s="199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1"/>
      <c r="AD156" s="199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1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</row>
    <row r="157" spans="2:55" ht="15.75" customHeight="1">
      <c r="B157" s="417"/>
      <c r="C157" s="417"/>
      <c r="D157" s="417"/>
      <c r="E157" s="423" t="s">
        <v>826</v>
      </c>
      <c r="F157" s="216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8"/>
      <c r="R157" s="216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8"/>
      <c r="AD157" s="216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8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5"/>
    </row>
    <row r="158" spans="2:55" ht="15.75">
      <c r="B158" s="417"/>
      <c r="C158" s="417"/>
      <c r="D158" s="417"/>
      <c r="E158" s="423"/>
      <c r="F158" s="223"/>
      <c r="G158" s="224"/>
      <c r="H158" s="224"/>
      <c r="I158" s="224"/>
      <c r="J158" s="196"/>
      <c r="K158" s="196"/>
      <c r="L158" s="196"/>
      <c r="M158" s="196"/>
      <c r="N158" s="196"/>
      <c r="O158" s="196"/>
      <c r="P158" s="196"/>
      <c r="Q158" s="197"/>
      <c r="R158" s="198"/>
      <c r="S158" s="196"/>
      <c r="T158" s="196"/>
      <c r="U158" s="196"/>
      <c r="V158" s="217"/>
      <c r="W158" s="217"/>
      <c r="X158" s="217"/>
      <c r="Y158" s="217"/>
      <c r="Z158" s="217"/>
      <c r="AA158" s="217"/>
      <c r="AB158" s="217"/>
      <c r="AC158" s="218"/>
      <c r="AD158" s="216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8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5"/>
    </row>
    <row r="159" spans="2:55" ht="15.75">
      <c r="B159" s="417"/>
      <c r="C159" s="417"/>
      <c r="D159" s="417"/>
      <c r="E159" s="423"/>
      <c r="F159" s="216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8"/>
      <c r="R159" s="216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8"/>
      <c r="AD159" s="216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8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5"/>
    </row>
    <row r="160" spans="2:41" ht="15.75" customHeight="1">
      <c r="B160" s="417"/>
      <c r="C160" s="417"/>
      <c r="D160" s="417"/>
      <c r="E160" s="418" t="s">
        <v>827</v>
      </c>
      <c r="F160" s="191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3"/>
      <c r="R160" s="191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3"/>
      <c r="AD160" s="191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3"/>
    </row>
    <row r="161" spans="2:41" ht="15.75">
      <c r="B161" s="417"/>
      <c r="C161" s="417"/>
      <c r="D161" s="417"/>
      <c r="E161" s="418"/>
      <c r="F161" s="194"/>
      <c r="G161" s="195"/>
      <c r="H161" s="195"/>
      <c r="I161" s="195"/>
      <c r="J161" s="196"/>
      <c r="K161" s="196"/>
      <c r="L161" s="196"/>
      <c r="M161" s="196"/>
      <c r="N161" s="196"/>
      <c r="O161" s="196"/>
      <c r="P161" s="196"/>
      <c r="Q161" s="197"/>
      <c r="R161" s="198"/>
      <c r="S161" s="196"/>
      <c r="T161" s="196"/>
      <c r="U161" s="196"/>
      <c r="V161" s="182"/>
      <c r="W161" s="182"/>
      <c r="X161" s="182"/>
      <c r="Y161" s="182"/>
      <c r="Z161" s="182"/>
      <c r="AA161" s="182"/>
      <c r="AB161" s="182"/>
      <c r="AC161" s="183"/>
      <c r="AD161" s="181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3"/>
    </row>
    <row r="162" spans="2:54" ht="15.75">
      <c r="B162" s="417"/>
      <c r="C162" s="417"/>
      <c r="D162" s="417"/>
      <c r="E162" s="418"/>
      <c r="F162" s="199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1"/>
      <c r="R162" s="199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1"/>
      <c r="AD162" s="199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1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</row>
    <row r="163" spans="2:55" ht="15.75" customHeight="1">
      <c r="B163" s="417"/>
      <c r="C163" s="417"/>
      <c r="D163" s="417"/>
      <c r="E163" s="423" t="s">
        <v>828</v>
      </c>
      <c r="F163" s="216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8"/>
      <c r="R163" s="216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8"/>
      <c r="AD163" s="216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8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5"/>
    </row>
    <row r="164" spans="2:55" ht="15.75">
      <c r="B164" s="417"/>
      <c r="C164" s="417"/>
      <c r="D164" s="417"/>
      <c r="E164" s="423"/>
      <c r="F164" s="220"/>
      <c r="G164" s="221"/>
      <c r="H164" s="221"/>
      <c r="I164" s="221"/>
      <c r="J164" s="224"/>
      <c r="K164" s="224"/>
      <c r="L164" s="224"/>
      <c r="M164" s="224"/>
      <c r="N164" s="224"/>
      <c r="O164" s="225"/>
      <c r="P164" s="225"/>
      <c r="Q164" s="226"/>
      <c r="R164" s="227"/>
      <c r="S164" s="225"/>
      <c r="T164" s="225"/>
      <c r="U164" s="225"/>
      <c r="V164" s="225"/>
      <c r="W164" s="225"/>
      <c r="X164" s="225"/>
      <c r="Y164" s="225"/>
      <c r="Z164" s="225"/>
      <c r="AA164" s="217"/>
      <c r="AB164" s="217"/>
      <c r="AC164" s="218"/>
      <c r="AD164" s="216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8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15"/>
    </row>
    <row r="165" spans="2:55" ht="15.75">
      <c r="B165" s="417"/>
      <c r="C165" s="417"/>
      <c r="D165" s="417"/>
      <c r="E165" s="423"/>
      <c r="F165" s="216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8"/>
      <c r="R165" s="216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8"/>
      <c r="AD165" s="216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8"/>
      <c r="AP165" s="219"/>
      <c r="AQ165" s="219"/>
      <c r="AR165" s="219"/>
      <c r="AS165" s="219"/>
      <c r="AT165" s="219"/>
      <c r="AU165" s="219"/>
      <c r="AV165" s="219"/>
      <c r="AW165" s="219"/>
      <c r="AX165" s="219"/>
      <c r="AY165" s="219"/>
      <c r="AZ165" s="219"/>
      <c r="BA165" s="219"/>
      <c r="BB165" s="219"/>
      <c r="BC165" s="215"/>
    </row>
    <row r="166" spans="2:41" ht="15.75" customHeight="1">
      <c r="B166" s="417"/>
      <c r="C166" s="417"/>
      <c r="D166" s="417"/>
      <c r="E166" s="418" t="s">
        <v>829</v>
      </c>
      <c r="F166" s="191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3"/>
      <c r="R166" s="191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3"/>
      <c r="AD166" s="191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3"/>
    </row>
    <row r="167" spans="2:41" ht="15.75">
      <c r="B167" s="417"/>
      <c r="C167" s="417"/>
      <c r="D167" s="417"/>
      <c r="E167" s="418"/>
      <c r="F167" s="220"/>
      <c r="G167" s="221"/>
      <c r="H167" s="221"/>
      <c r="I167" s="221"/>
      <c r="J167" s="224"/>
      <c r="K167" s="224"/>
      <c r="L167" s="224"/>
      <c r="M167" s="224"/>
      <c r="N167" s="224"/>
      <c r="O167" s="225"/>
      <c r="P167" s="225"/>
      <c r="Q167" s="226"/>
      <c r="R167" s="227"/>
      <c r="S167" s="225"/>
      <c r="T167" s="225"/>
      <c r="U167" s="225"/>
      <c r="V167" s="225"/>
      <c r="W167" s="225"/>
      <c r="X167" s="225"/>
      <c r="Y167" s="225"/>
      <c r="Z167" s="225"/>
      <c r="AA167" s="182"/>
      <c r="AB167" s="182"/>
      <c r="AC167" s="183"/>
      <c r="AD167" s="181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3"/>
    </row>
    <row r="168" spans="2:54" ht="15.75">
      <c r="B168" s="417"/>
      <c r="C168" s="417"/>
      <c r="D168" s="417"/>
      <c r="E168" s="418"/>
      <c r="F168" s="199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1"/>
      <c r="R168" s="199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1"/>
      <c r="AD168" s="199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1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</row>
    <row r="169" spans="2:55" ht="15.75" customHeight="1">
      <c r="B169" s="417"/>
      <c r="C169" s="417"/>
      <c r="D169" s="417"/>
      <c r="E169" s="423" t="s">
        <v>830</v>
      </c>
      <c r="F169" s="216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8"/>
      <c r="R169" s="216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8"/>
      <c r="AD169" s="216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8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15"/>
    </row>
    <row r="170" spans="2:55" ht="15.75">
      <c r="B170" s="417"/>
      <c r="C170" s="417"/>
      <c r="D170" s="417"/>
      <c r="E170" s="423"/>
      <c r="F170" s="220"/>
      <c r="G170" s="221"/>
      <c r="H170" s="221"/>
      <c r="I170" s="221"/>
      <c r="J170" s="224"/>
      <c r="K170" s="224"/>
      <c r="L170" s="224"/>
      <c r="M170" s="224"/>
      <c r="N170" s="224"/>
      <c r="O170" s="225"/>
      <c r="P170" s="225"/>
      <c r="Q170" s="226"/>
      <c r="R170" s="227"/>
      <c r="S170" s="225"/>
      <c r="T170" s="225"/>
      <c r="U170" s="225"/>
      <c r="V170" s="225"/>
      <c r="W170" s="225"/>
      <c r="X170" s="225"/>
      <c r="Y170" s="225"/>
      <c r="Z170" s="225"/>
      <c r="AA170" s="217"/>
      <c r="AB170" s="217"/>
      <c r="AC170" s="218"/>
      <c r="AD170" s="216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8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15"/>
    </row>
    <row r="171" spans="2:55" ht="15.75">
      <c r="B171" s="417"/>
      <c r="C171" s="417"/>
      <c r="D171" s="417"/>
      <c r="E171" s="423"/>
      <c r="F171" s="216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8"/>
      <c r="R171" s="216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8"/>
      <c r="AD171" s="216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8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5"/>
    </row>
    <row r="172" spans="2:41" ht="15.75" customHeight="1">
      <c r="B172" s="417"/>
      <c r="C172" s="417"/>
      <c r="D172" s="417"/>
      <c r="E172" s="418" t="s">
        <v>98</v>
      </c>
      <c r="F172" s="191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3"/>
      <c r="R172" s="191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3"/>
      <c r="AD172" s="191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3"/>
    </row>
    <row r="173" spans="2:41" ht="15.75">
      <c r="B173" s="417"/>
      <c r="C173" s="417"/>
      <c r="D173" s="417"/>
      <c r="E173" s="418"/>
      <c r="F173" s="220"/>
      <c r="G173" s="221"/>
      <c r="H173" s="221"/>
      <c r="I173" s="221"/>
      <c r="J173" s="224"/>
      <c r="K173" s="224"/>
      <c r="L173" s="224"/>
      <c r="M173" s="224"/>
      <c r="N173" s="224"/>
      <c r="O173" s="225"/>
      <c r="P173" s="225"/>
      <c r="Q173" s="226"/>
      <c r="R173" s="227"/>
      <c r="S173" s="225"/>
      <c r="T173" s="225"/>
      <c r="U173" s="225"/>
      <c r="V173" s="225"/>
      <c r="W173" s="225"/>
      <c r="X173" s="225"/>
      <c r="Y173" s="225"/>
      <c r="Z173" s="225"/>
      <c r="AA173" s="182"/>
      <c r="AB173" s="182"/>
      <c r="AC173" s="183"/>
      <c r="AD173" s="181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3"/>
    </row>
    <row r="174" spans="2:54" ht="15.75">
      <c r="B174" s="417"/>
      <c r="C174" s="417"/>
      <c r="D174" s="417"/>
      <c r="E174" s="418"/>
      <c r="F174" s="199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1"/>
      <c r="R174" s="199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1"/>
      <c r="AD174" s="199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1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</row>
    <row r="175" spans="2:55" ht="15.75" customHeight="1">
      <c r="B175" s="417"/>
      <c r="C175" s="417"/>
      <c r="D175" s="417"/>
      <c r="E175" s="423" t="s">
        <v>100</v>
      </c>
      <c r="F175" s="216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8"/>
      <c r="R175" s="216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8"/>
      <c r="AD175" s="216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8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5"/>
    </row>
    <row r="176" spans="2:55" ht="15.75">
      <c r="B176" s="417"/>
      <c r="C176" s="417"/>
      <c r="D176" s="417"/>
      <c r="E176" s="423"/>
      <c r="F176" s="220"/>
      <c r="G176" s="221"/>
      <c r="H176" s="221"/>
      <c r="I176" s="221"/>
      <c r="J176" s="224"/>
      <c r="K176" s="224"/>
      <c r="L176" s="224"/>
      <c r="M176" s="224"/>
      <c r="N176" s="224"/>
      <c r="O176" s="225"/>
      <c r="P176" s="225"/>
      <c r="Q176" s="226"/>
      <c r="R176" s="227"/>
      <c r="S176" s="225"/>
      <c r="T176" s="225"/>
      <c r="U176" s="225"/>
      <c r="V176" s="225"/>
      <c r="W176" s="225"/>
      <c r="X176" s="225"/>
      <c r="Y176" s="225"/>
      <c r="Z176" s="225"/>
      <c r="AA176" s="217"/>
      <c r="AB176" s="217"/>
      <c r="AC176" s="218"/>
      <c r="AD176" s="216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8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5"/>
    </row>
    <row r="177" spans="2:55" ht="15.75">
      <c r="B177" s="417"/>
      <c r="C177" s="417"/>
      <c r="D177" s="417"/>
      <c r="E177" s="423"/>
      <c r="F177" s="216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8"/>
      <c r="R177" s="216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8"/>
      <c r="AD177" s="216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8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5"/>
    </row>
    <row r="178" spans="2:41" ht="30">
      <c r="B178" s="31"/>
      <c r="C178" s="31"/>
      <c r="D178" s="31"/>
      <c r="E178" s="186" t="s">
        <v>103</v>
      </c>
      <c r="F178" s="187"/>
      <c r="G178" s="188"/>
      <c r="H178" s="189"/>
      <c r="I178" s="188"/>
      <c r="J178" s="189"/>
      <c r="K178" s="188"/>
      <c r="L178" s="189"/>
      <c r="M178" s="188"/>
      <c r="N178" s="189"/>
      <c r="O178" s="188"/>
      <c r="P178" s="189"/>
      <c r="Q178" s="190"/>
      <c r="R178" s="187"/>
      <c r="S178" s="188"/>
      <c r="T178" s="189"/>
      <c r="U178" s="188"/>
      <c r="V178" s="189"/>
      <c r="W178" s="188"/>
      <c r="X178" s="189"/>
      <c r="Y178" s="188"/>
      <c r="Z178" s="189"/>
      <c r="AA178" s="188"/>
      <c r="AB178" s="189"/>
      <c r="AC178" s="190"/>
      <c r="AD178" s="187"/>
      <c r="AE178" s="188"/>
      <c r="AF178" s="189"/>
      <c r="AG178" s="188"/>
      <c r="AH178" s="189"/>
      <c r="AI178" s="188"/>
      <c r="AJ178" s="189"/>
      <c r="AK178" s="188"/>
      <c r="AL178" s="189"/>
      <c r="AM178" s="188"/>
      <c r="AN178" s="189"/>
      <c r="AO178" s="190"/>
    </row>
    <row r="179" spans="2:55" ht="15.75" customHeight="1">
      <c r="B179" s="421"/>
      <c r="C179" s="421"/>
      <c r="D179" s="421"/>
      <c r="E179" s="422" t="s">
        <v>831</v>
      </c>
      <c r="F179" s="216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8"/>
      <c r="R179" s="216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8"/>
      <c r="AD179" s="216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8"/>
      <c r="AP179" s="219"/>
      <c r="AQ179" s="219"/>
      <c r="AR179" s="219"/>
      <c r="AS179" s="219"/>
      <c r="AT179" s="219"/>
      <c r="AU179" s="219"/>
      <c r="AV179" s="219"/>
      <c r="AW179" s="219"/>
      <c r="AX179" s="219"/>
      <c r="AY179" s="219"/>
      <c r="AZ179" s="219"/>
      <c r="BA179" s="219"/>
      <c r="BB179" s="219"/>
      <c r="BC179" s="215"/>
    </row>
    <row r="180" spans="2:55" ht="15.75">
      <c r="B180" s="421"/>
      <c r="C180" s="421"/>
      <c r="D180" s="421"/>
      <c r="E180" s="422"/>
      <c r="F180" s="220"/>
      <c r="G180" s="221"/>
      <c r="H180" s="221"/>
      <c r="I180" s="221"/>
      <c r="J180" s="221"/>
      <c r="K180" s="221"/>
      <c r="L180" s="221"/>
      <c r="M180" s="221"/>
      <c r="N180" s="224"/>
      <c r="O180" s="224"/>
      <c r="P180" s="224"/>
      <c r="Q180" s="222"/>
      <c r="R180" s="223"/>
      <c r="S180" s="225"/>
      <c r="T180" s="225"/>
      <c r="U180" s="225"/>
      <c r="V180" s="225"/>
      <c r="W180" s="225"/>
      <c r="X180" s="225"/>
      <c r="Y180" s="217"/>
      <c r="Z180" s="217"/>
      <c r="AA180" s="217"/>
      <c r="AB180" s="217"/>
      <c r="AC180" s="218"/>
      <c r="AD180" s="216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8"/>
      <c r="AP180" s="219"/>
      <c r="AQ180" s="219"/>
      <c r="AR180" s="219"/>
      <c r="AS180" s="219"/>
      <c r="AT180" s="219"/>
      <c r="AU180" s="219"/>
      <c r="AV180" s="219"/>
      <c r="AW180" s="219"/>
      <c r="AX180" s="219"/>
      <c r="AY180" s="219"/>
      <c r="AZ180" s="219"/>
      <c r="BA180" s="219"/>
      <c r="BB180" s="219"/>
      <c r="BC180" s="215"/>
    </row>
    <row r="181" spans="2:55" ht="15.75">
      <c r="B181" s="421"/>
      <c r="C181" s="421"/>
      <c r="D181" s="421"/>
      <c r="E181" s="422"/>
      <c r="F181" s="216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8"/>
      <c r="R181" s="216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8"/>
      <c r="AD181" s="216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8"/>
      <c r="AP181" s="219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15"/>
    </row>
    <row r="182" spans="2:41" ht="15.75" customHeight="1">
      <c r="B182" s="417"/>
      <c r="C182" s="417"/>
      <c r="D182" s="417"/>
      <c r="E182" s="418" t="s">
        <v>832</v>
      </c>
      <c r="F182" s="191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3"/>
      <c r="R182" s="191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3"/>
      <c r="AD182" s="191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3"/>
    </row>
    <row r="183" spans="2:41" ht="15.75">
      <c r="B183" s="417"/>
      <c r="C183" s="417"/>
      <c r="D183" s="417"/>
      <c r="E183" s="418"/>
      <c r="F183" s="220"/>
      <c r="G183" s="221"/>
      <c r="H183" s="221"/>
      <c r="I183" s="221"/>
      <c r="J183" s="221"/>
      <c r="K183" s="221"/>
      <c r="L183" s="221"/>
      <c r="M183" s="221"/>
      <c r="N183" s="224"/>
      <c r="O183" s="224"/>
      <c r="P183" s="224"/>
      <c r="Q183" s="222"/>
      <c r="R183" s="223"/>
      <c r="S183" s="225"/>
      <c r="T183" s="225"/>
      <c r="U183" s="225"/>
      <c r="V183" s="225"/>
      <c r="W183" s="225"/>
      <c r="X183" s="225"/>
      <c r="Y183" s="182"/>
      <c r="Z183" s="182"/>
      <c r="AA183" s="182"/>
      <c r="AB183" s="182"/>
      <c r="AC183" s="183"/>
      <c r="AD183" s="181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3"/>
    </row>
    <row r="184" spans="2:54" ht="15.75">
      <c r="B184" s="417"/>
      <c r="C184" s="417"/>
      <c r="D184" s="417"/>
      <c r="E184" s="418"/>
      <c r="F184" s="199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1"/>
      <c r="R184" s="199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1"/>
      <c r="AD184" s="199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1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</row>
    <row r="185" spans="2:55" ht="15.75" customHeight="1">
      <c r="B185" s="417"/>
      <c r="C185" s="417"/>
      <c r="D185" s="417"/>
      <c r="E185" s="423" t="s">
        <v>833</v>
      </c>
      <c r="F185" s="216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8"/>
      <c r="R185" s="216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8"/>
      <c r="AD185" s="216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8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19"/>
      <c r="BC185" s="215"/>
    </row>
    <row r="186" spans="2:55" ht="15.75">
      <c r="B186" s="417"/>
      <c r="C186" s="417"/>
      <c r="D186" s="417"/>
      <c r="E186" s="423"/>
      <c r="F186" s="220"/>
      <c r="G186" s="221"/>
      <c r="H186" s="221"/>
      <c r="I186" s="221"/>
      <c r="J186" s="221"/>
      <c r="K186" s="221"/>
      <c r="L186" s="221"/>
      <c r="M186" s="221"/>
      <c r="N186" s="224"/>
      <c r="O186" s="224"/>
      <c r="P186" s="224"/>
      <c r="Q186" s="222"/>
      <c r="R186" s="223"/>
      <c r="S186" s="225"/>
      <c r="T186" s="225"/>
      <c r="U186" s="225"/>
      <c r="V186" s="225"/>
      <c r="W186" s="225"/>
      <c r="X186" s="225"/>
      <c r="Y186" s="217"/>
      <c r="Z186" s="217"/>
      <c r="AA186" s="217"/>
      <c r="AB186" s="217"/>
      <c r="AC186" s="218"/>
      <c r="AD186" s="216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8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19"/>
      <c r="BC186" s="215"/>
    </row>
    <row r="187" spans="2:55" ht="15.75">
      <c r="B187" s="417"/>
      <c r="C187" s="417"/>
      <c r="D187" s="417"/>
      <c r="E187" s="423"/>
      <c r="F187" s="216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8"/>
      <c r="R187" s="216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8"/>
      <c r="AD187" s="216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8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19"/>
      <c r="BC187" s="215"/>
    </row>
    <row r="188" spans="2:41" ht="15.75" customHeight="1">
      <c r="B188" s="417"/>
      <c r="C188" s="417"/>
      <c r="D188" s="417"/>
      <c r="E188" s="418" t="s">
        <v>834</v>
      </c>
      <c r="F188" s="191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3"/>
      <c r="R188" s="191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3"/>
      <c r="AD188" s="191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3"/>
    </row>
    <row r="189" spans="2:41" ht="15.75">
      <c r="B189" s="417"/>
      <c r="C189" s="417"/>
      <c r="D189" s="417"/>
      <c r="E189" s="418"/>
      <c r="F189" s="220"/>
      <c r="G189" s="221"/>
      <c r="H189" s="221"/>
      <c r="I189" s="221"/>
      <c r="J189" s="221"/>
      <c r="K189" s="221"/>
      <c r="L189" s="221"/>
      <c r="M189" s="221"/>
      <c r="N189" s="224"/>
      <c r="O189" s="224"/>
      <c r="P189" s="224"/>
      <c r="Q189" s="222"/>
      <c r="R189" s="223"/>
      <c r="S189" s="225"/>
      <c r="T189" s="225"/>
      <c r="U189" s="225"/>
      <c r="V189" s="225"/>
      <c r="W189" s="225"/>
      <c r="X189" s="225"/>
      <c r="Y189" s="182"/>
      <c r="Z189" s="182"/>
      <c r="AA189" s="182"/>
      <c r="AB189" s="182"/>
      <c r="AC189" s="183"/>
      <c r="AD189" s="181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3"/>
    </row>
    <row r="190" spans="2:54" ht="15.75">
      <c r="B190" s="417"/>
      <c r="C190" s="417"/>
      <c r="D190" s="417"/>
      <c r="E190" s="418"/>
      <c r="F190" s="199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1"/>
      <c r="R190" s="199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1"/>
      <c r="AD190" s="199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1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</row>
    <row r="191" spans="2:55" ht="15.75" customHeight="1">
      <c r="B191" s="417"/>
      <c r="C191" s="417"/>
      <c r="D191" s="417"/>
      <c r="E191" s="423" t="s">
        <v>835</v>
      </c>
      <c r="F191" s="216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8"/>
      <c r="R191" s="216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8"/>
      <c r="AD191" s="216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8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215"/>
    </row>
    <row r="192" spans="2:55" ht="15.75">
      <c r="B192" s="417"/>
      <c r="C192" s="417"/>
      <c r="D192" s="417"/>
      <c r="E192" s="423"/>
      <c r="F192" s="220"/>
      <c r="G192" s="221"/>
      <c r="H192" s="221"/>
      <c r="I192" s="221"/>
      <c r="J192" s="221"/>
      <c r="K192" s="221"/>
      <c r="L192" s="221"/>
      <c r="M192" s="221"/>
      <c r="N192" s="224"/>
      <c r="O192" s="224"/>
      <c r="P192" s="224"/>
      <c r="Q192" s="222"/>
      <c r="R192" s="223"/>
      <c r="S192" s="225"/>
      <c r="T192" s="225"/>
      <c r="U192" s="225"/>
      <c r="V192" s="225"/>
      <c r="W192" s="225"/>
      <c r="X192" s="225"/>
      <c r="Y192" s="217"/>
      <c r="Z192" s="217"/>
      <c r="AA192" s="217"/>
      <c r="AB192" s="217"/>
      <c r="AC192" s="218"/>
      <c r="AD192" s="216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8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5"/>
    </row>
    <row r="193" spans="2:55" ht="15.75">
      <c r="B193" s="417"/>
      <c r="C193" s="417"/>
      <c r="D193" s="417"/>
      <c r="E193" s="423"/>
      <c r="F193" s="216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8"/>
      <c r="R193" s="216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8"/>
      <c r="AD193" s="216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8"/>
      <c r="AP193" s="219"/>
      <c r="AQ193" s="219"/>
      <c r="AR193" s="219"/>
      <c r="AS193" s="219"/>
      <c r="AT193" s="219"/>
      <c r="AU193" s="219"/>
      <c r="AV193" s="219"/>
      <c r="AW193" s="219"/>
      <c r="AX193" s="219"/>
      <c r="AY193" s="219"/>
      <c r="AZ193" s="219"/>
      <c r="BA193" s="219"/>
      <c r="BB193" s="219"/>
      <c r="BC193" s="215"/>
    </row>
    <row r="194" spans="2:41" ht="15.75" customHeight="1">
      <c r="B194" s="417"/>
      <c r="C194" s="417"/>
      <c r="D194" s="417"/>
      <c r="E194" s="418" t="s">
        <v>836</v>
      </c>
      <c r="F194" s="191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3"/>
      <c r="R194" s="191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3"/>
      <c r="AD194" s="191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3"/>
    </row>
    <row r="195" spans="2:41" ht="15.75">
      <c r="B195" s="417"/>
      <c r="C195" s="417"/>
      <c r="D195" s="417"/>
      <c r="E195" s="418"/>
      <c r="F195" s="220"/>
      <c r="G195" s="221"/>
      <c r="H195" s="221"/>
      <c r="I195" s="221"/>
      <c r="J195" s="221"/>
      <c r="K195" s="221"/>
      <c r="L195" s="221"/>
      <c r="M195" s="221"/>
      <c r="N195" s="224"/>
      <c r="O195" s="224"/>
      <c r="P195" s="224"/>
      <c r="Q195" s="222"/>
      <c r="R195" s="223"/>
      <c r="S195" s="225"/>
      <c r="T195" s="225"/>
      <c r="U195" s="225"/>
      <c r="V195" s="225"/>
      <c r="W195" s="225"/>
      <c r="X195" s="225"/>
      <c r="Y195" s="182"/>
      <c r="Z195" s="182"/>
      <c r="AA195" s="182"/>
      <c r="AB195" s="182"/>
      <c r="AC195" s="183"/>
      <c r="AD195" s="181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3"/>
    </row>
    <row r="196" spans="2:54" ht="15.75">
      <c r="B196" s="417"/>
      <c r="C196" s="417"/>
      <c r="D196" s="417"/>
      <c r="E196" s="418"/>
      <c r="F196" s="199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1"/>
      <c r="R196" s="199"/>
      <c r="S196" s="200"/>
      <c r="T196" s="200"/>
      <c r="U196" s="200"/>
      <c r="V196" s="200"/>
      <c r="W196" s="200"/>
      <c r="X196" s="200"/>
      <c r="Y196" s="200"/>
      <c r="Z196" s="200"/>
      <c r="AA196" s="200"/>
      <c r="AB196" s="200"/>
      <c r="AC196" s="201"/>
      <c r="AD196" s="199"/>
      <c r="AE196" s="200"/>
      <c r="AF196" s="200"/>
      <c r="AG196" s="200"/>
      <c r="AH196" s="200"/>
      <c r="AI196" s="200"/>
      <c r="AJ196" s="200"/>
      <c r="AK196" s="200"/>
      <c r="AL196" s="200"/>
      <c r="AM196" s="200"/>
      <c r="AN196" s="200"/>
      <c r="AO196" s="201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</row>
    <row r="197" spans="2:55" ht="15.75" customHeight="1">
      <c r="B197" s="417"/>
      <c r="C197" s="417"/>
      <c r="D197" s="417"/>
      <c r="E197" s="423" t="s">
        <v>837</v>
      </c>
      <c r="F197" s="216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8"/>
      <c r="R197" s="216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8"/>
      <c r="AD197" s="216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8"/>
      <c r="AP197" s="219"/>
      <c r="AQ197" s="219"/>
      <c r="AR197" s="219"/>
      <c r="AS197" s="219"/>
      <c r="AT197" s="219"/>
      <c r="AU197" s="219"/>
      <c r="AV197" s="219"/>
      <c r="AW197" s="219"/>
      <c r="AX197" s="219"/>
      <c r="AY197" s="219"/>
      <c r="AZ197" s="219"/>
      <c r="BA197" s="219"/>
      <c r="BB197" s="219"/>
      <c r="BC197" s="215"/>
    </row>
    <row r="198" spans="2:55" ht="15.75">
      <c r="B198" s="417"/>
      <c r="C198" s="417"/>
      <c r="D198" s="417"/>
      <c r="E198" s="423"/>
      <c r="F198" s="220"/>
      <c r="G198" s="221"/>
      <c r="H198" s="221"/>
      <c r="I198" s="221"/>
      <c r="J198" s="221"/>
      <c r="K198" s="221"/>
      <c r="L198" s="221"/>
      <c r="M198" s="221"/>
      <c r="N198" s="224"/>
      <c r="O198" s="224"/>
      <c r="P198" s="224"/>
      <c r="Q198" s="222"/>
      <c r="R198" s="223"/>
      <c r="S198" s="225"/>
      <c r="T198" s="225"/>
      <c r="U198" s="225"/>
      <c r="V198" s="225"/>
      <c r="W198" s="225"/>
      <c r="X198" s="225"/>
      <c r="Y198" s="217"/>
      <c r="Z198" s="217"/>
      <c r="AA198" s="217"/>
      <c r="AB198" s="217"/>
      <c r="AC198" s="218"/>
      <c r="AD198" s="216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8"/>
      <c r="AP198" s="219"/>
      <c r="AQ198" s="219"/>
      <c r="AR198" s="219"/>
      <c r="AS198" s="219"/>
      <c r="AT198" s="219"/>
      <c r="AU198" s="219"/>
      <c r="AV198" s="219"/>
      <c r="AW198" s="219"/>
      <c r="AX198" s="219"/>
      <c r="AY198" s="219"/>
      <c r="AZ198" s="219"/>
      <c r="BA198" s="219"/>
      <c r="BB198" s="219"/>
      <c r="BC198" s="215"/>
    </row>
    <row r="199" spans="2:55" ht="15.75">
      <c r="B199" s="417"/>
      <c r="C199" s="417"/>
      <c r="D199" s="417"/>
      <c r="E199" s="423"/>
      <c r="F199" s="216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8"/>
      <c r="R199" s="216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8"/>
      <c r="AD199" s="216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8"/>
      <c r="AP199" s="219"/>
      <c r="AQ199" s="219"/>
      <c r="AR199" s="219"/>
      <c r="AS199" s="219"/>
      <c r="AT199" s="219"/>
      <c r="AU199" s="219"/>
      <c r="AV199" s="219"/>
      <c r="AW199" s="219"/>
      <c r="AX199" s="219"/>
      <c r="AY199" s="219"/>
      <c r="AZ199" s="219"/>
      <c r="BA199" s="219"/>
      <c r="BB199" s="219"/>
      <c r="BC199" s="215"/>
    </row>
    <row r="200" spans="2:41" ht="15.75" customHeight="1">
      <c r="B200" s="417"/>
      <c r="C200" s="417"/>
      <c r="D200" s="417"/>
      <c r="E200" s="418" t="s">
        <v>838</v>
      </c>
      <c r="F200" s="191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3"/>
      <c r="R200" s="191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3"/>
      <c r="AD200" s="191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3"/>
    </row>
    <row r="201" spans="2:41" ht="15.75">
      <c r="B201" s="417"/>
      <c r="C201" s="417"/>
      <c r="D201" s="417"/>
      <c r="E201" s="418"/>
      <c r="F201" s="203"/>
      <c r="G201" s="204"/>
      <c r="H201" s="204"/>
      <c r="I201" s="204"/>
      <c r="J201" s="204"/>
      <c r="K201" s="204"/>
      <c r="L201" s="204"/>
      <c r="M201" s="204"/>
      <c r="N201" s="204"/>
      <c r="O201" s="204"/>
      <c r="P201" s="195"/>
      <c r="Q201" s="209"/>
      <c r="R201" s="194"/>
      <c r="S201" s="195"/>
      <c r="T201" s="195"/>
      <c r="U201" s="196"/>
      <c r="V201" s="196"/>
      <c r="W201" s="196"/>
      <c r="X201" s="196"/>
      <c r="Y201" s="196"/>
      <c r="Z201" s="196"/>
      <c r="AA201" s="182"/>
      <c r="AB201" s="182"/>
      <c r="AC201" s="183"/>
      <c r="AD201" s="181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3"/>
    </row>
    <row r="202" spans="2:54" ht="15.75">
      <c r="B202" s="417"/>
      <c r="C202" s="417"/>
      <c r="D202" s="417"/>
      <c r="E202" s="418"/>
      <c r="F202" s="199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1"/>
      <c r="R202" s="199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1"/>
      <c r="AD202" s="199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1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</row>
    <row r="203" spans="2:55" ht="15.75" customHeight="1">
      <c r="B203" s="417"/>
      <c r="C203" s="417"/>
      <c r="D203" s="417"/>
      <c r="E203" s="423" t="s">
        <v>839</v>
      </c>
      <c r="F203" s="216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8"/>
      <c r="R203" s="216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8"/>
      <c r="AD203" s="216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8"/>
      <c r="AP203" s="219"/>
      <c r="AQ203" s="219"/>
      <c r="AR203" s="219"/>
      <c r="AS203" s="219"/>
      <c r="AT203" s="219"/>
      <c r="AU203" s="219"/>
      <c r="AV203" s="219"/>
      <c r="AW203" s="219"/>
      <c r="AX203" s="219"/>
      <c r="AY203" s="219"/>
      <c r="AZ203" s="219"/>
      <c r="BA203" s="219"/>
      <c r="BB203" s="219"/>
      <c r="BC203" s="215"/>
    </row>
    <row r="204" spans="2:55" ht="15.75">
      <c r="B204" s="417"/>
      <c r="C204" s="417"/>
      <c r="D204" s="417"/>
      <c r="E204" s="423"/>
      <c r="F204" s="203"/>
      <c r="G204" s="204"/>
      <c r="H204" s="204"/>
      <c r="I204" s="204"/>
      <c r="J204" s="204"/>
      <c r="K204" s="204"/>
      <c r="L204" s="204"/>
      <c r="M204" s="204"/>
      <c r="N204" s="204"/>
      <c r="O204" s="204"/>
      <c r="P204" s="195"/>
      <c r="Q204" s="209"/>
      <c r="R204" s="194"/>
      <c r="S204" s="195"/>
      <c r="T204" s="195"/>
      <c r="U204" s="196"/>
      <c r="V204" s="196"/>
      <c r="W204" s="196"/>
      <c r="X204" s="196"/>
      <c r="Y204" s="196"/>
      <c r="Z204" s="196"/>
      <c r="AA204" s="217"/>
      <c r="AB204" s="217"/>
      <c r="AC204" s="218"/>
      <c r="AD204" s="216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8"/>
      <c r="AP204" s="219"/>
      <c r="AQ204" s="219"/>
      <c r="AR204" s="219"/>
      <c r="AS204" s="219"/>
      <c r="AT204" s="219"/>
      <c r="AU204" s="219"/>
      <c r="AV204" s="219"/>
      <c r="AW204" s="219"/>
      <c r="AX204" s="219"/>
      <c r="AY204" s="219"/>
      <c r="AZ204" s="219"/>
      <c r="BA204" s="219"/>
      <c r="BB204" s="219"/>
      <c r="BC204" s="215"/>
    </row>
    <row r="205" spans="2:55" ht="15.75">
      <c r="B205" s="417"/>
      <c r="C205" s="417"/>
      <c r="D205" s="417"/>
      <c r="E205" s="423"/>
      <c r="F205" s="216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8"/>
      <c r="R205" s="216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8"/>
      <c r="AD205" s="216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8"/>
      <c r="AP205" s="219"/>
      <c r="AQ205" s="219"/>
      <c r="AR205" s="219"/>
      <c r="AS205" s="219"/>
      <c r="AT205" s="219"/>
      <c r="AU205" s="219"/>
      <c r="AV205" s="219"/>
      <c r="AW205" s="219"/>
      <c r="AX205" s="219"/>
      <c r="AY205" s="219"/>
      <c r="AZ205" s="219"/>
      <c r="BA205" s="219"/>
      <c r="BB205" s="219"/>
      <c r="BC205" s="215"/>
    </row>
    <row r="206" spans="2:41" ht="15.75" customHeight="1">
      <c r="B206" s="417"/>
      <c r="C206" s="417"/>
      <c r="D206" s="417"/>
      <c r="E206" s="418" t="s">
        <v>840</v>
      </c>
      <c r="F206" s="191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3"/>
      <c r="R206" s="191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3"/>
      <c r="AD206" s="191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3"/>
    </row>
    <row r="207" spans="2:41" ht="15.75">
      <c r="B207" s="417"/>
      <c r="C207" s="417"/>
      <c r="D207" s="417"/>
      <c r="E207" s="418"/>
      <c r="F207" s="203"/>
      <c r="G207" s="204"/>
      <c r="H207" s="204"/>
      <c r="I207" s="204"/>
      <c r="J207" s="204"/>
      <c r="K207" s="204"/>
      <c r="L207" s="204"/>
      <c r="M207" s="204"/>
      <c r="N207" s="204"/>
      <c r="O207" s="204"/>
      <c r="P207" s="195"/>
      <c r="Q207" s="209"/>
      <c r="R207" s="194"/>
      <c r="S207" s="195"/>
      <c r="T207" s="195"/>
      <c r="U207" s="196"/>
      <c r="V207" s="196"/>
      <c r="W207" s="196"/>
      <c r="X207" s="196"/>
      <c r="Y207" s="196"/>
      <c r="Z207" s="196"/>
      <c r="AA207" s="182"/>
      <c r="AB207" s="182"/>
      <c r="AC207" s="183"/>
      <c r="AD207" s="181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3"/>
    </row>
    <row r="208" spans="2:54" ht="15.75">
      <c r="B208" s="417"/>
      <c r="C208" s="417"/>
      <c r="D208" s="417"/>
      <c r="E208" s="418"/>
      <c r="F208" s="199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1"/>
      <c r="R208" s="199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1"/>
      <c r="AD208" s="199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1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</row>
    <row r="209" spans="2:55" ht="15.75" customHeight="1">
      <c r="B209" s="417"/>
      <c r="C209" s="417"/>
      <c r="D209" s="417"/>
      <c r="E209" s="423" t="s">
        <v>841</v>
      </c>
      <c r="F209" s="216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8"/>
      <c r="R209" s="216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8"/>
      <c r="AD209" s="216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8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19"/>
      <c r="BC209" s="215"/>
    </row>
    <row r="210" spans="2:55" ht="15.75">
      <c r="B210" s="417"/>
      <c r="C210" s="417"/>
      <c r="D210" s="417"/>
      <c r="E210" s="423"/>
      <c r="F210" s="203"/>
      <c r="G210" s="204"/>
      <c r="H210" s="204"/>
      <c r="I210" s="204"/>
      <c r="J210" s="204"/>
      <c r="K210" s="204"/>
      <c r="L210" s="204"/>
      <c r="M210" s="204"/>
      <c r="N210" s="204"/>
      <c r="O210" s="204"/>
      <c r="P210" s="195"/>
      <c r="Q210" s="209"/>
      <c r="R210" s="194"/>
      <c r="S210" s="195"/>
      <c r="T210" s="195"/>
      <c r="U210" s="196"/>
      <c r="V210" s="196"/>
      <c r="W210" s="196"/>
      <c r="X210" s="196"/>
      <c r="Y210" s="196"/>
      <c r="Z210" s="196"/>
      <c r="AA210" s="217"/>
      <c r="AB210" s="217"/>
      <c r="AC210" s="218"/>
      <c r="AD210" s="216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8"/>
      <c r="AP210" s="219"/>
      <c r="AQ210" s="219"/>
      <c r="AR210" s="219"/>
      <c r="AS210" s="219"/>
      <c r="AT210" s="219"/>
      <c r="AU210" s="219"/>
      <c r="AV210" s="219"/>
      <c r="AW210" s="219"/>
      <c r="AX210" s="219"/>
      <c r="AY210" s="219"/>
      <c r="AZ210" s="219"/>
      <c r="BA210" s="219"/>
      <c r="BB210" s="219"/>
      <c r="BC210" s="215"/>
    </row>
    <row r="211" spans="2:55" ht="15.75">
      <c r="B211" s="417"/>
      <c r="C211" s="417"/>
      <c r="D211" s="417"/>
      <c r="E211" s="423"/>
      <c r="F211" s="216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8"/>
      <c r="R211" s="216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8"/>
      <c r="AD211" s="216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8"/>
      <c r="AP211" s="219"/>
      <c r="AQ211" s="219"/>
      <c r="AR211" s="219"/>
      <c r="AS211" s="219"/>
      <c r="AT211" s="219"/>
      <c r="AU211" s="219"/>
      <c r="AV211" s="219"/>
      <c r="AW211" s="219"/>
      <c r="AX211" s="219"/>
      <c r="AY211" s="219"/>
      <c r="AZ211" s="219"/>
      <c r="BA211" s="219"/>
      <c r="BB211" s="219"/>
      <c r="BC211" s="215"/>
    </row>
    <row r="212" spans="2:41" ht="15.75" customHeight="1">
      <c r="B212" s="417"/>
      <c r="C212" s="417"/>
      <c r="D212" s="417"/>
      <c r="E212" s="418" t="s">
        <v>842</v>
      </c>
      <c r="F212" s="191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3"/>
      <c r="R212" s="191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3"/>
      <c r="AD212" s="191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3"/>
    </row>
    <row r="213" spans="2:41" ht="15.75">
      <c r="B213" s="417"/>
      <c r="C213" s="417"/>
      <c r="D213" s="417"/>
      <c r="E213" s="418"/>
      <c r="F213" s="203"/>
      <c r="G213" s="204"/>
      <c r="H213" s="204"/>
      <c r="I213" s="204"/>
      <c r="J213" s="204"/>
      <c r="K213" s="204"/>
      <c r="L213" s="204"/>
      <c r="M213" s="204"/>
      <c r="N213" s="204"/>
      <c r="O213" s="204"/>
      <c r="P213" s="195"/>
      <c r="Q213" s="209"/>
      <c r="R213" s="194"/>
      <c r="S213" s="195"/>
      <c r="T213" s="195"/>
      <c r="U213" s="196"/>
      <c r="V213" s="196"/>
      <c r="W213" s="196"/>
      <c r="X213" s="196"/>
      <c r="Y213" s="196"/>
      <c r="Z213" s="196"/>
      <c r="AA213" s="182"/>
      <c r="AB213" s="182"/>
      <c r="AC213" s="183"/>
      <c r="AD213" s="181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3"/>
    </row>
    <row r="214" spans="2:54" ht="15.75">
      <c r="B214" s="417"/>
      <c r="C214" s="417"/>
      <c r="D214" s="417"/>
      <c r="E214" s="418"/>
      <c r="F214" s="199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1"/>
      <c r="R214" s="199"/>
      <c r="S214" s="200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1"/>
      <c r="AD214" s="199"/>
      <c r="AE214" s="200"/>
      <c r="AF214" s="200"/>
      <c r="AG214" s="200"/>
      <c r="AH214" s="200"/>
      <c r="AI214" s="200"/>
      <c r="AJ214" s="200"/>
      <c r="AK214" s="200"/>
      <c r="AL214" s="200"/>
      <c r="AM214" s="200"/>
      <c r="AN214" s="200"/>
      <c r="AO214" s="201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</row>
    <row r="215" spans="2:41" ht="15.75" customHeight="1">
      <c r="B215" s="417"/>
      <c r="C215" s="417"/>
      <c r="D215" s="417"/>
      <c r="E215" s="418" t="s">
        <v>843</v>
      </c>
      <c r="F215" s="191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3"/>
      <c r="R215" s="191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3"/>
      <c r="AD215" s="191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3"/>
    </row>
    <row r="216" spans="2:41" ht="15.75">
      <c r="B216" s="417"/>
      <c r="C216" s="417"/>
      <c r="D216" s="417"/>
      <c r="E216" s="418"/>
      <c r="F216" s="203"/>
      <c r="G216" s="204"/>
      <c r="H216" s="204"/>
      <c r="I216" s="204"/>
      <c r="J216" s="204"/>
      <c r="K216" s="204"/>
      <c r="L216" s="204"/>
      <c r="M216" s="204"/>
      <c r="N216" s="204"/>
      <c r="O216" s="204"/>
      <c r="P216" s="195"/>
      <c r="Q216" s="209"/>
      <c r="R216" s="194"/>
      <c r="S216" s="195"/>
      <c r="T216" s="195"/>
      <c r="U216" s="196"/>
      <c r="V216" s="196"/>
      <c r="W216" s="196"/>
      <c r="X216" s="196"/>
      <c r="Y216" s="196"/>
      <c r="Z216" s="196"/>
      <c r="AA216" s="182"/>
      <c r="AB216" s="182"/>
      <c r="AC216" s="183"/>
      <c r="AD216" s="181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3"/>
    </row>
    <row r="217" spans="2:54" ht="15.75">
      <c r="B217" s="417"/>
      <c r="C217" s="417"/>
      <c r="D217" s="417"/>
      <c r="E217" s="418"/>
      <c r="F217" s="199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1"/>
      <c r="R217" s="199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1"/>
      <c r="AD217" s="199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  <c r="AO217" s="201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</row>
    <row r="218" spans="2:41" ht="15.75">
      <c r="B218" s="31"/>
      <c r="C218" s="31"/>
      <c r="D218" s="31"/>
      <c r="E218" s="186" t="s">
        <v>107</v>
      </c>
      <c r="F218" s="187"/>
      <c r="G218" s="188"/>
      <c r="H218" s="189"/>
      <c r="I218" s="188"/>
      <c r="J218" s="189"/>
      <c r="K218" s="188"/>
      <c r="L218" s="189"/>
      <c r="M218" s="188"/>
      <c r="N218" s="189"/>
      <c r="O218" s="188"/>
      <c r="P218" s="189"/>
      <c r="Q218" s="190"/>
      <c r="R218" s="187"/>
      <c r="S218" s="188"/>
      <c r="T218" s="189"/>
      <c r="U218" s="188"/>
      <c r="V218" s="189"/>
      <c r="W218" s="188"/>
      <c r="X218" s="189"/>
      <c r="Y218" s="188"/>
      <c r="Z218" s="189"/>
      <c r="AA218" s="188"/>
      <c r="AB218" s="189"/>
      <c r="AC218" s="190"/>
      <c r="AD218" s="187"/>
      <c r="AE218" s="188"/>
      <c r="AF218" s="189"/>
      <c r="AG218" s="188"/>
      <c r="AH218" s="189"/>
      <c r="AI218" s="188"/>
      <c r="AJ218" s="189"/>
      <c r="AK218" s="188"/>
      <c r="AL218" s="189"/>
      <c r="AM218" s="188"/>
      <c r="AN218" s="189"/>
      <c r="AO218" s="190"/>
    </row>
    <row r="219" spans="2:41" ht="15.75">
      <c r="B219" s="31"/>
      <c r="C219" s="31"/>
      <c r="D219" s="31"/>
      <c r="E219" s="186" t="s">
        <v>772</v>
      </c>
      <c r="F219" s="187"/>
      <c r="G219" s="188"/>
      <c r="H219" s="189"/>
      <c r="I219" s="188"/>
      <c r="J219" s="189"/>
      <c r="K219" s="188"/>
      <c r="L219" s="189"/>
      <c r="M219" s="188"/>
      <c r="N219" s="189"/>
      <c r="O219" s="188"/>
      <c r="P219" s="189"/>
      <c r="Q219" s="190"/>
      <c r="R219" s="187"/>
      <c r="S219" s="188"/>
      <c r="T219" s="189"/>
      <c r="U219" s="188"/>
      <c r="V219" s="189"/>
      <c r="W219" s="188"/>
      <c r="X219" s="189"/>
      <c r="Y219" s="188"/>
      <c r="Z219" s="189"/>
      <c r="AA219" s="188"/>
      <c r="AB219" s="189"/>
      <c r="AC219" s="190"/>
      <c r="AD219" s="187"/>
      <c r="AE219" s="188"/>
      <c r="AF219" s="189"/>
      <c r="AG219" s="188"/>
      <c r="AH219" s="189"/>
      <c r="AI219" s="188"/>
      <c r="AJ219" s="189"/>
      <c r="AK219" s="188"/>
      <c r="AL219" s="189"/>
      <c r="AM219" s="188"/>
      <c r="AN219" s="189"/>
      <c r="AO219" s="190"/>
    </row>
    <row r="220" spans="2:55" ht="15.75" customHeight="1">
      <c r="B220" s="421"/>
      <c r="C220" s="421"/>
      <c r="D220" s="421"/>
      <c r="E220" s="422" t="s">
        <v>109</v>
      </c>
      <c r="F220" s="216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8"/>
      <c r="R220" s="216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8"/>
      <c r="AD220" s="216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8"/>
      <c r="AP220" s="219"/>
      <c r="AQ220" s="219"/>
      <c r="AR220" s="219"/>
      <c r="AS220" s="219"/>
      <c r="AT220" s="219"/>
      <c r="AU220" s="219"/>
      <c r="AV220" s="219"/>
      <c r="AW220" s="219"/>
      <c r="AX220" s="219"/>
      <c r="AY220" s="219"/>
      <c r="AZ220" s="219"/>
      <c r="BA220" s="219"/>
      <c r="BB220" s="219"/>
      <c r="BC220" s="215"/>
    </row>
    <row r="221" spans="2:55" ht="15.75">
      <c r="B221" s="421"/>
      <c r="C221" s="421"/>
      <c r="D221" s="421"/>
      <c r="E221" s="422"/>
      <c r="F221" s="220"/>
      <c r="G221" s="221"/>
      <c r="H221" s="221"/>
      <c r="I221" s="221"/>
      <c r="J221" s="221"/>
      <c r="K221" s="221"/>
      <c r="L221" s="224"/>
      <c r="M221" s="224"/>
      <c r="N221" s="224"/>
      <c r="O221" s="224"/>
      <c r="P221" s="224"/>
      <c r="Q221" s="222"/>
      <c r="R221" s="227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6"/>
      <c r="AD221" s="227"/>
      <c r="AE221" s="225"/>
      <c r="AF221" s="225"/>
      <c r="AG221" s="225"/>
      <c r="AH221" s="225"/>
      <c r="AI221" s="225"/>
      <c r="AJ221" s="225"/>
      <c r="AK221" s="225"/>
      <c r="AL221" s="225"/>
      <c r="AM221" s="225"/>
      <c r="AN221" s="225"/>
      <c r="AO221" s="226"/>
      <c r="AP221" s="219"/>
      <c r="AQ221" s="219"/>
      <c r="AR221" s="219"/>
      <c r="AS221" s="219"/>
      <c r="AT221" s="219"/>
      <c r="AU221" s="219"/>
      <c r="AV221" s="219"/>
      <c r="AW221" s="219"/>
      <c r="AX221" s="219"/>
      <c r="AY221" s="219"/>
      <c r="AZ221" s="219"/>
      <c r="BA221" s="219"/>
      <c r="BB221" s="219"/>
      <c r="BC221" s="215"/>
    </row>
    <row r="222" spans="2:55" ht="15.75">
      <c r="B222" s="421"/>
      <c r="C222" s="421"/>
      <c r="D222" s="421"/>
      <c r="E222" s="422"/>
      <c r="F222" s="216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8"/>
      <c r="R222" s="216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8"/>
      <c r="AD222" s="216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8"/>
      <c r="AP222" s="219"/>
      <c r="AQ222" s="219"/>
      <c r="AR222" s="219"/>
      <c r="AS222" s="219"/>
      <c r="AT222" s="219"/>
      <c r="AU222" s="219"/>
      <c r="AV222" s="219"/>
      <c r="AW222" s="219"/>
      <c r="AX222" s="219"/>
      <c r="AY222" s="219"/>
      <c r="AZ222" s="219"/>
      <c r="BA222" s="219"/>
      <c r="BB222" s="219"/>
      <c r="BC222" s="215"/>
    </row>
    <row r="223" spans="2:41" ht="15.75" customHeight="1">
      <c r="B223" s="417"/>
      <c r="C223" s="417"/>
      <c r="D223" s="417"/>
      <c r="E223" s="418" t="s">
        <v>763</v>
      </c>
      <c r="F223" s="191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3"/>
      <c r="R223" s="191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3"/>
      <c r="AD223" s="191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3"/>
    </row>
    <row r="224" spans="2:41" ht="15.75">
      <c r="B224" s="417"/>
      <c r="C224" s="417"/>
      <c r="D224" s="417"/>
      <c r="E224" s="418"/>
      <c r="F224" s="203"/>
      <c r="G224" s="204"/>
      <c r="H224" s="204"/>
      <c r="I224" s="204"/>
      <c r="J224" s="204"/>
      <c r="K224" s="204"/>
      <c r="L224" s="204"/>
      <c r="M224" s="204"/>
      <c r="N224" s="204"/>
      <c r="O224" s="195"/>
      <c r="P224" s="195"/>
      <c r="Q224" s="209"/>
      <c r="R224" s="194"/>
      <c r="S224" s="195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7"/>
      <c r="AD224" s="181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3"/>
    </row>
    <row r="225" spans="2:54" ht="15.75">
      <c r="B225" s="417"/>
      <c r="C225" s="417"/>
      <c r="D225" s="417"/>
      <c r="E225" s="418"/>
      <c r="F225" s="199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1"/>
      <c r="R225" s="199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1"/>
      <c r="AD225" s="199"/>
      <c r="AE225" s="200"/>
      <c r="AF225" s="200"/>
      <c r="AG225" s="200"/>
      <c r="AH225" s="200"/>
      <c r="AI225" s="200"/>
      <c r="AJ225" s="200"/>
      <c r="AK225" s="200"/>
      <c r="AL225" s="200"/>
      <c r="AM225" s="200"/>
      <c r="AN225" s="200"/>
      <c r="AO225" s="201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</row>
    <row r="226" spans="2:41" ht="15.75">
      <c r="B226" s="31"/>
      <c r="C226" s="31"/>
      <c r="D226" s="31"/>
      <c r="E226" s="186" t="s">
        <v>774</v>
      </c>
      <c r="F226" s="187"/>
      <c r="G226" s="188"/>
      <c r="H226" s="189"/>
      <c r="I226" s="188"/>
      <c r="J226" s="189"/>
      <c r="K226" s="188"/>
      <c r="L226" s="189"/>
      <c r="M226" s="188"/>
      <c r="N226" s="189"/>
      <c r="O226" s="188"/>
      <c r="P226" s="189"/>
      <c r="Q226" s="190"/>
      <c r="R226" s="187"/>
      <c r="S226" s="188"/>
      <c r="T226" s="189"/>
      <c r="U226" s="188"/>
      <c r="V226" s="189"/>
      <c r="W226" s="188"/>
      <c r="X226" s="189"/>
      <c r="Y226" s="188"/>
      <c r="Z226" s="189"/>
      <c r="AA226" s="188"/>
      <c r="AB226" s="189"/>
      <c r="AC226" s="190"/>
      <c r="AD226" s="187"/>
      <c r="AE226" s="188"/>
      <c r="AF226" s="189"/>
      <c r="AG226" s="188"/>
      <c r="AH226" s="189"/>
      <c r="AI226" s="188"/>
      <c r="AJ226" s="189"/>
      <c r="AK226" s="188"/>
      <c r="AL226" s="189"/>
      <c r="AM226" s="188"/>
      <c r="AN226" s="189"/>
      <c r="AO226" s="190"/>
    </row>
    <row r="227" spans="2:41" ht="15.75" customHeight="1">
      <c r="B227" s="421"/>
      <c r="C227" s="421"/>
      <c r="D227" s="421"/>
      <c r="E227" s="422" t="s">
        <v>844</v>
      </c>
      <c r="F227" s="229"/>
      <c r="G227" s="230"/>
      <c r="H227" s="231"/>
      <c r="I227" s="230"/>
      <c r="J227" s="231"/>
      <c r="K227" s="230"/>
      <c r="L227" s="231"/>
      <c r="M227" s="230"/>
      <c r="N227" s="231"/>
      <c r="O227" s="230"/>
      <c r="P227" s="231"/>
      <c r="Q227" s="232"/>
      <c r="R227" s="229"/>
      <c r="S227" s="230"/>
      <c r="T227" s="231"/>
      <c r="U227" s="230"/>
      <c r="V227" s="231"/>
      <c r="W227" s="230"/>
      <c r="X227" s="231"/>
      <c r="Y227" s="230"/>
      <c r="Z227" s="231"/>
      <c r="AA227" s="230"/>
      <c r="AB227" s="231"/>
      <c r="AC227" s="232"/>
      <c r="AD227" s="229"/>
      <c r="AE227" s="230"/>
      <c r="AF227" s="231"/>
      <c r="AG227" s="230"/>
      <c r="AH227" s="231"/>
      <c r="AI227" s="230"/>
      <c r="AJ227" s="231"/>
      <c r="AK227" s="230"/>
      <c r="AL227" s="231"/>
      <c r="AM227" s="230"/>
      <c r="AN227" s="231"/>
      <c r="AO227" s="232"/>
    </row>
    <row r="228" spans="2:41" ht="15.75">
      <c r="B228" s="421"/>
      <c r="C228" s="421"/>
      <c r="D228" s="421"/>
      <c r="E228" s="422"/>
      <c r="F228" s="203"/>
      <c r="G228" s="204"/>
      <c r="H228" s="204"/>
      <c r="I228" s="204"/>
      <c r="J228" s="204"/>
      <c r="K228" s="204"/>
      <c r="L228" s="204"/>
      <c r="M228" s="204"/>
      <c r="N228" s="204"/>
      <c r="O228" s="195"/>
      <c r="P228" s="195"/>
      <c r="Q228" s="209"/>
      <c r="R228" s="194"/>
      <c r="S228" s="195"/>
      <c r="T228" s="196"/>
      <c r="U228" s="196"/>
      <c r="V228" s="196"/>
      <c r="W228" s="196"/>
      <c r="X228" s="196"/>
      <c r="Y228" s="196"/>
      <c r="Z228" s="233"/>
      <c r="AA228" s="234"/>
      <c r="AB228" s="233"/>
      <c r="AC228" s="235"/>
      <c r="AD228" s="236"/>
      <c r="AE228" s="234"/>
      <c r="AF228" s="233"/>
      <c r="AG228" s="234"/>
      <c r="AH228" s="233"/>
      <c r="AI228" s="234"/>
      <c r="AJ228" s="233"/>
      <c r="AK228" s="234"/>
      <c r="AL228" s="231"/>
      <c r="AM228" s="230"/>
      <c r="AN228" s="231"/>
      <c r="AO228" s="232"/>
    </row>
    <row r="229" spans="2:55" ht="15.75">
      <c r="B229" s="421"/>
      <c r="C229" s="421"/>
      <c r="D229" s="421"/>
      <c r="E229" s="422"/>
      <c r="F229" s="216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8"/>
      <c r="R229" s="216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8"/>
      <c r="AD229" s="216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8"/>
      <c r="AP229" s="219"/>
      <c r="AQ229" s="219"/>
      <c r="AR229" s="219"/>
      <c r="AS229" s="219"/>
      <c r="AT229" s="219"/>
      <c r="AU229" s="219"/>
      <c r="AV229" s="219"/>
      <c r="AW229" s="219"/>
      <c r="AX229" s="219"/>
      <c r="AY229" s="219"/>
      <c r="AZ229" s="219"/>
      <c r="BA229" s="219"/>
      <c r="BB229" s="219"/>
      <c r="BC229" s="215"/>
    </row>
    <row r="230" spans="2:41" ht="15.75" customHeight="1">
      <c r="B230" s="417"/>
      <c r="C230" s="417"/>
      <c r="D230" s="417"/>
      <c r="E230" s="418" t="s">
        <v>845</v>
      </c>
      <c r="F230" s="191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3"/>
      <c r="R230" s="191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3"/>
      <c r="AD230" s="191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3"/>
    </row>
    <row r="231" spans="2:41" ht="15.75">
      <c r="B231" s="417"/>
      <c r="C231" s="417"/>
      <c r="D231" s="417"/>
      <c r="E231" s="418"/>
      <c r="F231" s="203"/>
      <c r="G231" s="204"/>
      <c r="H231" s="204"/>
      <c r="I231" s="204"/>
      <c r="J231" s="204"/>
      <c r="K231" s="204"/>
      <c r="L231" s="204"/>
      <c r="M231" s="204"/>
      <c r="N231" s="204"/>
      <c r="O231" s="195"/>
      <c r="P231" s="195"/>
      <c r="Q231" s="209"/>
      <c r="R231" s="194"/>
      <c r="S231" s="195"/>
      <c r="T231" s="196"/>
      <c r="U231" s="196"/>
      <c r="V231" s="196"/>
      <c r="W231" s="196"/>
      <c r="X231" s="196"/>
      <c r="Y231" s="196"/>
      <c r="Z231" s="233"/>
      <c r="AA231" s="234"/>
      <c r="AB231" s="233"/>
      <c r="AC231" s="235"/>
      <c r="AD231" s="236"/>
      <c r="AE231" s="234"/>
      <c r="AF231" s="233"/>
      <c r="AG231" s="234"/>
      <c r="AH231" s="233"/>
      <c r="AI231" s="234"/>
      <c r="AJ231" s="233"/>
      <c r="AK231" s="234"/>
      <c r="AL231" s="182"/>
      <c r="AM231" s="182"/>
      <c r="AN231" s="182"/>
      <c r="AO231" s="183"/>
    </row>
    <row r="232" spans="2:54" ht="15.75">
      <c r="B232" s="417"/>
      <c r="C232" s="417"/>
      <c r="D232" s="417"/>
      <c r="E232" s="418"/>
      <c r="F232" s="199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1"/>
      <c r="R232" s="199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1"/>
      <c r="AD232" s="199"/>
      <c r="AE232" s="200"/>
      <c r="AF232" s="200"/>
      <c r="AG232" s="200"/>
      <c r="AH232" s="200"/>
      <c r="AI232" s="200"/>
      <c r="AJ232" s="200"/>
      <c r="AK232" s="200"/>
      <c r="AL232" s="200"/>
      <c r="AM232" s="200"/>
      <c r="AN232" s="200"/>
      <c r="AO232" s="201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</row>
    <row r="233" spans="2:41" ht="15.75" customHeight="1">
      <c r="B233" s="417"/>
      <c r="C233" s="417"/>
      <c r="D233" s="417"/>
      <c r="E233" s="418" t="s">
        <v>846</v>
      </c>
      <c r="F233" s="191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3"/>
      <c r="R233" s="191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3"/>
      <c r="AD233" s="191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3"/>
    </row>
    <row r="234" spans="2:41" ht="15.75">
      <c r="B234" s="417"/>
      <c r="C234" s="417"/>
      <c r="D234" s="417"/>
      <c r="E234" s="418"/>
      <c r="F234" s="203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10"/>
      <c r="R234" s="194"/>
      <c r="S234" s="195"/>
      <c r="T234" s="195"/>
      <c r="U234" s="195"/>
      <c r="V234" s="195"/>
      <c r="W234" s="196"/>
      <c r="X234" s="196"/>
      <c r="Y234" s="196"/>
      <c r="Z234" s="196"/>
      <c r="AA234" s="196"/>
      <c r="AB234" s="196"/>
      <c r="AC234" s="197"/>
      <c r="AD234" s="198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83"/>
    </row>
    <row r="235" spans="2:54" ht="15.75">
      <c r="B235" s="417"/>
      <c r="C235" s="417"/>
      <c r="D235" s="417"/>
      <c r="E235" s="418"/>
      <c r="F235" s="199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1"/>
      <c r="R235" s="199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1"/>
      <c r="AD235" s="199"/>
      <c r="AE235" s="200"/>
      <c r="AF235" s="200"/>
      <c r="AG235" s="200"/>
      <c r="AH235" s="200"/>
      <c r="AI235" s="200"/>
      <c r="AJ235" s="200"/>
      <c r="AK235" s="200"/>
      <c r="AL235" s="200"/>
      <c r="AM235" s="200"/>
      <c r="AN235" s="200"/>
      <c r="AO235" s="201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</row>
    <row r="236" spans="2:41" ht="15.75">
      <c r="B236" s="31"/>
      <c r="C236" s="31"/>
      <c r="D236" s="31"/>
      <c r="E236" s="186" t="s">
        <v>778</v>
      </c>
      <c r="F236" s="187"/>
      <c r="G236" s="188"/>
      <c r="H236" s="189"/>
      <c r="I236" s="188"/>
      <c r="J236" s="189"/>
      <c r="K236" s="188"/>
      <c r="L236" s="189"/>
      <c r="M236" s="188"/>
      <c r="N236" s="189"/>
      <c r="O236" s="188"/>
      <c r="P236" s="189"/>
      <c r="Q236" s="190"/>
      <c r="R236" s="187"/>
      <c r="S236" s="188"/>
      <c r="T236" s="189"/>
      <c r="U236" s="188"/>
      <c r="V236" s="189"/>
      <c r="W236" s="188"/>
      <c r="X236" s="189"/>
      <c r="Y236" s="188"/>
      <c r="Z236" s="189"/>
      <c r="AA236" s="188"/>
      <c r="AB236" s="189"/>
      <c r="AC236" s="190"/>
      <c r="AD236" s="187"/>
      <c r="AE236" s="188"/>
      <c r="AF236" s="189"/>
      <c r="AG236" s="188"/>
      <c r="AH236" s="189"/>
      <c r="AI236" s="188"/>
      <c r="AJ236" s="189"/>
      <c r="AK236" s="188"/>
      <c r="AL236" s="189"/>
      <c r="AM236" s="188"/>
      <c r="AN236" s="189"/>
      <c r="AO236" s="190"/>
    </row>
    <row r="237" spans="2:55" ht="15.75" customHeight="1">
      <c r="B237" s="417"/>
      <c r="C237" s="417"/>
      <c r="D237" s="417"/>
      <c r="E237" s="423" t="s">
        <v>117</v>
      </c>
      <c r="F237" s="216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8"/>
      <c r="R237" s="216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8"/>
      <c r="AD237" s="216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8"/>
      <c r="AP237" s="219"/>
      <c r="AQ237" s="219"/>
      <c r="AR237" s="219"/>
      <c r="AS237" s="219"/>
      <c r="AT237" s="219"/>
      <c r="AU237" s="219"/>
      <c r="AV237" s="219"/>
      <c r="AW237" s="219"/>
      <c r="AX237" s="219"/>
      <c r="AY237" s="219"/>
      <c r="AZ237" s="219"/>
      <c r="BA237" s="219"/>
      <c r="BB237" s="219"/>
      <c r="BC237" s="215"/>
    </row>
    <row r="238" spans="2:55" ht="15.75">
      <c r="B238" s="417"/>
      <c r="C238" s="417"/>
      <c r="D238" s="417"/>
      <c r="E238" s="423"/>
      <c r="F238" s="220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8"/>
      <c r="R238" s="223"/>
      <c r="S238" s="224"/>
      <c r="T238" s="224"/>
      <c r="U238" s="224"/>
      <c r="V238" s="224"/>
      <c r="W238" s="225"/>
      <c r="X238" s="225"/>
      <c r="Y238" s="225"/>
      <c r="Z238" s="225"/>
      <c r="AA238" s="225"/>
      <c r="AB238" s="225"/>
      <c r="AC238" s="226"/>
      <c r="AD238" s="227"/>
      <c r="AE238" s="225"/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6"/>
      <c r="AP238" s="219"/>
      <c r="AQ238" s="219"/>
      <c r="AR238" s="219"/>
      <c r="AS238" s="219"/>
      <c r="AT238" s="219"/>
      <c r="AU238" s="219"/>
      <c r="AV238" s="219"/>
      <c r="AW238" s="219"/>
      <c r="AX238" s="219"/>
      <c r="AY238" s="219"/>
      <c r="AZ238" s="219"/>
      <c r="BA238" s="219"/>
      <c r="BB238" s="219"/>
      <c r="BC238" s="215"/>
    </row>
    <row r="239" spans="2:55" ht="15.75">
      <c r="B239" s="417"/>
      <c r="C239" s="417"/>
      <c r="D239" s="417"/>
      <c r="E239" s="423"/>
      <c r="F239" s="216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8"/>
      <c r="R239" s="216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8"/>
      <c r="AD239" s="216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8"/>
      <c r="AP239" s="219"/>
      <c r="AQ239" s="219"/>
      <c r="AR239" s="219"/>
      <c r="AS239" s="219"/>
      <c r="AT239" s="219"/>
      <c r="AU239" s="219"/>
      <c r="AV239" s="219"/>
      <c r="AW239" s="219"/>
      <c r="AX239" s="219"/>
      <c r="AY239" s="219"/>
      <c r="AZ239" s="219"/>
      <c r="BA239" s="219"/>
      <c r="BB239" s="219"/>
      <c r="BC239" s="215"/>
    </row>
    <row r="240" spans="2:41" ht="15.75" customHeight="1">
      <c r="B240" s="417"/>
      <c r="C240" s="417"/>
      <c r="D240" s="417"/>
      <c r="E240" s="418" t="s">
        <v>118</v>
      </c>
      <c r="F240" s="191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3"/>
      <c r="R240" s="191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3"/>
      <c r="AD240" s="191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2"/>
      <c r="AO240" s="193"/>
    </row>
    <row r="241" spans="2:41" ht="15.75">
      <c r="B241" s="417"/>
      <c r="C241" s="417"/>
      <c r="D241" s="417"/>
      <c r="E241" s="418"/>
      <c r="F241" s="181"/>
      <c r="G241" s="182"/>
      <c r="H241" s="182"/>
      <c r="I241" s="182"/>
      <c r="J241" s="182"/>
      <c r="K241" s="182"/>
      <c r="L241" s="204"/>
      <c r="M241" s="204"/>
      <c r="N241" s="204"/>
      <c r="O241" s="204"/>
      <c r="P241" s="204"/>
      <c r="Q241" s="210"/>
      <c r="R241" s="194"/>
      <c r="S241" s="195"/>
      <c r="T241" s="195"/>
      <c r="U241" s="195"/>
      <c r="V241" s="195"/>
      <c r="W241" s="196"/>
      <c r="X241" s="196"/>
      <c r="Y241" s="196"/>
      <c r="Z241" s="196"/>
      <c r="AA241" s="196"/>
      <c r="AB241" s="196"/>
      <c r="AC241" s="197"/>
      <c r="AD241" s="181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3"/>
    </row>
    <row r="242" spans="2:54" ht="15.75">
      <c r="B242" s="417"/>
      <c r="C242" s="417"/>
      <c r="D242" s="417"/>
      <c r="E242" s="418"/>
      <c r="F242" s="199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1"/>
      <c r="R242" s="199"/>
      <c r="S242" s="200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1"/>
      <c r="AD242" s="199"/>
      <c r="AE242" s="200"/>
      <c r="AF242" s="200"/>
      <c r="AG242" s="200"/>
      <c r="AH242" s="200"/>
      <c r="AI242" s="200"/>
      <c r="AJ242" s="200"/>
      <c r="AK242" s="200"/>
      <c r="AL242" s="200"/>
      <c r="AM242" s="200"/>
      <c r="AN242" s="200"/>
      <c r="AO242" s="201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</row>
    <row r="243" spans="2:41" ht="15.75" customHeight="1">
      <c r="B243" s="417"/>
      <c r="C243" s="417"/>
      <c r="D243" s="417"/>
      <c r="E243" s="418" t="s">
        <v>51</v>
      </c>
      <c r="F243" s="191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3"/>
      <c r="R243" s="191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3"/>
      <c r="AD243" s="191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2"/>
      <c r="AO243" s="193"/>
    </row>
    <row r="244" spans="2:41" ht="15.75">
      <c r="B244" s="417"/>
      <c r="C244" s="417"/>
      <c r="D244" s="417"/>
      <c r="E244" s="418"/>
      <c r="F244" s="181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3"/>
      <c r="R244" s="198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7"/>
      <c r="AD244" s="198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7"/>
    </row>
    <row r="245" spans="2:54" ht="15.75">
      <c r="B245" s="417"/>
      <c r="C245" s="417"/>
      <c r="D245" s="417"/>
      <c r="E245" s="418"/>
      <c r="F245" s="199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1"/>
      <c r="R245" s="199"/>
      <c r="S245" s="200"/>
      <c r="T245" s="200"/>
      <c r="U245" s="200"/>
      <c r="V245" s="200"/>
      <c r="W245" s="200"/>
      <c r="X245" s="200"/>
      <c r="Y245" s="200"/>
      <c r="Z245" s="200"/>
      <c r="AA245" s="200"/>
      <c r="AB245" s="200"/>
      <c r="AC245" s="201"/>
      <c r="AD245" s="199"/>
      <c r="AE245" s="200"/>
      <c r="AF245" s="200"/>
      <c r="AG245" s="200"/>
      <c r="AH245" s="200"/>
      <c r="AI245" s="200"/>
      <c r="AJ245" s="200"/>
      <c r="AK245" s="200"/>
      <c r="AL245" s="200"/>
      <c r="AM245" s="200"/>
      <c r="AN245" s="200"/>
      <c r="AO245" s="201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</row>
    <row r="246" spans="2:41" ht="30">
      <c r="B246" s="31"/>
      <c r="C246" s="31"/>
      <c r="D246" s="31">
        <v>3</v>
      </c>
      <c r="E246" s="186" t="s">
        <v>122</v>
      </c>
      <c r="F246" s="187"/>
      <c r="G246" s="188"/>
      <c r="H246" s="189"/>
      <c r="I246" s="188"/>
      <c r="J246" s="189"/>
      <c r="K246" s="188"/>
      <c r="L246" s="189"/>
      <c r="M246" s="188"/>
      <c r="N246" s="189"/>
      <c r="O246" s="188"/>
      <c r="P246" s="189"/>
      <c r="Q246" s="190"/>
      <c r="R246" s="187"/>
      <c r="S246" s="188"/>
      <c r="T246" s="189"/>
      <c r="U246" s="188"/>
      <c r="V246" s="189"/>
      <c r="W246" s="188"/>
      <c r="X246" s="189"/>
      <c r="Y246" s="188"/>
      <c r="Z246" s="189"/>
      <c r="AA246" s="188"/>
      <c r="AB246" s="189"/>
      <c r="AC246" s="190"/>
      <c r="AD246" s="187"/>
      <c r="AE246" s="188"/>
      <c r="AF246" s="189"/>
      <c r="AG246" s="188"/>
      <c r="AH246" s="189"/>
      <c r="AI246" s="188"/>
      <c r="AJ246" s="189"/>
      <c r="AK246" s="188"/>
      <c r="AL246" s="189"/>
      <c r="AM246" s="188"/>
      <c r="AN246" s="189"/>
      <c r="AO246" s="190"/>
    </row>
    <row r="247" spans="2:41" ht="15.75">
      <c r="B247" s="31"/>
      <c r="C247" s="31"/>
      <c r="D247" s="31" t="s">
        <v>628</v>
      </c>
      <c r="E247" s="186" t="s">
        <v>123</v>
      </c>
      <c r="F247" s="187"/>
      <c r="G247" s="188"/>
      <c r="H247" s="189"/>
      <c r="I247" s="188"/>
      <c r="J247" s="189"/>
      <c r="K247" s="188"/>
      <c r="L247" s="189"/>
      <c r="M247" s="188"/>
      <c r="N247" s="189"/>
      <c r="O247" s="188"/>
      <c r="P247" s="189"/>
      <c r="Q247" s="190"/>
      <c r="R247" s="187"/>
      <c r="S247" s="188"/>
      <c r="T247" s="189"/>
      <c r="U247" s="188"/>
      <c r="V247" s="189"/>
      <c r="W247" s="188"/>
      <c r="X247" s="189"/>
      <c r="Y247" s="188"/>
      <c r="Z247" s="189"/>
      <c r="AA247" s="188"/>
      <c r="AB247" s="189"/>
      <c r="AC247" s="190"/>
      <c r="AD247" s="187"/>
      <c r="AE247" s="188"/>
      <c r="AF247" s="189"/>
      <c r="AG247" s="188"/>
      <c r="AH247" s="189"/>
      <c r="AI247" s="188"/>
      <c r="AJ247" s="189"/>
      <c r="AK247" s="188"/>
      <c r="AL247" s="189"/>
      <c r="AM247" s="188"/>
      <c r="AN247" s="189"/>
      <c r="AO247" s="190"/>
    </row>
    <row r="248" spans="2:55" ht="17.25" customHeight="1">
      <c r="B248" s="421"/>
      <c r="C248" s="421"/>
      <c r="D248" s="421" t="s">
        <v>847</v>
      </c>
      <c r="E248" s="422" t="s">
        <v>124</v>
      </c>
      <c r="F248" s="216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8"/>
      <c r="R248" s="216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8"/>
      <c r="AD248" s="216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8"/>
      <c r="AP248" s="219"/>
      <c r="AQ248" s="219"/>
      <c r="AR248" s="219"/>
      <c r="AS248" s="219"/>
      <c r="AT248" s="219"/>
      <c r="AU248" s="219"/>
      <c r="AV248" s="219"/>
      <c r="AW248" s="219"/>
      <c r="AX248" s="219"/>
      <c r="AY248" s="219"/>
      <c r="AZ248" s="219"/>
      <c r="BA248" s="219"/>
      <c r="BB248" s="219"/>
      <c r="BC248" s="215"/>
    </row>
    <row r="249" spans="2:55" ht="15.75">
      <c r="B249" s="421"/>
      <c r="C249" s="421"/>
      <c r="D249" s="421"/>
      <c r="E249" s="422"/>
      <c r="F249" s="227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6"/>
      <c r="R249" s="227"/>
      <c r="S249" s="225"/>
      <c r="T249" s="225"/>
      <c r="U249" s="225"/>
      <c r="V249" s="225"/>
      <c r="W249" s="225"/>
      <c r="X249" s="225"/>
      <c r="Y249" s="225"/>
      <c r="Z249" s="225"/>
      <c r="AA249" s="225"/>
      <c r="AB249" s="225"/>
      <c r="AC249" s="226"/>
      <c r="AD249" s="227"/>
      <c r="AE249" s="225"/>
      <c r="AF249" s="225"/>
      <c r="AG249" s="225"/>
      <c r="AH249" s="225"/>
      <c r="AI249" s="225"/>
      <c r="AJ249" s="225"/>
      <c r="AK249" s="225"/>
      <c r="AL249" s="225"/>
      <c r="AM249" s="225"/>
      <c r="AN249" s="225"/>
      <c r="AO249" s="226"/>
      <c r="AP249" s="219"/>
      <c r="AQ249" s="219"/>
      <c r="AR249" s="219"/>
      <c r="AS249" s="219"/>
      <c r="AT249" s="219"/>
      <c r="AU249" s="219"/>
      <c r="AV249" s="219"/>
      <c r="AW249" s="219"/>
      <c r="AX249" s="219"/>
      <c r="AY249" s="219"/>
      <c r="AZ249" s="219"/>
      <c r="BA249" s="219"/>
      <c r="BB249" s="219"/>
      <c r="BC249" s="215"/>
    </row>
    <row r="250" spans="2:55" ht="15.75">
      <c r="B250" s="421"/>
      <c r="C250" s="421"/>
      <c r="D250" s="421"/>
      <c r="E250" s="422"/>
      <c r="F250" s="216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8"/>
      <c r="R250" s="216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8"/>
      <c r="AD250" s="216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8"/>
      <c r="AP250" s="219"/>
      <c r="AQ250" s="219"/>
      <c r="AR250" s="219"/>
      <c r="AS250" s="219"/>
      <c r="AT250" s="219"/>
      <c r="AU250" s="219"/>
      <c r="AV250" s="219"/>
      <c r="AW250" s="219"/>
      <c r="AX250" s="219"/>
      <c r="AY250" s="219"/>
      <c r="AZ250" s="219"/>
      <c r="BA250" s="219"/>
      <c r="BB250" s="219"/>
      <c r="BC250" s="215"/>
    </row>
    <row r="251" spans="2:41" ht="15.75" customHeight="1">
      <c r="B251" s="417"/>
      <c r="C251" s="417"/>
      <c r="D251" s="417" t="s">
        <v>848</v>
      </c>
      <c r="E251" s="418" t="s">
        <v>125</v>
      </c>
      <c r="F251" s="191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3"/>
      <c r="R251" s="191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3"/>
      <c r="AD251" s="191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2"/>
      <c r="AO251" s="193"/>
    </row>
    <row r="252" spans="2:41" ht="15.75">
      <c r="B252" s="417"/>
      <c r="C252" s="417"/>
      <c r="D252" s="417"/>
      <c r="E252" s="418"/>
      <c r="F252" s="194"/>
      <c r="G252" s="195"/>
      <c r="H252" s="195"/>
      <c r="I252" s="195"/>
      <c r="J252" s="195"/>
      <c r="K252" s="196"/>
      <c r="L252" s="196"/>
      <c r="M252" s="196"/>
      <c r="N252" s="196"/>
      <c r="O252" s="196"/>
      <c r="P252" s="196"/>
      <c r="Q252" s="197"/>
      <c r="R252" s="181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3"/>
      <c r="AD252" s="181"/>
      <c r="AE252" s="182"/>
      <c r="AF252" s="182"/>
      <c r="AG252" s="182"/>
      <c r="AH252" s="182"/>
      <c r="AI252" s="182"/>
      <c r="AJ252" s="182"/>
      <c r="AK252" s="196"/>
      <c r="AL252" s="196"/>
      <c r="AM252" s="196"/>
      <c r="AN252" s="196"/>
      <c r="AO252" s="197"/>
    </row>
    <row r="253" spans="2:54" ht="15.75">
      <c r="B253" s="417"/>
      <c r="C253" s="417"/>
      <c r="D253" s="417"/>
      <c r="E253" s="418"/>
      <c r="F253" s="199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1"/>
      <c r="R253" s="199"/>
      <c r="S253" s="200"/>
      <c r="T253" s="200"/>
      <c r="U253" s="200"/>
      <c r="V253" s="200"/>
      <c r="W253" s="200"/>
      <c r="X253" s="200"/>
      <c r="Y253" s="200"/>
      <c r="Z253" s="200"/>
      <c r="AA253" s="200"/>
      <c r="AB253" s="200"/>
      <c r="AC253" s="201"/>
      <c r="AD253" s="199"/>
      <c r="AE253" s="200"/>
      <c r="AF253" s="200"/>
      <c r="AG253" s="200"/>
      <c r="AH253" s="200"/>
      <c r="AI253" s="200"/>
      <c r="AJ253" s="200"/>
      <c r="AK253" s="200"/>
      <c r="AL253" s="200"/>
      <c r="AM253" s="200"/>
      <c r="AN253" s="200"/>
      <c r="AO253" s="201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</row>
    <row r="254" spans="2:41" ht="15.75" customHeight="1">
      <c r="B254" s="419"/>
      <c r="C254" s="419"/>
      <c r="D254" s="419" t="s">
        <v>849</v>
      </c>
      <c r="E254" s="420" t="s">
        <v>126</v>
      </c>
      <c r="F254" s="191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3"/>
      <c r="R254" s="191"/>
      <c r="S254" s="192"/>
      <c r="T254" s="192"/>
      <c r="U254" s="192"/>
      <c r="V254" s="192"/>
      <c r="W254" s="192"/>
      <c r="X254" s="192"/>
      <c r="Y254" s="192"/>
      <c r="Z254" s="192"/>
      <c r="AA254" s="192"/>
      <c r="AB254" s="192"/>
      <c r="AC254" s="193"/>
      <c r="AD254" s="191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2"/>
      <c r="AO254" s="193"/>
    </row>
    <row r="255" spans="2:41" ht="15.75">
      <c r="B255" s="419"/>
      <c r="C255" s="419"/>
      <c r="D255" s="419"/>
      <c r="E255" s="420"/>
      <c r="F255" s="203"/>
      <c r="G255" s="204"/>
      <c r="H255" s="204"/>
      <c r="I255" s="204"/>
      <c r="J255" s="204"/>
      <c r="K255" s="195"/>
      <c r="L255" s="195"/>
      <c r="M255" s="195"/>
      <c r="N255" s="195"/>
      <c r="O255" s="195"/>
      <c r="P255" s="195"/>
      <c r="Q255" s="183"/>
      <c r="R255" s="181"/>
      <c r="S255" s="182"/>
      <c r="T255" s="182"/>
      <c r="U255" s="182"/>
      <c r="V255" s="182"/>
      <c r="W255" s="182"/>
      <c r="X255" s="182"/>
      <c r="Y255" s="182"/>
      <c r="Z255" s="182"/>
      <c r="AA255" s="196"/>
      <c r="AB255" s="196"/>
      <c r="AC255" s="197"/>
      <c r="AD255" s="181"/>
      <c r="AE255" s="182"/>
      <c r="AF255" s="182"/>
      <c r="AG255" s="182"/>
      <c r="AH255" s="182"/>
      <c r="AI255" s="182"/>
      <c r="AJ255" s="182"/>
      <c r="AK255" s="182"/>
      <c r="AL255" s="182"/>
      <c r="AM255" s="196"/>
      <c r="AN255" s="196"/>
      <c r="AO255" s="197"/>
    </row>
    <row r="256" spans="2:54" ht="15.75">
      <c r="B256" s="419"/>
      <c r="C256" s="419"/>
      <c r="D256" s="419"/>
      <c r="E256" s="420"/>
      <c r="F256" s="237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9"/>
      <c r="R256" s="237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9"/>
      <c r="AD256" s="237"/>
      <c r="AE256" s="238"/>
      <c r="AF256" s="238"/>
      <c r="AG256" s="238"/>
      <c r="AH256" s="238"/>
      <c r="AI256" s="238"/>
      <c r="AJ256" s="238"/>
      <c r="AK256" s="238"/>
      <c r="AL256" s="238"/>
      <c r="AM256" s="238"/>
      <c r="AN256" s="238"/>
      <c r="AO256" s="239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2"/>
      <c r="BB256" s="202"/>
    </row>
  </sheetData>
  <sheetProtection selectLockedCells="1" selectUnlockedCells="1"/>
  <mergeCells count="313">
    <mergeCell ref="D1:AO2"/>
    <mergeCell ref="E3:AC3"/>
    <mergeCell ref="B6:B7"/>
    <mergeCell ref="C6:C7"/>
    <mergeCell ref="D6:D7"/>
    <mergeCell ref="E6:E7"/>
    <mergeCell ref="F6:Q6"/>
    <mergeCell ref="R6:AC6"/>
    <mergeCell ref="AD6:AO6"/>
    <mergeCell ref="B12:B14"/>
    <mergeCell ref="C12:C14"/>
    <mergeCell ref="D12:D14"/>
    <mergeCell ref="E12:E14"/>
    <mergeCell ref="B15:B17"/>
    <mergeCell ref="C15:C17"/>
    <mergeCell ref="D15:D17"/>
    <mergeCell ref="E15:E17"/>
    <mergeCell ref="B18:B20"/>
    <mergeCell ref="C18:C20"/>
    <mergeCell ref="D18:D20"/>
    <mergeCell ref="E18:E20"/>
    <mergeCell ref="B21:B23"/>
    <mergeCell ref="C21:C23"/>
    <mergeCell ref="D21:D23"/>
    <mergeCell ref="E21:E23"/>
    <mergeCell ref="B24:B26"/>
    <mergeCell ref="C24:C26"/>
    <mergeCell ref="D24:D26"/>
    <mergeCell ref="E24:E26"/>
    <mergeCell ref="B27:B29"/>
    <mergeCell ref="C27:C29"/>
    <mergeCell ref="D27:D29"/>
    <mergeCell ref="E27:E29"/>
    <mergeCell ref="B30:B32"/>
    <mergeCell ref="C30:C32"/>
    <mergeCell ref="D30:D32"/>
    <mergeCell ref="E30:E32"/>
    <mergeCell ref="B33:B35"/>
    <mergeCell ref="C33:C35"/>
    <mergeCell ref="D33:D35"/>
    <mergeCell ref="E33:E35"/>
    <mergeCell ref="B36:B38"/>
    <mergeCell ref="C36:C38"/>
    <mergeCell ref="D36:D38"/>
    <mergeCell ref="E36:E38"/>
    <mergeCell ref="B40:B42"/>
    <mergeCell ref="C40:C42"/>
    <mergeCell ref="D40:D42"/>
    <mergeCell ref="E40:E42"/>
    <mergeCell ref="B44:B46"/>
    <mergeCell ref="C44:C46"/>
    <mergeCell ref="D44:D46"/>
    <mergeCell ref="E44:E46"/>
    <mergeCell ref="B47:B49"/>
    <mergeCell ref="C47:C49"/>
    <mergeCell ref="D47:D49"/>
    <mergeCell ref="E47:E49"/>
    <mergeCell ref="B51:B53"/>
    <mergeCell ref="C51:C53"/>
    <mergeCell ref="D51:D53"/>
    <mergeCell ref="E51:E53"/>
    <mergeCell ref="B54:B56"/>
    <mergeCell ref="C54:C56"/>
    <mergeCell ref="D54:D56"/>
    <mergeCell ref="E54:E56"/>
    <mergeCell ref="B57:B59"/>
    <mergeCell ref="C57:C59"/>
    <mergeCell ref="D57:D59"/>
    <mergeCell ref="E57:E59"/>
    <mergeCell ref="B61:B63"/>
    <mergeCell ref="C61:C63"/>
    <mergeCell ref="D61:D63"/>
    <mergeCell ref="E61:E63"/>
    <mergeCell ref="B65:B67"/>
    <mergeCell ref="C65:C67"/>
    <mergeCell ref="D65:D67"/>
    <mergeCell ref="E65:E67"/>
    <mergeCell ref="B68:B70"/>
    <mergeCell ref="C68:C70"/>
    <mergeCell ref="D68:D70"/>
    <mergeCell ref="E68:E70"/>
    <mergeCell ref="B71:B73"/>
    <mergeCell ref="C71:C73"/>
    <mergeCell ref="D71:D73"/>
    <mergeCell ref="E71:E73"/>
    <mergeCell ref="B74:B76"/>
    <mergeCell ref="C74:C76"/>
    <mergeCell ref="D74:D76"/>
    <mergeCell ref="E74:E76"/>
    <mergeCell ref="B78:B80"/>
    <mergeCell ref="C78:C80"/>
    <mergeCell ref="D78:D80"/>
    <mergeCell ref="E78:E80"/>
    <mergeCell ref="B83:B85"/>
    <mergeCell ref="C83:C85"/>
    <mergeCell ref="D83:D85"/>
    <mergeCell ref="E83:E85"/>
    <mergeCell ref="B86:B88"/>
    <mergeCell ref="C86:C88"/>
    <mergeCell ref="D86:D88"/>
    <mergeCell ref="E86:E88"/>
    <mergeCell ref="B89:B91"/>
    <mergeCell ref="C89:C91"/>
    <mergeCell ref="D89:D91"/>
    <mergeCell ref="E89:E91"/>
    <mergeCell ref="B92:B94"/>
    <mergeCell ref="C92:C94"/>
    <mergeCell ref="D92:D94"/>
    <mergeCell ref="E92:E94"/>
    <mergeCell ref="B95:B97"/>
    <mergeCell ref="C95:C97"/>
    <mergeCell ref="D95:D97"/>
    <mergeCell ref="E95:E97"/>
    <mergeCell ref="B98:B100"/>
    <mergeCell ref="C98:C100"/>
    <mergeCell ref="D98:D100"/>
    <mergeCell ref="E98:E100"/>
    <mergeCell ref="B101:B103"/>
    <mergeCell ref="C101:C103"/>
    <mergeCell ref="D101:D103"/>
    <mergeCell ref="E101:E103"/>
    <mergeCell ref="B104:B106"/>
    <mergeCell ref="C104:C106"/>
    <mergeCell ref="D104:D106"/>
    <mergeCell ref="E104:E106"/>
    <mergeCell ref="B107:B109"/>
    <mergeCell ref="C107:C109"/>
    <mergeCell ref="D107:D109"/>
    <mergeCell ref="E107:E109"/>
    <mergeCell ref="B110:B112"/>
    <mergeCell ref="C110:C112"/>
    <mergeCell ref="D110:D112"/>
    <mergeCell ref="E110:E112"/>
    <mergeCell ref="B113:B115"/>
    <mergeCell ref="C113:C115"/>
    <mergeCell ref="D113:D115"/>
    <mergeCell ref="E113:E115"/>
    <mergeCell ref="B116:B118"/>
    <mergeCell ref="C116:C118"/>
    <mergeCell ref="D116:D118"/>
    <mergeCell ref="E116:E118"/>
    <mergeCell ref="B120:B122"/>
    <mergeCell ref="C120:C122"/>
    <mergeCell ref="D120:D122"/>
    <mergeCell ref="E120:E122"/>
    <mergeCell ref="B123:B125"/>
    <mergeCell ref="C123:C125"/>
    <mergeCell ref="D123:D125"/>
    <mergeCell ref="E123:E125"/>
    <mergeCell ref="B126:B128"/>
    <mergeCell ref="C126:C128"/>
    <mergeCell ref="D126:D128"/>
    <mergeCell ref="E126:E128"/>
    <mergeCell ref="B129:B131"/>
    <mergeCell ref="C129:C131"/>
    <mergeCell ref="D129:D131"/>
    <mergeCell ref="E129:E131"/>
    <mergeCell ref="B132:B134"/>
    <mergeCell ref="C132:C134"/>
    <mergeCell ref="D132:D134"/>
    <mergeCell ref="E132:E134"/>
    <mergeCell ref="B135:B137"/>
    <mergeCell ref="C135:C137"/>
    <mergeCell ref="D135:D137"/>
    <mergeCell ref="E135:E137"/>
    <mergeCell ref="B138:B140"/>
    <mergeCell ref="C138:C140"/>
    <mergeCell ref="D138:D140"/>
    <mergeCell ref="E138:E140"/>
    <mergeCell ref="B141:B143"/>
    <mergeCell ref="C141:C143"/>
    <mergeCell ref="D141:D143"/>
    <mergeCell ref="E141:E143"/>
    <mergeCell ref="B144:B146"/>
    <mergeCell ref="C144:C146"/>
    <mergeCell ref="D144:D146"/>
    <mergeCell ref="E144:E146"/>
    <mergeCell ref="B147:B149"/>
    <mergeCell ref="C147:C149"/>
    <mergeCell ref="D147:D149"/>
    <mergeCell ref="E147:E149"/>
    <mergeCell ref="B151:B153"/>
    <mergeCell ref="C151:C153"/>
    <mergeCell ref="D151:D153"/>
    <mergeCell ref="E151:E153"/>
    <mergeCell ref="B154:B156"/>
    <mergeCell ref="C154:C156"/>
    <mergeCell ref="D154:D156"/>
    <mergeCell ref="E154:E156"/>
    <mergeCell ref="B157:B159"/>
    <mergeCell ref="C157:C159"/>
    <mergeCell ref="D157:D159"/>
    <mergeCell ref="E157:E159"/>
    <mergeCell ref="B160:B162"/>
    <mergeCell ref="C160:C162"/>
    <mergeCell ref="D160:D162"/>
    <mergeCell ref="E160:E162"/>
    <mergeCell ref="B163:B165"/>
    <mergeCell ref="C163:C165"/>
    <mergeCell ref="D163:D165"/>
    <mergeCell ref="E163:E165"/>
    <mergeCell ref="B166:B168"/>
    <mergeCell ref="C166:C168"/>
    <mergeCell ref="D166:D168"/>
    <mergeCell ref="E166:E168"/>
    <mergeCell ref="B169:B171"/>
    <mergeCell ref="C169:C171"/>
    <mergeCell ref="D169:D171"/>
    <mergeCell ref="E169:E171"/>
    <mergeCell ref="B172:B174"/>
    <mergeCell ref="C172:C174"/>
    <mergeCell ref="D172:D174"/>
    <mergeCell ref="E172:E174"/>
    <mergeCell ref="B175:B177"/>
    <mergeCell ref="C175:C177"/>
    <mergeCell ref="D175:D177"/>
    <mergeCell ref="E175:E177"/>
    <mergeCell ref="B179:B181"/>
    <mergeCell ref="C179:C181"/>
    <mergeCell ref="D179:D181"/>
    <mergeCell ref="E179:E181"/>
    <mergeCell ref="B182:B184"/>
    <mergeCell ref="C182:C184"/>
    <mergeCell ref="D182:D184"/>
    <mergeCell ref="E182:E184"/>
    <mergeCell ref="B185:B187"/>
    <mergeCell ref="C185:C187"/>
    <mergeCell ref="D185:D187"/>
    <mergeCell ref="E185:E187"/>
    <mergeCell ref="B188:B190"/>
    <mergeCell ref="C188:C190"/>
    <mergeCell ref="D188:D190"/>
    <mergeCell ref="E188:E190"/>
    <mergeCell ref="B191:B193"/>
    <mergeCell ref="C191:C193"/>
    <mergeCell ref="D191:D193"/>
    <mergeCell ref="E191:E193"/>
    <mergeCell ref="B194:B196"/>
    <mergeCell ref="C194:C196"/>
    <mergeCell ref="D194:D196"/>
    <mergeCell ref="E194:E196"/>
    <mergeCell ref="B197:B199"/>
    <mergeCell ref="C197:C199"/>
    <mergeCell ref="D197:D199"/>
    <mergeCell ref="E197:E199"/>
    <mergeCell ref="B200:B202"/>
    <mergeCell ref="C200:C202"/>
    <mergeCell ref="D200:D202"/>
    <mergeCell ref="E200:E202"/>
    <mergeCell ref="B203:B205"/>
    <mergeCell ref="C203:C205"/>
    <mergeCell ref="D203:D205"/>
    <mergeCell ref="E203:E205"/>
    <mergeCell ref="B206:B208"/>
    <mergeCell ref="C206:C208"/>
    <mergeCell ref="D206:D208"/>
    <mergeCell ref="E206:E208"/>
    <mergeCell ref="B209:B211"/>
    <mergeCell ref="C209:C211"/>
    <mergeCell ref="D209:D211"/>
    <mergeCell ref="E209:E211"/>
    <mergeCell ref="B212:B214"/>
    <mergeCell ref="C212:C214"/>
    <mergeCell ref="D212:D214"/>
    <mergeCell ref="E212:E214"/>
    <mergeCell ref="B215:B217"/>
    <mergeCell ref="C215:C217"/>
    <mergeCell ref="D215:D217"/>
    <mergeCell ref="E215:E217"/>
    <mergeCell ref="B220:B222"/>
    <mergeCell ref="C220:C222"/>
    <mergeCell ref="D220:D222"/>
    <mergeCell ref="E220:E222"/>
    <mergeCell ref="B223:B225"/>
    <mergeCell ref="C223:C225"/>
    <mergeCell ref="D223:D225"/>
    <mergeCell ref="E223:E225"/>
    <mergeCell ref="B227:B229"/>
    <mergeCell ref="C227:C229"/>
    <mergeCell ref="D227:D229"/>
    <mergeCell ref="E227:E229"/>
    <mergeCell ref="B230:B232"/>
    <mergeCell ref="C230:C232"/>
    <mergeCell ref="D230:D232"/>
    <mergeCell ref="E230:E232"/>
    <mergeCell ref="B233:B235"/>
    <mergeCell ref="C233:C235"/>
    <mergeCell ref="D233:D235"/>
    <mergeCell ref="E233:E235"/>
    <mergeCell ref="B237:B239"/>
    <mergeCell ref="C237:C239"/>
    <mergeCell ref="D237:D239"/>
    <mergeCell ref="E237:E239"/>
    <mergeCell ref="B240:B242"/>
    <mergeCell ref="C240:C242"/>
    <mergeCell ref="D240:D242"/>
    <mergeCell ref="E240:E242"/>
    <mergeCell ref="B243:B245"/>
    <mergeCell ref="C243:C245"/>
    <mergeCell ref="D243:D245"/>
    <mergeCell ref="E243:E245"/>
    <mergeCell ref="B248:B250"/>
    <mergeCell ref="C248:C250"/>
    <mergeCell ref="D248:D250"/>
    <mergeCell ref="E248:E250"/>
    <mergeCell ref="B251:B253"/>
    <mergeCell ref="C251:C253"/>
    <mergeCell ref="D251:D253"/>
    <mergeCell ref="E251:E253"/>
    <mergeCell ref="B254:B256"/>
    <mergeCell ref="C254:C256"/>
    <mergeCell ref="D254:D256"/>
    <mergeCell ref="E254:E25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7"/>
  <sheetViews>
    <sheetView showGridLines="0" zoomScale="90" zoomScaleNormal="90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9.7109375" style="26" customWidth="1"/>
    <col min="2" max="2" width="9.140625" style="26" customWidth="1"/>
    <col min="3" max="3" width="87.421875" style="27" customWidth="1"/>
    <col min="4" max="4" width="17.00390625" style="27" hidden="1" customWidth="1"/>
    <col min="5" max="5" width="17.00390625" style="28" hidden="1" customWidth="1"/>
    <col min="6" max="6" width="16.421875" style="28" hidden="1" customWidth="1"/>
    <col min="7" max="7" width="15.28125" style="28" hidden="1" customWidth="1"/>
    <col min="8" max="8" width="16.421875" style="28" hidden="1" customWidth="1"/>
    <col min="9" max="9" width="14.28125" style="28" hidden="1" customWidth="1"/>
    <col min="10" max="10" width="8.140625" style="28" hidden="1" customWidth="1"/>
    <col min="11" max="11" width="7.421875" style="28" hidden="1" customWidth="1"/>
    <col min="12" max="12" width="5.57421875" style="27" hidden="1" customWidth="1"/>
    <col min="13" max="16" width="15.421875" style="27" hidden="1" customWidth="1"/>
    <col min="17" max="17" width="14.28125" style="27" hidden="1" customWidth="1"/>
    <col min="18" max="18" width="12.8515625" style="28" hidden="1" customWidth="1"/>
    <col min="19" max="20" width="10.28125" style="28" customWidth="1"/>
    <col min="21" max="16384" width="9.140625" style="28" customWidth="1"/>
  </cols>
  <sheetData>
    <row r="1" spans="1:17" ht="18.75" customHeight="1">
      <c r="A1" s="28"/>
      <c r="B1" s="414" t="s">
        <v>669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30"/>
    </row>
    <row r="2" spans="1:17" ht="18.75" customHeight="1">
      <c r="A2" s="28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30"/>
    </row>
    <row r="3" spans="1:17" ht="18.75" customHeight="1">
      <c r="A3" s="28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28"/>
    </row>
    <row r="4" spans="1:17" ht="15.75" customHeight="1">
      <c r="A4" s="28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28"/>
    </row>
    <row r="5" spans="1:20" ht="40.5" customHeight="1">
      <c r="A5" s="415" t="s">
        <v>670</v>
      </c>
      <c r="B5" s="415" t="s">
        <v>671</v>
      </c>
      <c r="C5" s="416" t="s">
        <v>672</v>
      </c>
      <c r="D5" s="416" t="s">
        <v>673</v>
      </c>
      <c r="E5" s="416" t="s">
        <v>674</v>
      </c>
      <c r="F5" s="416" t="s">
        <v>850</v>
      </c>
      <c r="G5" s="416" t="s">
        <v>676</v>
      </c>
      <c r="H5" s="416" t="s">
        <v>851</v>
      </c>
      <c r="I5" s="416" t="s">
        <v>678</v>
      </c>
      <c r="J5" s="412" t="s">
        <v>679</v>
      </c>
      <c r="K5" s="412"/>
      <c r="L5" s="412" t="s">
        <v>852</v>
      </c>
      <c r="M5" s="412"/>
      <c r="N5" s="412"/>
      <c r="O5" s="412"/>
      <c r="P5" s="412"/>
      <c r="Q5" s="32"/>
      <c r="S5" s="431" t="s">
        <v>853</v>
      </c>
      <c r="T5" s="431"/>
    </row>
    <row r="6" spans="1:20" ht="28.5" customHeight="1">
      <c r="A6" s="415"/>
      <c r="B6" s="415"/>
      <c r="C6" s="416"/>
      <c r="D6" s="416"/>
      <c r="E6" s="416"/>
      <c r="F6" s="416"/>
      <c r="G6" s="416"/>
      <c r="H6" s="416"/>
      <c r="I6" s="416"/>
      <c r="J6" s="33" t="s">
        <v>681</v>
      </c>
      <c r="K6" s="33" t="s">
        <v>682</v>
      </c>
      <c r="L6" s="33" t="s">
        <v>9</v>
      </c>
      <c r="M6" s="33" t="s">
        <v>10</v>
      </c>
      <c r="N6" s="33" t="s">
        <v>11</v>
      </c>
      <c r="O6" s="33" t="s">
        <v>12</v>
      </c>
      <c r="P6" s="33" t="s">
        <v>13</v>
      </c>
      <c r="Q6" s="32"/>
      <c r="S6" s="175" t="s">
        <v>854</v>
      </c>
      <c r="T6" s="240" t="s">
        <v>855</v>
      </c>
    </row>
    <row r="7" spans="1:20" ht="15" hidden="1">
      <c r="A7" s="35"/>
      <c r="B7" s="35"/>
      <c r="C7" s="36"/>
      <c r="D7" s="37">
        <v>2.8</v>
      </c>
      <c r="E7" s="38">
        <v>0</v>
      </c>
      <c r="F7" s="38"/>
      <c r="G7" s="38"/>
      <c r="H7" s="38"/>
      <c r="I7" s="38"/>
      <c r="J7" s="38"/>
      <c r="K7" s="38"/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9"/>
      <c r="T7" s="29"/>
    </row>
    <row r="8" spans="1:20" ht="15" hidden="1">
      <c r="A8" s="40"/>
      <c r="B8" s="40"/>
      <c r="C8" s="41"/>
      <c r="D8" s="41"/>
      <c r="E8" s="42">
        <v>0</v>
      </c>
      <c r="F8" s="42"/>
      <c r="G8" s="42"/>
      <c r="H8" s="42"/>
      <c r="I8" s="42"/>
      <c r="J8" s="42"/>
      <c r="K8" s="42"/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39"/>
      <c r="T8" s="29"/>
    </row>
    <row r="9" spans="1:20" ht="34.5" customHeight="1">
      <c r="A9" s="31"/>
      <c r="B9" s="31">
        <v>1</v>
      </c>
      <c r="C9" s="43" t="s">
        <v>17</v>
      </c>
      <c r="D9" s="44"/>
      <c r="E9" s="44"/>
      <c r="F9" s="44"/>
      <c r="G9" s="44"/>
      <c r="H9" s="44"/>
      <c r="I9" s="44"/>
      <c r="J9" s="44"/>
      <c r="K9" s="44"/>
      <c r="L9" s="45"/>
      <c r="M9" s="44"/>
      <c r="N9" s="44"/>
      <c r="O9" s="44"/>
      <c r="P9" s="44"/>
      <c r="Q9" s="46"/>
      <c r="S9" s="241"/>
      <c r="T9" s="158"/>
    </row>
    <row r="10" spans="1:20" ht="34.5" customHeight="1">
      <c r="A10" s="31"/>
      <c r="B10" s="31" t="s">
        <v>693</v>
      </c>
      <c r="C10" s="43" t="s">
        <v>694</v>
      </c>
      <c r="D10" s="45">
        <f aca="true" t="shared" si="0" ref="D10:I10">D21+D25+D31</f>
        <v>99342454.928</v>
      </c>
      <c r="E10" s="45">
        <f t="shared" si="0"/>
        <v>35479448.18857143</v>
      </c>
      <c r="F10" s="45">
        <f t="shared" si="0"/>
        <v>99636543.45400001</v>
      </c>
      <c r="G10" s="45">
        <f t="shared" si="0"/>
        <v>294088.5259999987</v>
      </c>
      <c r="H10" s="45">
        <f t="shared" si="0"/>
        <v>35289448.16500001</v>
      </c>
      <c r="I10" s="45">
        <f t="shared" si="0"/>
        <v>-190000.0235714279</v>
      </c>
      <c r="J10" s="47">
        <v>1</v>
      </c>
      <c r="K10" s="47">
        <v>0</v>
      </c>
      <c r="L10" s="45">
        <f>L21+L25+L31</f>
        <v>0</v>
      </c>
      <c r="M10" s="45">
        <f>M21+M25+M31</f>
        <v>1379112.86</v>
      </c>
      <c r="N10" s="45">
        <f>N21+N25+N31</f>
        <v>3150948.3083379343</v>
      </c>
      <c r="O10" s="45">
        <f>O21+O25+O31</f>
        <v>15104421.44492348</v>
      </c>
      <c r="P10" s="45">
        <f>P21+P25+P31</f>
        <v>15654965.55173859</v>
      </c>
      <c r="Q10" s="60">
        <f>SUM(L10:P10)-H10</f>
        <v>0</v>
      </c>
      <c r="R10" s="28" t="s">
        <v>695</v>
      </c>
      <c r="S10" s="241"/>
      <c r="T10" s="158"/>
    </row>
    <row r="11" spans="1:20" ht="28.5" customHeight="1">
      <c r="A11" s="49"/>
      <c r="B11" s="49"/>
      <c r="C11" s="50" t="s">
        <v>18</v>
      </c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S11" s="241"/>
      <c r="T11" s="158"/>
    </row>
    <row r="12" spans="1:20" ht="30">
      <c r="A12" s="55">
        <v>3</v>
      </c>
      <c r="B12" s="55" t="s">
        <v>499</v>
      </c>
      <c r="C12" s="56" t="s">
        <v>19</v>
      </c>
      <c r="D12" s="57">
        <f aca="true" t="shared" si="1" ref="D12:D21">E12*$D$7</f>
        <v>532000.056</v>
      </c>
      <c r="E12" s="57">
        <v>190000.02</v>
      </c>
      <c r="F12" s="57">
        <v>0</v>
      </c>
      <c r="G12" s="57">
        <f aca="true" t="shared" si="2" ref="G12:G20">F12-D12</f>
        <v>-532000.056</v>
      </c>
      <c r="H12" s="57">
        <f>F12/$D$7</f>
        <v>0</v>
      </c>
      <c r="I12" s="57">
        <f aca="true" t="shared" si="3" ref="I12:I20">H12-E12</f>
        <v>-190000.02</v>
      </c>
      <c r="J12" s="58">
        <v>1</v>
      </c>
      <c r="K12" s="58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60">
        <f aca="true" t="shared" si="4" ref="Q12:Q21">SUM(L12:P12)-H12</f>
        <v>0</v>
      </c>
      <c r="R12" s="28" t="s">
        <v>695</v>
      </c>
      <c r="S12" s="241"/>
      <c r="T12" s="158"/>
    </row>
    <row r="13" spans="1:20" ht="45">
      <c r="A13" s="55">
        <v>2</v>
      </c>
      <c r="B13" s="55" t="s">
        <v>550</v>
      </c>
      <c r="C13" s="56" t="s">
        <v>20</v>
      </c>
      <c r="D13" s="57">
        <f t="shared" si="1"/>
        <v>16896825.344</v>
      </c>
      <c r="E13" s="57">
        <v>6034580.48</v>
      </c>
      <c r="F13" s="57">
        <v>23088167.13</v>
      </c>
      <c r="G13" s="57">
        <f t="shared" si="2"/>
        <v>6191341.785999998</v>
      </c>
      <c r="H13" s="57">
        <f>F13/$D$7</f>
        <v>8245773.975000001</v>
      </c>
      <c r="I13" s="57">
        <f t="shared" si="3"/>
        <v>2211193.495</v>
      </c>
      <c r="J13" s="58">
        <v>1</v>
      </c>
      <c r="K13" s="58">
        <v>0</v>
      </c>
      <c r="L13" s="59">
        <v>0</v>
      </c>
      <c r="M13" s="59">
        <v>0</v>
      </c>
      <c r="N13" s="59">
        <f>H13/23*3</f>
        <v>1075535.7358695653</v>
      </c>
      <c r="O13" s="59">
        <f>H13/23*12</f>
        <v>4302142.943478261</v>
      </c>
      <c r="P13" s="59">
        <f>H13/23*8</f>
        <v>2868095.295652174</v>
      </c>
      <c r="Q13" s="60">
        <f t="shared" si="4"/>
        <v>0</v>
      </c>
      <c r="R13" s="28" t="s">
        <v>695</v>
      </c>
      <c r="S13" s="241"/>
      <c r="T13" s="158"/>
    </row>
    <row r="14" spans="1:20" ht="30">
      <c r="A14" s="55">
        <v>2</v>
      </c>
      <c r="B14" s="55" t="s">
        <v>489</v>
      </c>
      <c r="C14" s="56" t="s">
        <v>21</v>
      </c>
      <c r="D14" s="57">
        <f t="shared" si="1"/>
        <v>7823230.995999999</v>
      </c>
      <c r="E14" s="57">
        <v>2794011.07</v>
      </c>
      <c r="F14" s="57">
        <f>4687604.6+(H14-M14)*2.8</f>
        <v>5026088.591999999</v>
      </c>
      <c r="G14" s="61">
        <f t="shared" si="2"/>
        <v>-2797142.404</v>
      </c>
      <c r="H14" s="106">
        <v>1500000</v>
      </c>
      <c r="I14" s="61">
        <f t="shared" si="3"/>
        <v>-1294011.0699999998</v>
      </c>
      <c r="J14" s="58">
        <v>1</v>
      </c>
      <c r="K14" s="58">
        <v>0</v>
      </c>
      <c r="L14" s="59">
        <v>0</v>
      </c>
      <c r="M14" s="59">
        <v>1379112.86</v>
      </c>
      <c r="N14" s="59">
        <f>H14-M14</f>
        <v>120887.1399999999</v>
      </c>
      <c r="O14" s="59">
        <v>0</v>
      </c>
      <c r="P14" s="59">
        <v>0</v>
      </c>
      <c r="Q14" s="60">
        <f t="shared" si="4"/>
        <v>0</v>
      </c>
      <c r="R14" s="28" t="s">
        <v>695</v>
      </c>
      <c r="S14" s="241"/>
      <c r="T14" s="158"/>
    </row>
    <row r="15" spans="1:20" ht="45">
      <c r="A15" s="55">
        <v>2</v>
      </c>
      <c r="B15" s="55" t="s">
        <v>565</v>
      </c>
      <c r="C15" s="56" t="s">
        <v>22</v>
      </c>
      <c r="D15" s="57">
        <f t="shared" si="1"/>
        <v>18546606.428</v>
      </c>
      <c r="E15" s="57">
        <v>6623788.01</v>
      </c>
      <c r="F15" s="57">
        <v>0</v>
      </c>
      <c r="G15" s="57">
        <f t="shared" si="2"/>
        <v>-18546606.428</v>
      </c>
      <c r="H15" s="57">
        <f aca="true" t="shared" si="5" ref="H15:H20">F15/$D$7</f>
        <v>0</v>
      </c>
      <c r="I15" s="57">
        <f t="shared" si="3"/>
        <v>-6623788.01</v>
      </c>
      <c r="J15" s="58">
        <v>1</v>
      </c>
      <c r="K15" s="58">
        <v>0</v>
      </c>
      <c r="L15" s="59">
        <v>0</v>
      </c>
      <c r="M15" s="59">
        <v>0</v>
      </c>
      <c r="N15" s="59">
        <f>H15/9*3</f>
        <v>0</v>
      </c>
      <c r="O15" s="59">
        <f>H15/9*6</f>
        <v>0</v>
      </c>
      <c r="P15" s="59">
        <v>0</v>
      </c>
      <c r="Q15" s="60">
        <f t="shared" si="4"/>
        <v>0</v>
      </c>
      <c r="R15" s="28" t="s">
        <v>695</v>
      </c>
      <c r="S15" s="241"/>
      <c r="T15" s="158"/>
    </row>
    <row r="16" spans="1:20" ht="30">
      <c r="A16" s="55">
        <v>2</v>
      </c>
      <c r="B16" s="55" t="s">
        <v>560</v>
      </c>
      <c r="C16" s="56" t="s">
        <v>23</v>
      </c>
      <c r="D16" s="57">
        <f t="shared" si="1"/>
        <v>1021504.3719999999</v>
      </c>
      <c r="E16" s="57">
        <v>364822.99</v>
      </c>
      <c r="F16" s="57">
        <v>17000000</v>
      </c>
      <c r="G16" s="57">
        <f t="shared" si="2"/>
        <v>15978495.628</v>
      </c>
      <c r="H16" s="57">
        <f t="shared" si="5"/>
        <v>6071428.571428572</v>
      </c>
      <c r="I16" s="57">
        <f t="shared" si="3"/>
        <v>5706605.581428572</v>
      </c>
      <c r="J16" s="58">
        <v>1</v>
      </c>
      <c r="K16" s="58">
        <v>0</v>
      </c>
      <c r="L16" s="59">
        <v>0</v>
      </c>
      <c r="M16" s="59">
        <v>0</v>
      </c>
      <c r="N16" s="59">
        <f>H16/24*4</f>
        <v>1011904.761904762</v>
      </c>
      <c r="O16" s="59">
        <f>H16/24*12</f>
        <v>3035714.285714286</v>
      </c>
      <c r="P16" s="59">
        <f>H16/24*8</f>
        <v>2023809.523809524</v>
      </c>
      <c r="Q16" s="60">
        <f t="shared" si="4"/>
        <v>0</v>
      </c>
      <c r="R16" s="28" t="s">
        <v>695</v>
      </c>
      <c r="S16" s="241"/>
      <c r="T16" s="158"/>
    </row>
    <row r="17" spans="1:20" ht="45">
      <c r="A17" s="63">
        <v>4</v>
      </c>
      <c r="B17" s="63" t="s">
        <v>569</v>
      </c>
      <c r="C17" s="64" t="s">
        <v>24</v>
      </c>
      <c r="D17" s="65">
        <f t="shared" si="1"/>
        <v>10575066.712</v>
      </c>
      <c r="E17" s="65">
        <v>3776809.54</v>
      </c>
      <c r="F17" s="65">
        <f>D17</f>
        <v>10575066.712</v>
      </c>
      <c r="G17" s="65">
        <f t="shared" si="2"/>
        <v>0</v>
      </c>
      <c r="H17" s="65">
        <f t="shared" si="5"/>
        <v>3776809.54</v>
      </c>
      <c r="I17" s="65">
        <f t="shared" si="3"/>
        <v>0</v>
      </c>
      <c r="J17" s="66">
        <v>1</v>
      </c>
      <c r="K17" s="66">
        <v>0</v>
      </c>
      <c r="L17" s="67">
        <v>0</v>
      </c>
      <c r="M17" s="68">
        <v>0</v>
      </c>
      <c r="N17" s="68">
        <f>H17/23*3</f>
        <v>492627.33130434784</v>
      </c>
      <c r="O17" s="68">
        <f>H17/23*12</f>
        <v>1970509.3252173914</v>
      </c>
      <c r="P17" s="68">
        <f>H17/23*8</f>
        <v>1313672.8834782608</v>
      </c>
      <c r="Q17" s="60">
        <f t="shared" si="4"/>
        <v>0</v>
      </c>
      <c r="R17" s="28" t="s">
        <v>695</v>
      </c>
      <c r="S17" s="241"/>
      <c r="T17" s="158"/>
    </row>
    <row r="18" spans="1:20" ht="45">
      <c r="A18" s="63">
        <v>4</v>
      </c>
      <c r="B18" s="63" t="s">
        <v>572</v>
      </c>
      <c r="C18" s="64" t="s">
        <v>25</v>
      </c>
      <c r="D18" s="65">
        <f t="shared" si="1"/>
        <v>13051176.488</v>
      </c>
      <c r="E18" s="65">
        <v>4661134.46</v>
      </c>
      <c r="F18" s="65">
        <f>D18</f>
        <v>13051176.488</v>
      </c>
      <c r="G18" s="65">
        <f t="shared" si="2"/>
        <v>0</v>
      </c>
      <c r="H18" s="65">
        <f t="shared" si="5"/>
        <v>4661134.46</v>
      </c>
      <c r="I18" s="65">
        <f t="shared" si="3"/>
        <v>0</v>
      </c>
      <c r="J18" s="66">
        <v>1</v>
      </c>
      <c r="K18" s="66">
        <v>0</v>
      </c>
      <c r="L18" s="67">
        <v>0</v>
      </c>
      <c r="M18" s="68">
        <v>0</v>
      </c>
      <c r="N18" s="68">
        <f>H18/27*2</f>
        <v>345269.21925925923</v>
      </c>
      <c r="O18" s="68">
        <f>H18/27*12</f>
        <v>2071615.3155555553</v>
      </c>
      <c r="P18" s="68">
        <f>H18/27*13</f>
        <v>2244249.925185185</v>
      </c>
      <c r="Q18" s="60">
        <f t="shared" si="4"/>
        <v>0</v>
      </c>
      <c r="R18" s="28" t="s">
        <v>695</v>
      </c>
      <c r="S18" s="241"/>
      <c r="T18" s="158"/>
    </row>
    <row r="19" spans="1:20" ht="30">
      <c r="A19" s="63">
        <v>4</v>
      </c>
      <c r="B19" s="63" t="s">
        <v>575</v>
      </c>
      <c r="C19" s="64" t="s">
        <v>26</v>
      </c>
      <c r="D19" s="65">
        <f t="shared" si="1"/>
        <v>2333336.88</v>
      </c>
      <c r="E19" s="65">
        <v>833334.6</v>
      </c>
      <c r="F19" s="65">
        <f>D19</f>
        <v>2333336.88</v>
      </c>
      <c r="G19" s="65">
        <f t="shared" si="2"/>
        <v>0</v>
      </c>
      <c r="H19" s="65">
        <f t="shared" si="5"/>
        <v>833334.6</v>
      </c>
      <c r="I19" s="65">
        <f t="shared" si="3"/>
        <v>0</v>
      </c>
      <c r="J19" s="66">
        <v>1</v>
      </c>
      <c r="K19" s="66">
        <v>0</v>
      </c>
      <c r="L19" s="67">
        <v>0</v>
      </c>
      <c r="M19" s="67">
        <v>0</v>
      </c>
      <c r="N19" s="67">
        <f>H19/27*2</f>
        <v>61728.48888888889</v>
      </c>
      <c r="O19" s="67">
        <f>H19/27*12</f>
        <v>370370.93333333335</v>
      </c>
      <c r="P19" s="67">
        <f>H19/27*13</f>
        <v>401235.1777777778</v>
      </c>
      <c r="Q19" s="60">
        <f t="shared" si="4"/>
        <v>0</v>
      </c>
      <c r="R19" s="28" t="s">
        <v>695</v>
      </c>
      <c r="S19" s="241"/>
      <c r="T19" s="158"/>
    </row>
    <row r="20" spans="1:20" ht="30">
      <c r="A20" s="63">
        <v>4</v>
      </c>
      <c r="B20" s="63" t="s">
        <v>578</v>
      </c>
      <c r="C20" s="64" t="s">
        <v>27</v>
      </c>
      <c r="D20" s="65">
        <f t="shared" si="1"/>
        <v>1625234.856</v>
      </c>
      <c r="E20" s="65">
        <v>580441.02</v>
      </c>
      <c r="F20" s="65">
        <f>D20</f>
        <v>1625234.856</v>
      </c>
      <c r="G20" s="65">
        <f t="shared" si="2"/>
        <v>0</v>
      </c>
      <c r="H20" s="65">
        <f t="shared" si="5"/>
        <v>580441.02</v>
      </c>
      <c r="I20" s="65">
        <f t="shared" si="3"/>
        <v>0</v>
      </c>
      <c r="J20" s="66">
        <v>1</v>
      </c>
      <c r="K20" s="66">
        <v>0</v>
      </c>
      <c r="L20" s="67">
        <v>0</v>
      </c>
      <c r="M20" s="67">
        <v>0</v>
      </c>
      <c r="N20" s="67">
        <f>H20/27*2</f>
        <v>42995.63111111111</v>
      </c>
      <c r="O20" s="67">
        <f>H20/27*12</f>
        <v>257973.78666666668</v>
      </c>
      <c r="P20" s="67">
        <f>H20/27*13</f>
        <v>279471.60222222225</v>
      </c>
      <c r="Q20" s="60">
        <f t="shared" si="4"/>
        <v>0</v>
      </c>
      <c r="R20" s="28" t="s">
        <v>695</v>
      </c>
      <c r="S20" s="241"/>
      <c r="T20" s="158"/>
    </row>
    <row r="21" spans="1:20" ht="33" customHeight="1">
      <c r="A21" s="69"/>
      <c r="B21" s="69"/>
      <c r="C21" s="70" t="s">
        <v>28</v>
      </c>
      <c r="D21" s="71">
        <f t="shared" si="1"/>
        <v>72404982.132</v>
      </c>
      <c r="E21" s="71">
        <f>SUM(E12:E20)</f>
        <v>25858922.19</v>
      </c>
      <c r="F21" s="71">
        <f>SUM(F12:F20)</f>
        <v>72699070.658</v>
      </c>
      <c r="G21" s="71">
        <f>SUM(G12:G20)</f>
        <v>294088.5259999987</v>
      </c>
      <c r="H21" s="71">
        <f>SUM(H12:H20)</f>
        <v>25668922.166428573</v>
      </c>
      <c r="I21" s="71">
        <f>SUM(I12:I20)</f>
        <v>-190000.0235714279</v>
      </c>
      <c r="J21" s="72">
        <v>1</v>
      </c>
      <c r="K21" s="72">
        <v>0</v>
      </c>
      <c r="L21" s="71">
        <f>SUM(L12:L20)</f>
        <v>0</v>
      </c>
      <c r="M21" s="71">
        <f>SUM(M12:M20)</f>
        <v>1379112.86</v>
      </c>
      <c r="N21" s="71">
        <f>SUM(N12:N20)</f>
        <v>3150948.3083379343</v>
      </c>
      <c r="O21" s="71">
        <f>SUM(O12:O20)</f>
        <v>12008326.589965496</v>
      </c>
      <c r="P21" s="71">
        <f>SUM(P12:P20)</f>
        <v>9130534.408125143</v>
      </c>
      <c r="Q21" s="60">
        <f t="shared" si="4"/>
        <v>0</v>
      </c>
      <c r="R21" s="28" t="s">
        <v>695</v>
      </c>
      <c r="S21" s="241"/>
      <c r="T21" s="158"/>
    </row>
    <row r="22" spans="1:20" ht="18.75" customHeight="1">
      <c r="A22" s="69"/>
      <c r="B22" s="69"/>
      <c r="C22" s="73" t="s">
        <v>32</v>
      </c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60"/>
      <c r="R22" s="28" t="s">
        <v>695</v>
      </c>
      <c r="S22" s="241"/>
      <c r="T22" s="158"/>
    </row>
    <row r="23" spans="1:20" ht="32.25" customHeight="1">
      <c r="A23" s="63">
        <v>2</v>
      </c>
      <c r="B23" s="63" t="s">
        <v>434</v>
      </c>
      <c r="C23" s="64" t="s">
        <v>33</v>
      </c>
      <c r="D23" s="65">
        <f>E23*$D$7</f>
        <v>319863.6</v>
      </c>
      <c r="E23" s="65">
        <v>114237</v>
      </c>
      <c r="F23" s="65">
        <f>D23</f>
        <v>319863.6</v>
      </c>
      <c r="G23" s="65">
        <f>F23-D23</f>
        <v>0</v>
      </c>
      <c r="H23" s="65">
        <f>E23</f>
        <v>114237</v>
      </c>
      <c r="I23" s="65">
        <f>H23-E23</f>
        <v>0</v>
      </c>
      <c r="J23" s="66">
        <f>J34</f>
        <v>1</v>
      </c>
      <c r="K23" s="66">
        <v>0</v>
      </c>
      <c r="L23" s="67">
        <v>0</v>
      </c>
      <c r="M23" s="67">
        <v>0</v>
      </c>
      <c r="N23" s="67">
        <v>0</v>
      </c>
      <c r="O23" s="67">
        <f>H23</f>
        <v>114237</v>
      </c>
      <c r="P23" s="67">
        <v>0</v>
      </c>
      <c r="Q23" s="60">
        <f>SUM(L23:P23)-H23</f>
        <v>0</v>
      </c>
      <c r="R23" s="28" t="s">
        <v>695</v>
      </c>
      <c r="S23" s="241"/>
      <c r="T23" s="158"/>
    </row>
    <row r="24" spans="1:20" ht="33.75" customHeight="1">
      <c r="A24" s="63">
        <v>2</v>
      </c>
      <c r="B24" s="63" t="s">
        <v>437</v>
      </c>
      <c r="C24" s="64" t="s">
        <v>696</v>
      </c>
      <c r="D24" s="65">
        <f>E24*$D$7</f>
        <v>244504.4</v>
      </c>
      <c r="E24" s="65">
        <v>87323</v>
      </c>
      <c r="F24" s="65">
        <f>D24</f>
        <v>244504.4</v>
      </c>
      <c r="G24" s="65">
        <f>F24-D24</f>
        <v>0</v>
      </c>
      <c r="H24" s="65">
        <f>E24</f>
        <v>87323</v>
      </c>
      <c r="I24" s="65">
        <f>H24-E24</f>
        <v>0</v>
      </c>
      <c r="J24" s="66">
        <v>1</v>
      </c>
      <c r="K24" s="66">
        <v>0</v>
      </c>
      <c r="L24" s="68">
        <v>0</v>
      </c>
      <c r="M24" s="68">
        <v>0</v>
      </c>
      <c r="N24" s="68">
        <v>0</v>
      </c>
      <c r="O24" s="67">
        <f>H24</f>
        <v>87323</v>
      </c>
      <c r="P24" s="67">
        <v>0</v>
      </c>
      <c r="Q24" s="60">
        <f>SUM(L24:P24)-H24</f>
        <v>0</v>
      </c>
      <c r="R24" s="28" t="s">
        <v>695</v>
      </c>
      <c r="S24" s="241"/>
      <c r="T24" s="158"/>
    </row>
    <row r="25" spans="1:20" ht="17.25" customHeight="1">
      <c r="A25" s="69"/>
      <c r="B25" s="69"/>
      <c r="C25" s="70" t="s">
        <v>35</v>
      </c>
      <c r="D25" s="71">
        <f>E25*$D$7</f>
        <v>564368</v>
      </c>
      <c r="E25" s="71">
        <f>SUM(E23:E24)</f>
        <v>201560</v>
      </c>
      <c r="F25" s="71">
        <f>SUM(F23:F24)</f>
        <v>564368</v>
      </c>
      <c r="G25" s="71">
        <f>SUM(G23:G24)</f>
        <v>0</v>
      </c>
      <c r="H25" s="71">
        <f>SUM(H23:H24)</f>
        <v>201560</v>
      </c>
      <c r="I25" s="71">
        <f>SUM(I23:I24)</f>
        <v>0</v>
      </c>
      <c r="J25" s="72">
        <v>1</v>
      </c>
      <c r="K25" s="72">
        <v>0</v>
      </c>
      <c r="L25" s="71">
        <f>SUM(L23:L24)</f>
        <v>0</v>
      </c>
      <c r="M25" s="71">
        <f>SUM(M23:M24)</f>
        <v>0</v>
      </c>
      <c r="N25" s="71">
        <f>SUM(N23:N24)</f>
        <v>0</v>
      </c>
      <c r="O25" s="71">
        <f>SUM(O23:O24)</f>
        <v>201560</v>
      </c>
      <c r="P25" s="71">
        <f>SUM(P23:P24)</f>
        <v>0</v>
      </c>
      <c r="Q25" s="60">
        <f>SUM(L25:P25)-H25</f>
        <v>0</v>
      </c>
      <c r="R25" s="28" t="s">
        <v>695</v>
      </c>
      <c r="S25" s="241"/>
      <c r="T25" s="158"/>
    </row>
    <row r="26" spans="1:20" ht="20.25" customHeight="1">
      <c r="A26" s="69"/>
      <c r="B26" s="69"/>
      <c r="C26" s="73" t="s">
        <v>36</v>
      </c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60"/>
      <c r="S26" s="241"/>
      <c r="T26" s="158"/>
    </row>
    <row r="27" spans="1:20" ht="18.75" customHeight="1">
      <c r="A27" s="63">
        <v>1</v>
      </c>
      <c r="B27" s="63" t="s">
        <v>362</v>
      </c>
      <c r="C27" s="64" t="s">
        <v>37</v>
      </c>
      <c r="D27" s="65">
        <f>E27*$D$7</f>
        <v>13248001.227999998</v>
      </c>
      <c r="E27" s="65">
        <v>4731429.01</v>
      </c>
      <c r="F27" s="65">
        <f>D27</f>
        <v>13248001.227999998</v>
      </c>
      <c r="G27" s="65">
        <f>F27-D27</f>
        <v>0</v>
      </c>
      <c r="H27" s="65">
        <f>E27</f>
        <v>4731429.01</v>
      </c>
      <c r="I27" s="65">
        <f>H27-E27</f>
        <v>0</v>
      </c>
      <c r="J27" s="66">
        <v>1</v>
      </c>
      <c r="K27" s="66">
        <v>0</v>
      </c>
      <c r="L27" s="67">
        <v>0</v>
      </c>
      <c r="M27" s="67">
        <v>0</v>
      </c>
      <c r="N27" s="67">
        <v>0</v>
      </c>
      <c r="O27" s="67">
        <f>H27/19*6</f>
        <v>1494135.4768421052</v>
      </c>
      <c r="P27" s="67">
        <f>H27/19*13</f>
        <v>3237293.5331578944</v>
      </c>
      <c r="Q27" s="60">
        <f aca="true" t="shared" si="6" ref="Q27:Q32">SUM(L27:P27)-H27</f>
        <v>0</v>
      </c>
      <c r="R27" s="28" t="s">
        <v>695</v>
      </c>
      <c r="S27" s="242" t="s">
        <v>856</v>
      </c>
      <c r="T27" s="243" t="s">
        <v>857</v>
      </c>
    </row>
    <row r="28" spans="1:20" ht="18.75" customHeight="1">
      <c r="A28" s="63">
        <v>1</v>
      </c>
      <c r="B28" s="63" t="s">
        <v>368</v>
      </c>
      <c r="C28" s="64" t="s">
        <v>38</v>
      </c>
      <c r="D28" s="65">
        <f>E28*$D$7</f>
        <v>10346666.399999999</v>
      </c>
      <c r="E28" s="65">
        <v>3695238</v>
      </c>
      <c r="F28" s="65">
        <f>D28</f>
        <v>10346666.399999999</v>
      </c>
      <c r="G28" s="65">
        <f>F28-D28</f>
        <v>0</v>
      </c>
      <c r="H28" s="65">
        <f>E28</f>
        <v>3695238</v>
      </c>
      <c r="I28" s="65">
        <f>H28-E28</f>
        <v>0</v>
      </c>
      <c r="J28" s="66">
        <v>1</v>
      </c>
      <c r="K28" s="66">
        <v>0</v>
      </c>
      <c r="L28" s="67">
        <v>0</v>
      </c>
      <c r="M28" s="67">
        <v>0</v>
      </c>
      <c r="N28" s="67">
        <v>0</v>
      </c>
      <c r="O28" s="67">
        <f>H28/19*6</f>
        <v>1166917.2631578948</v>
      </c>
      <c r="P28" s="67">
        <f>H28/19*13</f>
        <v>2528320.736842105</v>
      </c>
      <c r="Q28" s="60">
        <f t="shared" si="6"/>
        <v>0</v>
      </c>
      <c r="R28" s="28" t="s">
        <v>695</v>
      </c>
      <c r="S28" s="242" t="s">
        <v>858</v>
      </c>
      <c r="T28" s="243" t="s">
        <v>859</v>
      </c>
    </row>
    <row r="29" spans="1:20" ht="18.75" customHeight="1">
      <c r="A29" s="63">
        <v>2</v>
      </c>
      <c r="B29" s="63" t="s">
        <v>403</v>
      </c>
      <c r="C29" s="64" t="s">
        <v>39</v>
      </c>
      <c r="D29" s="65">
        <f>F29</f>
        <v>1555924.8</v>
      </c>
      <c r="E29" s="65">
        <f>H29</f>
        <v>555687.4285714286</v>
      </c>
      <c r="F29" s="65">
        <v>1555924.8</v>
      </c>
      <c r="G29" s="65">
        <f>F29-D29</f>
        <v>0</v>
      </c>
      <c r="H29" s="65">
        <f>F29/2.8</f>
        <v>555687.4285714286</v>
      </c>
      <c r="I29" s="65">
        <f>H29-E29</f>
        <v>0</v>
      </c>
      <c r="J29" s="66">
        <v>1</v>
      </c>
      <c r="K29" s="66">
        <v>0</v>
      </c>
      <c r="L29" s="67">
        <v>0</v>
      </c>
      <c r="M29" s="67">
        <v>0</v>
      </c>
      <c r="N29" s="67">
        <v>0</v>
      </c>
      <c r="O29" s="67">
        <f>H29/17*4</f>
        <v>130749.98319327732</v>
      </c>
      <c r="P29" s="67">
        <f>H29/17*13</f>
        <v>424937.4453781513</v>
      </c>
      <c r="Q29" s="60">
        <f t="shared" si="6"/>
        <v>0</v>
      </c>
      <c r="R29" s="28" t="s">
        <v>695</v>
      </c>
      <c r="S29" s="241"/>
      <c r="T29" s="158"/>
    </row>
    <row r="30" spans="1:20" ht="18.75" customHeight="1">
      <c r="A30" s="63">
        <v>2</v>
      </c>
      <c r="B30" s="63" t="s">
        <v>860</v>
      </c>
      <c r="C30" s="64" t="s">
        <v>861</v>
      </c>
      <c r="D30" s="65">
        <f>F30</f>
        <v>1222512.368</v>
      </c>
      <c r="E30" s="65">
        <f>H30</f>
        <v>436611.56</v>
      </c>
      <c r="F30" s="65">
        <f>H30*2.8</f>
        <v>1222512.368</v>
      </c>
      <c r="G30" s="65">
        <f>F30-D30</f>
        <v>0</v>
      </c>
      <c r="H30" s="65">
        <v>436611.56</v>
      </c>
      <c r="I30" s="65">
        <f>H30-E30</f>
        <v>0</v>
      </c>
      <c r="J30" s="66">
        <v>1</v>
      </c>
      <c r="K30" s="66">
        <v>0</v>
      </c>
      <c r="L30" s="67">
        <v>0</v>
      </c>
      <c r="M30" s="67">
        <v>0</v>
      </c>
      <c r="N30" s="67">
        <v>0</v>
      </c>
      <c r="O30" s="67">
        <f>H30/17*4</f>
        <v>102732.13176470587</v>
      </c>
      <c r="P30" s="67">
        <f>H30/17*13</f>
        <v>333879.42823529406</v>
      </c>
      <c r="Q30" s="60">
        <f t="shared" si="6"/>
        <v>0</v>
      </c>
      <c r="R30" s="28" t="s">
        <v>695</v>
      </c>
      <c r="S30" s="241"/>
      <c r="T30" s="158"/>
    </row>
    <row r="31" spans="1:20" ht="17.25" customHeight="1">
      <c r="A31" s="69"/>
      <c r="B31" s="69"/>
      <c r="C31" s="70" t="s">
        <v>40</v>
      </c>
      <c r="D31" s="71">
        <f>E31*$D$7</f>
        <v>26373104.796</v>
      </c>
      <c r="E31" s="71">
        <f>SUM(E27:E30)</f>
        <v>9418965.99857143</v>
      </c>
      <c r="F31" s="78">
        <f>SUM(F27:F30)</f>
        <v>26373104.796</v>
      </c>
      <c r="G31" s="78">
        <f>SUM(G27:G30)</f>
        <v>0</v>
      </c>
      <c r="H31" s="78">
        <f>SUM(H27:H30)</f>
        <v>9418965.99857143</v>
      </c>
      <c r="I31" s="78">
        <f>SUM(I27:I30)</f>
        <v>0</v>
      </c>
      <c r="J31" s="79">
        <v>1</v>
      </c>
      <c r="K31" s="79">
        <v>0</v>
      </c>
      <c r="L31" s="78">
        <f>SUM(L27:L30)</f>
        <v>0</v>
      </c>
      <c r="M31" s="78">
        <f>SUM(M27:M30)</f>
        <v>0</v>
      </c>
      <c r="N31" s="71">
        <f>SUM(N27:N30)</f>
        <v>0</v>
      </c>
      <c r="O31" s="71">
        <f>SUM(O27:O30)</f>
        <v>2894534.8549579834</v>
      </c>
      <c r="P31" s="71">
        <f>SUM(P27:P30)</f>
        <v>6524431.143613446</v>
      </c>
      <c r="Q31" s="60">
        <f t="shared" si="6"/>
        <v>0</v>
      </c>
      <c r="R31" s="28" t="s">
        <v>695</v>
      </c>
      <c r="S31" s="241"/>
      <c r="T31" s="158"/>
    </row>
    <row r="32" spans="1:20" ht="24" customHeight="1">
      <c r="A32" s="69"/>
      <c r="B32" s="69" t="s">
        <v>697</v>
      </c>
      <c r="C32" s="73" t="s">
        <v>698</v>
      </c>
      <c r="D32" s="244">
        <f aca="true" t="shared" si="7" ref="D32:I32">D35+D38+D45</f>
        <v>5489545.347999999</v>
      </c>
      <c r="E32" s="244">
        <f t="shared" si="7"/>
        <v>1960551.91</v>
      </c>
      <c r="F32" s="244">
        <f t="shared" si="7"/>
        <v>5489545.347999999</v>
      </c>
      <c r="G32" s="244">
        <f t="shared" si="7"/>
        <v>0</v>
      </c>
      <c r="H32" s="244">
        <f t="shared" si="7"/>
        <v>1960551.91</v>
      </c>
      <c r="I32" s="244">
        <f t="shared" si="7"/>
        <v>0</v>
      </c>
      <c r="J32" s="72">
        <v>1</v>
      </c>
      <c r="K32" s="72">
        <v>0</v>
      </c>
      <c r="L32" s="244">
        <f>L35+L38+L45</f>
        <v>0</v>
      </c>
      <c r="M32" s="244">
        <f>M35+M38+M45</f>
        <v>0</v>
      </c>
      <c r="N32" s="244">
        <f>N35+N38+N45</f>
        <v>0</v>
      </c>
      <c r="O32" s="244">
        <f>O35+O38+O45</f>
        <v>1134956.0533333335</v>
      </c>
      <c r="P32" s="244">
        <f>P35+P38+P45</f>
        <v>825595.8566666667</v>
      </c>
      <c r="Q32" s="60">
        <f t="shared" si="6"/>
        <v>0</v>
      </c>
      <c r="R32" s="28" t="s">
        <v>695</v>
      </c>
      <c r="S32" s="241"/>
      <c r="T32" s="158"/>
    </row>
    <row r="33" spans="1:20" ht="24" customHeight="1">
      <c r="A33" s="69"/>
      <c r="B33" s="69"/>
      <c r="C33" s="73" t="s">
        <v>29</v>
      </c>
      <c r="D33" s="74"/>
      <c r="E33" s="75"/>
      <c r="F33" s="52"/>
      <c r="G33" s="52"/>
      <c r="H33" s="52"/>
      <c r="I33" s="52"/>
      <c r="J33" s="86"/>
      <c r="K33" s="86"/>
      <c r="L33" s="86"/>
      <c r="M33" s="86"/>
      <c r="N33" s="245"/>
      <c r="O33" s="245"/>
      <c r="P33" s="245"/>
      <c r="Q33" s="60"/>
      <c r="S33" s="241"/>
      <c r="T33" s="158"/>
    </row>
    <row r="34" spans="1:20" ht="64.5" customHeight="1">
      <c r="A34" s="63">
        <v>3</v>
      </c>
      <c r="B34" s="63" t="s">
        <v>647</v>
      </c>
      <c r="C34" s="64" t="s">
        <v>813</v>
      </c>
      <c r="D34" s="65">
        <f>E34*$D$7</f>
        <v>1133332.788</v>
      </c>
      <c r="E34" s="65">
        <v>404761.71</v>
      </c>
      <c r="F34" s="65">
        <f>D34</f>
        <v>1133332.788</v>
      </c>
      <c r="G34" s="65">
        <f>F34-D34</f>
        <v>0</v>
      </c>
      <c r="H34" s="65">
        <f>E34</f>
        <v>404761.71</v>
      </c>
      <c r="I34" s="65">
        <f>H34-E34</f>
        <v>0</v>
      </c>
      <c r="J34" s="66">
        <f>J20</f>
        <v>1</v>
      </c>
      <c r="K34" s="66">
        <v>0</v>
      </c>
      <c r="L34" s="67">
        <v>0</v>
      </c>
      <c r="M34" s="67">
        <v>0</v>
      </c>
      <c r="N34" s="67">
        <v>0</v>
      </c>
      <c r="O34" s="67">
        <f>H34/18*11</f>
        <v>247354.37833333336</v>
      </c>
      <c r="P34" s="67">
        <f>H34/18*7</f>
        <v>157407.3316666667</v>
      </c>
      <c r="Q34" s="60">
        <f>SUM(L34:P34)-H34</f>
        <v>0</v>
      </c>
      <c r="R34" s="28" t="s">
        <v>695</v>
      </c>
      <c r="S34" s="241"/>
      <c r="T34" s="158"/>
    </row>
    <row r="35" spans="1:20" ht="18.75" customHeight="1">
      <c r="A35" s="69"/>
      <c r="B35" s="69"/>
      <c r="C35" s="70" t="s">
        <v>31</v>
      </c>
      <c r="D35" s="71">
        <f>E35*$D$7</f>
        <v>1133332.788</v>
      </c>
      <c r="E35" s="71">
        <f>SUM(E34)</f>
        <v>404761.71</v>
      </c>
      <c r="F35" s="71">
        <f>SUM(F34)</f>
        <v>1133332.788</v>
      </c>
      <c r="G35" s="71">
        <f>SUM(G34)</f>
        <v>0</v>
      </c>
      <c r="H35" s="71">
        <f>SUM(H34)</f>
        <v>404761.71</v>
      </c>
      <c r="I35" s="71">
        <f>SUM(I34)</f>
        <v>0</v>
      </c>
      <c r="J35" s="72">
        <v>1</v>
      </c>
      <c r="K35" s="72">
        <v>0</v>
      </c>
      <c r="L35" s="71">
        <f>L34</f>
        <v>0</v>
      </c>
      <c r="M35" s="71">
        <f>M34</f>
        <v>0</v>
      </c>
      <c r="N35" s="71">
        <f>N34</f>
        <v>0</v>
      </c>
      <c r="O35" s="71">
        <f>O34</f>
        <v>247354.37833333336</v>
      </c>
      <c r="P35" s="71">
        <f>P34</f>
        <v>157407.3316666667</v>
      </c>
      <c r="Q35" s="60">
        <f>SUM(L35:P35)-H35</f>
        <v>0</v>
      </c>
      <c r="S35" s="241"/>
      <c r="T35" s="158"/>
    </row>
    <row r="36" spans="1:20" ht="35.25" customHeight="1">
      <c r="A36" s="69"/>
      <c r="B36" s="69"/>
      <c r="C36" s="73" t="s">
        <v>41</v>
      </c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60"/>
      <c r="S36" s="241"/>
      <c r="T36" s="158"/>
    </row>
    <row r="37" spans="1:20" ht="32.25" customHeight="1">
      <c r="A37" s="63">
        <v>3</v>
      </c>
      <c r="B37" s="63" t="s">
        <v>651</v>
      </c>
      <c r="C37" s="64" t="s">
        <v>701</v>
      </c>
      <c r="D37" s="65">
        <f>E37*$D$7</f>
        <v>0</v>
      </c>
      <c r="E37" s="65">
        <v>0</v>
      </c>
      <c r="F37" s="65">
        <f>D37</f>
        <v>0</v>
      </c>
      <c r="G37" s="65">
        <f>F37-D37</f>
        <v>0</v>
      </c>
      <c r="H37" s="65">
        <f>E37</f>
        <v>0</v>
      </c>
      <c r="I37" s="65">
        <f>H37-E37</f>
        <v>0</v>
      </c>
      <c r="J37" s="66">
        <v>1</v>
      </c>
      <c r="K37" s="66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0">
        <f>SUM(L37:P37)-H37</f>
        <v>0</v>
      </c>
      <c r="R37" s="28" t="s">
        <v>695</v>
      </c>
      <c r="S37" s="241"/>
      <c r="T37" s="158"/>
    </row>
    <row r="38" spans="1:20" ht="32.25" customHeight="1">
      <c r="A38" s="69"/>
      <c r="B38" s="69"/>
      <c r="C38" s="70" t="s">
        <v>43</v>
      </c>
      <c r="D38" s="71">
        <f>E38*$D$7</f>
        <v>0</v>
      </c>
      <c r="E38" s="71">
        <f>SUM(E37)</f>
        <v>0</v>
      </c>
      <c r="F38" s="71">
        <f>SUM(F37)</f>
        <v>0</v>
      </c>
      <c r="G38" s="71">
        <f>SUM(G37)</f>
        <v>0</v>
      </c>
      <c r="H38" s="71">
        <f>SUM(H37)</f>
        <v>0</v>
      </c>
      <c r="I38" s="71">
        <f>SUM(I37)</f>
        <v>0</v>
      </c>
      <c r="J38" s="72">
        <v>1</v>
      </c>
      <c r="K38" s="72">
        <v>0</v>
      </c>
      <c r="L38" s="71">
        <f>L37</f>
        <v>0</v>
      </c>
      <c r="M38" s="71">
        <f>M37</f>
        <v>0</v>
      </c>
      <c r="N38" s="71">
        <f>N37</f>
        <v>0</v>
      </c>
      <c r="O38" s="71">
        <f>O37</f>
        <v>0</v>
      </c>
      <c r="P38" s="71">
        <f>P37</f>
        <v>0</v>
      </c>
      <c r="Q38" s="60">
        <f>SUM(L38:P38)-H38</f>
        <v>0</v>
      </c>
      <c r="R38" s="28" t="s">
        <v>695</v>
      </c>
      <c r="S38" s="241"/>
      <c r="T38" s="158"/>
    </row>
    <row r="39" spans="1:20" ht="18.75" customHeight="1">
      <c r="A39" s="69"/>
      <c r="B39" s="69"/>
      <c r="C39" s="73" t="s">
        <v>44</v>
      </c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60"/>
      <c r="S39" s="241"/>
      <c r="T39" s="158"/>
    </row>
    <row r="40" spans="1:20" ht="18.75" customHeight="1" hidden="1">
      <c r="A40" s="90"/>
      <c r="B40" s="90"/>
      <c r="C40" s="91" t="s">
        <v>45</v>
      </c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60">
        <f>SUM(L40:P40)-E40</f>
        <v>0</v>
      </c>
      <c r="S40" s="241"/>
      <c r="T40" s="158"/>
    </row>
    <row r="41" spans="1:20" ht="18.75" customHeight="1">
      <c r="A41" s="63">
        <v>3</v>
      </c>
      <c r="B41" s="63" t="s">
        <v>655</v>
      </c>
      <c r="C41" s="64" t="s">
        <v>46</v>
      </c>
      <c r="D41" s="65">
        <f aca="true" t="shared" si="8" ref="D41:D46">E41*$D$7</f>
        <v>1919181.572</v>
      </c>
      <c r="E41" s="65">
        <v>685421.99</v>
      </c>
      <c r="F41" s="65">
        <f>D41</f>
        <v>1919181.572</v>
      </c>
      <c r="G41" s="65">
        <f>F41-D41</f>
        <v>0</v>
      </c>
      <c r="H41" s="65">
        <f>E41</f>
        <v>685421.99</v>
      </c>
      <c r="I41" s="65">
        <f>H41-E41</f>
        <v>0</v>
      </c>
      <c r="J41" s="66">
        <v>1</v>
      </c>
      <c r="K41" s="66">
        <v>0</v>
      </c>
      <c r="L41" s="67">
        <v>0</v>
      </c>
      <c r="M41" s="67">
        <v>0</v>
      </c>
      <c r="N41" s="67">
        <v>0</v>
      </c>
      <c r="O41" s="67">
        <f>H41/12*7</f>
        <v>399829.4941666667</v>
      </c>
      <c r="P41" s="67">
        <f>H41/12*5</f>
        <v>285592.49583333335</v>
      </c>
      <c r="Q41" s="60">
        <f aca="true" t="shared" si="9" ref="Q41:Q46">SUM(L41:P41)-H41</f>
        <v>0</v>
      </c>
      <c r="R41" s="28" t="s">
        <v>695</v>
      </c>
      <c r="S41" s="241"/>
      <c r="T41" s="158"/>
    </row>
    <row r="42" spans="1:20" ht="18" customHeight="1">
      <c r="A42" s="63">
        <v>3</v>
      </c>
      <c r="B42" s="63" t="s">
        <v>700</v>
      </c>
      <c r="C42" s="64" t="s">
        <v>47</v>
      </c>
      <c r="D42" s="65">
        <f t="shared" si="8"/>
        <v>1151508.288</v>
      </c>
      <c r="E42" s="65">
        <v>411252.96</v>
      </c>
      <c r="F42" s="65">
        <f>D42</f>
        <v>1151508.288</v>
      </c>
      <c r="G42" s="65">
        <f>F42-D42</f>
        <v>0</v>
      </c>
      <c r="H42" s="65">
        <f>E42</f>
        <v>411252.96</v>
      </c>
      <c r="I42" s="65">
        <f>H42-E42</f>
        <v>0</v>
      </c>
      <c r="J42" s="66">
        <v>1</v>
      </c>
      <c r="K42" s="66">
        <v>0</v>
      </c>
      <c r="L42" s="67">
        <v>0</v>
      </c>
      <c r="M42" s="67">
        <v>0</v>
      </c>
      <c r="N42" s="67">
        <v>0</v>
      </c>
      <c r="O42" s="67">
        <f>H42/12*7</f>
        <v>239897.56</v>
      </c>
      <c r="P42" s="67">
        <f>H42/12*5</f>
        <v>171355.40000000002</v>
      </c>
      <c r="Q42" s="60">
        <f t="shared" si="9"/>
        <v>0</v>
      </c>
      <c r="R42" s="28" t="s">
        <v>695</v>
      </c>
      <c r="S42" s="241"/>
      <c r="T42" s="158"/>
    </row>
    <row r="43" spans="1:20" ht="36" customHeight="1">
      <c r="A43" s="63">
        <v>3</v>
      </c>
      <c r="B43" s="63" t="s">
        <v>594</v>
      </c>
      <c r="C43" s="64" t="s">
        <v>48</v>
      </c>
      <c r="D43" s="65">
        <f t="shared" si="8"/>
        <v>1151508.372</v>
      </c>
      <c r="E43" s="65">
        <v>411252.99</v>
      </c>
      <c r="F43" s="65">
        <f>D43</f>
        <v>1151508.372</v>
      </c>
      <c r="G43" s="65">
        <f>F43-D43</f>
        <v>0</v>
      </c>
      <c r="H43" s="65">
        <f>E43</f>
        <v>411252.99</v>
      </c>
      <c r="I43" s="65">
        <f>H43-E43</f>
        <v>0</v>
      </c>
      <c r="J43" s="66">
        <v>1</v>
      </c>
      <c r="K43" s="66">
        <v>0</v>
      </c>
      <c r="L43" s="67">
        <v>0</v>
      </c>
      <c r="M43" s="67">
        <v>0</v>
      </c>
      <c r="N43" s="67">
        <v>0</v>
      </c>
      <c r="O43" s="67">
        <f>H43/12*7</f>
        <v>239897.57749999998</v>
      </c>
      <c r="P43" s="67">
        <f>H43/12*5</f>
        <v>171355.41249999998</v>
      </c>
      <c r="Q43" s="60">
        <f t="shared" si="9"/>
        <v>0</v>
      </c>
      <c r="R43" s="28" t="s">
        <v>695</v>
      </c>
      <c r="S43" s="241"/>
      <c r="T43" s="158"/>
    </row>
    <row r="44" spans="1:20" ht="18" customHeight="1">
      <c r="A44" s="63">
        <v>3</v>
      </c>
      <c r="B44" s="63" t="s">
        <v>602</v>
      </c>
      <c r="C44" s="64" t="s">
        <v>49</v>
      </c>
      <c r="D44" s="65">
        <f t="shared" si="8"/>
        <v>134014.328</v>
      </c>
      <c r="E44" s="65">
        <v>47862.26</v>
      </c>
      <c r="F44" s="65">
        <f>D44</f>
        <v>134014.328</v>
      </c>
      <c r="G44" s="65">
        <f>F44-D44</f>
        <v>0</v>
      </c>
      <c r="H44" s="65">
        <f>E44</f>
        <v>47862.26</v>
      </c>
      <c r="I44" s="65">
        <f>H44-E44</f>
        <v>0</v>
      </c>
      <c r="J44" s="66">
        <v>1</v>
      </c>
      <c r="K44" s="66">
        <v>0</v>
      </c>
      <c r="L44" s="67">
        <v>0</v>
      </c>
      <c r="M44" s="68">
        <v>0</v>
      </c>
      <c r="N44" s="68">
        <v>0</v>
      </c>
      <c r="O44" s="68">
        <f>H44/6*1</f>
        <v>7977.043333333334</v>
      </c>
      <c r="P44" s="68">
        <f>H44/6*5</f>
        <v>39885.21666666667</v>
      </c>
      <c r="Q44" s="60">
        <f t="shared" si="9"/>
        <v>0</v>
      </c>
      <c r="R44" s="28" t="s">
        <v>695</v>
      </c>
      <c r="S44" s="241"/>
      <c r="T44" s="158"/>
    </row>
    <row r="45" spans="1:20" ht="19.5" customHeight="1">
      <c r="A45" s="69"/>
      <c r="B45" s="69"/>
      <c r="C45" s="70" t="s">
        <v>50</v>
      </c>
      <c r="D45" s="71">
        <f t="shared" si="8"/>
        <v>4356212.56</v>
      </c>
      <c r="E45" s="71">
        <f>SUM(E41:E44)</f>
        <v>1555790.2</v>
      </c>
      <c r="F45" s="71">
        <f>SUM(F41:F44)</f>
        <v>4356212.56</v>
      </c>
      <c r="G45" s="71">
        <f>SUM(G41:G44)</f>
        <v>0</v>
      </c>
      <c r="H45" s="71">
        <f>SUM(H41:H44)</f>
        <v>1555790.2</v>
      </c>
      <c r="I45" s="71">
        <f>SUM(I41:I44)</f>
        <v>0</v>
      </c>
      <c r="J45" s="72">
        <f>J44</f>
        <v>1</v>
      </c>
      <c r="K45" s="72">
        <v>0</v>
      </c>
      <c r="L45" s="71">
        <f>SUM(L41:L44)</f>
        <v>0</v>
      </c>
      <c r="M45" s="71">
        <f>SUM(M41:M44)</f>
        <v>0</v>
      </c>
      <c r="N45" s="71">
        <f>SUM(N41:N44)</f>
        <v>0</v>
      </c>
      <c r="O45" s="71">
        <f>SUM(O41:O44)</f>
        <v>887601.675</v>
      </c>
      <c r="P45" s="71">
        <f>SUM(P41:P44)</f>
        <v>668188.525</v>
      </c>
      <c r="Q45" s="60">
        <f t="shared" si="9"/>
        <v>0</v>
      </c>
      <c r="R45" s="28" t="s">
        <v>695</v>
      </c>
      <c r="S45" s="241"/>
      <c r="T45" s="158"/>
    </row>
    <row r="46" spans="1:20" ht="37.5" customHeight="1">
      <c r="A46" s="69"/>
      <c r="B46" s="69"/>
      <c r="C46" s="246" t="s">
        <v>54</v>
      </c>
      <c r="D46" s="71">
        <f t="shared" si="8"/>
        <v>104832000.27600001</v>
      </c>
      <c r="E46" s="71">
        <f>SUM(E21+E35+E25+E31+E38+E45)</f>
        <v>37440000.098571435</v>
      </c>
      <c r="F46" s="71">
        <f>SUM(F21+F35+F25+F31+F38+F45)+0.01</f>
        <v>105126088.81200002</v>
      </c>
      <c r="G46" s="247">
        <f>SUM(G21+G35+G25+G31+G38+G45)</f>
        <v>294088.5259999987</v>
      </c>
      <c r="H46" s="71">
        <f>SUM(H21+H35+H25+H31+H38+H45)</f>
        <v>37250000.075</v>
      </c>
      <c r="I46" s="247">
        <f>SUM(I21+I35+I25+I31+I38+I45)</f>
        <v>-190000.0235714279</v>
      </c>
      <c r="J46" s="72">
        <f>J45</f>
        <v>1</v>
      </c>
      <c r="K46" s="248">
        <v>0</v>
      </c>
      <c r="L46" s="78">
        <f>SUM(L21+L35+L25+L31+L45)</f>
        <v>0</v>
      </c>
      <c r="M46" s="78">
        <f>SUM(M21+M35+M25+M31+M45)</f>
        <v>1379112.86</v>
      </c>
      <c r="N46" s="78">
        <f>SUM(N21+N35+N25+N31+N45)</f>
        <v>3150948.3083379343</v>
      </c>
      <c r="O46" s="78">
        <f>SUM(O21+O35+O25+O31+O45)</f>
        <v>16239377.498256814</v>
      </c>
      <c r="P46" s="78">
        <f>SUM(P21+P35+P25+P31+P45)</f>
        <v>16480561.408405257</v>
      </c>
      <c r="Q46" s="60">
        <f t="shared" si="9"/>
        <v>0</v>
      </c>
      <c r="R46" s="28" t="s">
        <v>695</v>
      </c>
      <c r="S46" s="241"/>
      <c r="T46" s="158"/>
    </row>
    <row r="47" spans="1:20" ht="34.5" customHeight="1">
      <c r="A47" s="31"/>
      <c r="B47" s="31">
        <v>2</v>
      </c>
      <c r="C47" s="43" t="s">
        <v>55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60"/>
      <c r="S47" s="241"/>
      <c r="T47" s="158"/>
    </row>
    <row r="48" spans="1:20" ht="34.5" customHeight="1">
      <c r="A48" s="100"/>
      <c r="B48" s="100" t="s">
        <v>705</v>
      </c>
      <c r="C48" s="101" t="s">
        <v>706</v>
      </c>
      <c r="D48" s="103">
        <f>D51+D54+D69+D82+D93+D108+D112</f>
        <v>149792064.212</v>
      </c>
      <c r="E48" s="103">
        <f>E51+E54+E69+E82+E93+E108+E112</f>
        <v>53497165.79</v>
      </c>
      <c r="F48" s="103">
        <f>F51+F54+F69+F82+F93+F108+F112-0.01</f>
        <v>152462650.62600002</v>
      </c>
      <c r="G48" s="103">
        <f>G51+G54+G69+G82+G93+G108+G112+0.01</f>
        <v>14286557.434</v>
      </c>
      <c r="H48" s="103">
        <f>H51+H54+H69+H82+H93+H108+H112</f>
        <v>54445859.12071429</v>
      </c>
      <c r="I48" s="103">
        <f>I51+I54+I69+I82+I93+I108+I112</f>
        <v>5097255.330714286</v>
      </c>
      <c r="J48" s="103">
        <v>100</v>
      </c>
      <c r="K48" s="103">
        <f>K51+K54+K69+K82+K93+K108+K112</f>
        <v>0</v>
      </c>
      <c r="L48" s="103">
        <f>L51+L54+L69+L82+L93+L108+L112</f>
        <v>0</v>
      </c>
      <c r="M48" s="103">
        <f>M51+M54+M69+M82+M93+M108+M112</f>
        <v>395645.39</v>
      </c>
      <c r="N48" s="103">
        <f>N51+N54+N69+N82+N93+N108+N112</f>
        <v>10667781.41065476</v>
      </c>
      <c r="O48" s="103">
        <f>O51+O54+O69+O82+O93+O108+O112+0.01</f>
        <v>36995110.03311671</v>
      </c>
      <c r="P48" s="103">
        <f>P51+P54+P69+P82+P93+P108+P112-0.01</f>
        <v>6387322.286942803</v>
      </c>
      <c r="Q48" s="60">
        <f>SUM(L48:P48)-H48</f>
        <v>0</v>
      </c>
      <c r="R48" s="28" t="s">
        <v>695</v>
      </c>
      <c r="S48" s="241"/>
      <c r="T48" s="158"/>
    </row>
    <row r="49" spans="1:20" ht="34.5" customHeight="1">
      <c r="A49" s="100"/>
      <c r="B49" s="100"/>
      <c r="C49" s="101" t="s">
        <v>707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60"/>
      <c r="S49" s="241"/>
      <c r="T49" s="158"/>
    </row>
    <row r="50" spans="1:20" ht="15">
      <c r="A50" s="35">
        <v>3</v>
      </c>
      <c r="B50" s="35" t="s">
        <v>622</v>
      </c>
      <c r="C50" s="104" t="s">
        <v>862</v>
      </c>
      <c r="D50" s="105">
        <f>E50*$D$7</f>
        <v>12977359.808</v>
      </c>
      <c r="E50" s="105">
        <f>4664588-27799.43-2017.21</f>
        <v>4634771.36</v>
      </c>
      <c r="F50" s="65">
        <f>8196368.88*1.3</f>
        <v>10655279.544</v>
      </c>
      <c r="G50" s="65">
        <f>F50-D50</f>
        <v>-2322080.2640000004</v>
      </c>
      <c r="H50" s="65">
        <f>F50/2.8</f>
        <v>3805456.98</v>
      </c>
      <c r="I50" s="65">
        <f>H50-E50</f>
        <v>-829314.3800000004</v>
      </c>
      <c r="J50" s="107">
        <v>1</v>
      </c>
      <c r="K50" s="108">
        <v>0</v>
      </c>
      <c r="L50" s="62">
        <v>0</v>
      </c>
      <c r="M50" s="62">
        <f>367845.96</f>
        <v>367845.96</v>
      </c>
      <c r="N50" s="62">
        <f>(H50-M50)/18*10</f>
        <v>1909783.9000000001</v>
      </c>
      <c r="O50" s="62">
        <f>(H50-M50)/18*8</f>
        <v>1527827.12</v>
      </c>
      <c r="P50" s="62">
        <v>0</v>
      </c>
      <c r="Q50" s="60">
        <f>SUM(L50:P50)-H50</f>
        <v>0</v>
      </c>
      <c r="R50" s="28" t="s">
        <v>695</v>
      </c>
      <c r="S50" s="241"/>
      <c r="T50" s="158"/>
    </row>
    <row r="51" spans="1:20" ht="15">
      <c r="A51" s="109"/>
      <c r="B51" s="109"/>
      <c r="C51" s="110" t="s">
        <v>709</v>
      </c>
      <c r="D51" s="111">
        <f aca="true" t="shared" si="10" ref="D51:I51">SUM(D50)</f>
        <v>12977359.808</v>
      </c>
      <c r="E51" s="111">
        <f t="shared" si="10"/>
        <v>4634771.36</v>
      </c>
      <c r="F51" s="111">
        <f t="shared" si="10"/>
        <v>10655279.544</v>
      </c>
      <c r="G51" s="111">
        <f t="shared" si="10"/>
        <v>-2322080.2640000004</v>
      </c>
      <c r="H51" s="111">
        <f t="shared" si="10"/>
        <v>3805456.98</v>
      </c>
      <c r="I51" s="111">
        <f t="shared" si="10"/>
        <v>-829314.3800000004</v>
      </c>
      <c r="J51" s="112">
        <v>1</v>
      </c>
      <c r="K51" s="112">
        <v>0</v>
      </c>
      <c r="L51" s="111">
        <f>SUM(L50)</f>
        <v>0</v>
      </c>
      <c r="M51" s="111">
        <f>SUM(M50)</f>
        <v>367845.96</v>
      </c>
      <c r="N51" s="111">
        <f>SUM(N50)</f>
        <v>1909783.9000000001</v>
      </c>
      <c r="O51" s="111">
        <f>SUM(O50)</f>
        <v>1527827.12</v>
      </c>
      <c r="P51" s="111">
        <f>SUM(P50)</f>
        <v>0</v>
      </c>
      <c r="Q51" s="60">
        <f>SUM(L51:P51)-H51</f>
        <v>0</v>
      </c>
      <c r="R51" s="28" t="s">
        <v>695</v>
      </c>
      <c r="S51" s="241"/>
      <c r="T51" s="158"/>
    </row>
    <row r="52" spans="1:20" ht="34.5" customHeight="1">
      <c r="A52" s="100"/>
      <c r="B52" s="100"/>
      <c r="C52" s="101" t="s">
        <v>710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60"/>
      <c r="S52" s="241"/>
      <c r="T52" s="158"/>
    </row>
    <row r="53" spans="1:20" ht="15">
      <c r="A53" s="35">
        <v>4</v>
      </c>
      <c r="B53" s="35" t="s">
        <v>587</v>
      </c>
      <c r="C53" s="104" t="s">
        <v>711</v>
      </c>
      <c r="D53" s="65">
        <f>E53*$D$7</f>
        <v>83486.59199999999</v>
      </c>
      <c r="E53" s="65">
        <f>27799.43+2017.21</f>
        <v>29816.64</v>
      </c>
      <c r="F53" s="65">
        <f>D53+14973.41</f>
        <v>98460.002</v>
      </c>
      <c r="G53" s="65">
        <f>F53-D53</f>
        <v>14973.410000000003</v>
      </c>
      <c r="H53" s="65">
        <f>E53+261.01</f>
        <v>30077.649999999998</v>
      </c>
      <c r="I53" s="65">
        <f>H53-E53</f>
        <v>261.0099999999984</v>
      </c>
      <c r="J53" s="107">
        <v>1</v>
      </c>
      <c r="K53" s="66">
        <v>0</v>
      </c>
      <c r="L53" s="62">
        <v>0</v>
      </c>
      <c r="M53" s="62">
        <v>27799.43</v>
      </c>
      <c r="N53" s="62">
        <f>H53-M53</f>
        <v>2278.2199999999975</v>
      </c>
      <c r="O53" s="62">
        <v>0</v>
      </c>
      <c r="P53" s="62">
        <v>0</v>
      </c>
      <c r="Q53" s="60">
        <f>SUM(L53:P53)-H53</f>
        <v>0</v>
      </c>
      <c r="R53" s="28" t="s">
        <v>712</v>
      </c>
      <c r="S53" s="241"/>
      <c r="T53" s="158"/>
    </row>
    <row r="54" spans="1:20" ht="23.25" customHeight="1">
      <c r="A54" s="114"/>
      <c r="B54" s="114"/>
      <c r="C54" s="110" t="s">
        <v>713</v>
      </c>
      <c r="D54" s="115">
        <f aca="true" t="shared" si="11" ref="D54:I54">SUM(D53)</f>
        <v>83486.59199999999</v>
      </c>
      <c r="E54" s="115">
        <f t="shared" si="11"/>
        <v>29816.64</v>
      </c>
      <c r="F54" s="111">
        <f t="shared" si="11"/>
        <v>98460.002</v>
      </c>
      <c r="G54" s="111">
        <f t="shared" si="11"/>
        <v>14973.410000000003</v>
      </c>
      <c r="H54" s="111">
        <f t="shared" si="11"/>
        <v>30077.649999999998</v>
      </c>
      <c r="I54" s="111">
        <f t="shared" si="11"/>
        <v>261.0099999999984</v>
      </c>
      <c r="J54" s="116">
        <f>J50</f>
        <v>1</v>
      </c>
      <c r="K54" s="116">
        <v>0</v>
      </c>
      <c r="L54" s="115">
        <f>SUM(L53)</f>
        <v>0</v>
      </c>
      <c r="M54" s="115">
        <f>SUM(M53)</f>
        <v>27799.43</v>
      </c>
      <c r="N54" s="115">
        <f>SUM(N53)</f>
        <v>2278.2199999999975</v>
      </c>
      <c r="O54" s="115">
        <f>SUM(O53)</f>
        <v>0</v>
      </c>
      <c r="P54" s="115">
        <f>SUM(P53)</f>
        <v>0</v>
      </c>
      <c r="Q54" s="60">
        <f>SUM(L54:P54)-H54</f>
        <v>0</v>
      </c>
      <c r="R54" s="28" t="s">
        <v>695</v>
      </c>
      <c r="S54" s="241"/>
      <c r="T54" s="158"/>
    </row>
    <row r="55" spans="1:20" ht="21.75" customHeight="1" hidden="1">
      <c r="A55" s="114"/>
      <c r="B55" s="114"/>
      <c r="C55" s="117" t="s">
        <v>64</v>
      </c>
      <c r="D55" s="11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60">
        <f>SUM(L55:P55)-E55</f>
        <v>0</v>
      </c>
      <c r="S55" s="241"/>
      <c r="T55" s="158"/>
    </row>
    <row r="56" spans="1:20" ht="23.25" customHeight="1">
      <c r="A56" s="114"/>
      <c r="B56" s="114"/>
      <c r="C56" s="117" t="s">
        <v>65</v>
      </c>
      <c r="D56" s="11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60"/>
      <c r="S56" s="241"/>
      <c r="T56" s="158"/>
    </row>
    <row r="57" spans="1:20" ht="22.5" customHeight="1">
      <c r="A57" s="55">
        <v>1</v>
      </c>
      <c r="B57" s="55" t="s">
        <v>715</v>
      </c>
      <c r="C57" s="56" t="s">
        <v>863</v>
      </c>
      <c r="D57" s="57">
        <f aca="true" t="shared" si="12" ref="D57:D69">E57*$D$7</f>
        <v>2689335.628</v>
      </c>
      <c r="E57" s="57">
        <v>960477.01</v>
      </c>
      <c r="F57" s="57">
        <v>2565457.71</v>
      </c>
      <c r="G57" s="57">
        <f aca="true" t="shared" si="13" ref="G57:G68">F57-D57</f>
        <v>-123877.91800000006</v>
      </c>
      <c r="H57" s="57">
        <f>F57/$D$7</f>
        <v>916234.8964285714</v>
      </c>
      <c r="I57" s="57">
        <f aca="true" t="shared" si="14" ref="I57:I68">H57-E57</f>
        <v>-44242.11357142858</v>
      </c>
      <c r="J57" s="58">
        <v>1</v>
      </c>
      <c r="K57" s="58">
        <v>0</v>
      </c>
      <c r="L57" s="59">
        <v>0</v>
      </c>
      <c r="M57" s="59">
        <v>0</v>
      </c>
      <c r="N57" s="59">
        <f>H57/12*1</f>
        <v>76352.90803571428</v>
      </c>
      <c r="O57" s="59">
        <f>H57/12*11</f>
        <v>839881.9883928571</v>
      </c>
      <c r="P57" s="59">
        <v>0</v>
      </c>
      <c r="Q57" s="60">
        <f>SUM(L57:P57)-H57</f>
        <v>0</v>
      </c>
      <c r="R57" s="28" t="s">
        <v>695</v>
      </c>
      <c r="S57" s="242" t="s">
        <v>864</v>
      </c>
      <c r="T57" s="243" t="s">
        <v>865</v>
      </c>
    </row>
    <row r="58" spans="1:20" ht="21.75" customHeight="1">
      <c r="A58" s="55">
        <v>1</v>
      </c>
      <c r="B58" s="55" t="s">
        <v>171</v>
      </c>
      <c r="C58" s="56" t="s">
        <v>67</v>
      </c>
      <c r="D58" s="57">
        <f t="shared" si="12"/>
        <v>2427291.9719999996</v>
      </c>
      <c r="E58" s="57">
        <v>866889.99</v>
      </c>
      <c r="F58" s="57">
        <f>D58</f>
        <v>2427291.9719999996</v>
      </c>
      <c r="G58" s="57">
        <f t="shared" si="13"/>
        <v>0</v>
      </c>
      <c r="H58" s="57">
        <f>E58</f>
        <v>866889.99</v>
      </c>
      <c r="I58" s="57">
        <f t="shared" si="14"/>
        <v>0</v>
      </c>
      <c r="J58" s="58">
        <v>1</v>
      </c>
      <c r="K58" s="58">
        <v>0</v>
      </c>
      <c r="L58" s="59">
        <v>0</v>
      </c>
      <c r="M58" s="59">
        <v>0</v>
      </c>
      <c r="N58" s="59">
        <f>H58/12*1</f>
        <v>72240.8325</v>
      </c>
      <c r="O58" s="59">
        <f>H58/12*11</f>
        <v>794649.1575000001</v>
      </c>
      <c r="P58" s="59">
        <v>0</v>
      </c>
      <c r="Q58" s="60">
        <f>SUM(L58:P58)-H58</f>
        <v>0</v>
      </c>
      <c r="R58" s="28" t="s">
        <v>695</v>
      </c>
      <c r="S58" s="242" t="s">
        <v>866</v>
      </c>
      <c r="T58" s="243" t="s">
        <v>867</v>
      </c>
    </row>
    <row r="59" spans="1:20" ht="21.75" customHeight="1">
      <c r="A59" s="55">
        <v>1</v>
      </c>
      <c r="B59" s="55" t="s">
        <v>163</v>
      </c>
      <c r="C59" s="56" t="s">
        <v>868</v>
      </c>
      <c r="D59" s="57">
        <f t="shared" si="12"/>
        <v>2427292.084</v>
      </c>
      <c r="E59" s="57">
        <v>866890.03</v>
      </c>
      <c r="F59" s="57">
        <v>2637609.82</v>
      </c>
      <c r="G59" s="57">
        <f t="shared" si="13"/>
        <v>210317.73600000003</v>
      </c>
      <c r="H59" s="57">
        <f>F59/$D$7</f>
        <v>942003.5071428572</v>
      </c>
      <c r="I59" s="57">
        <f t="shared" si="14"/>
        <v>75113.47714285715</v>
      </c>
      <c r="J59" s="58">
        <v>1</v>
      </c>
      <c r="K59" s="58">
        <v>0</v>
      </c>
      <c r="L59" s="59">
        <v>0</v>
      </c>
      <c r="M59" s="59">
        <v>0</v>
      </c>
      <c r="N59" s="59">
        <f>H59/12</f>
        <v>78500.29226190476</v>
      </c>
      <c r="O59" s="59">
        <f>H59/12*11+0.01</f>
        <v>863503.2248809524</v>
      </c>
      <c r="P59" s="59">
        <v>0</v>
      </c>
      <c r="Q59" s="60">
        <f>SUM(L59:P59)-H59-0.01</f>
        <v>9.313225537987968E-12</v>
      </c>
      <c r="R59" s="28" t="s">
        <v>695</v>
      </c>
      <c r="S59" s="242" t="s">
        <v>869</v>
      </c>
      <c r="T59" s="243" t="s">
        <v>870</v>
      </c>
    </row>
    <row r="60" spans="1:20" ht="22.5" customHeight="1">
      <c r="A60" s="63">
        <v>1</v>
      </c>
      <c r="B60" s="63" t="s">
        <v>174</v>
      </c>
      <c r="C60" s="64" t="s">
        <v>871</v>
      </c>
      <c r="D60" s="65">
        <f t="shared" si="12"/>
        <v>2689335.628</v>
      </c>
      <c r="E60" s="65">
        <v>960477.01</v>
      </c>
      <c r="F60" s="65">
        <f>D60</f>
        <v>2689335.628</v>
      </c>
      <c r="G60" s="65">
        <f t="shared" si="13"/>
        <v>0</v>
      </c>
      <c r="H60" s="65">
        <f>E60</f>
        <v>960477.01</v>
      </c>
      <c r="I60" s="65">
        <f t="shared" si="14"/>
        <v>0</v>
      </c>
      <c r="J60" s="66">
        <v>1</v>
      </c>
      <c r="K60" s="66">
        <v>0</v>
      </c>
      <c r="L60" s="67">
        <v>0</v>
      </c>
      <c r="M60" s="67">
        <v>0</v>
      </c>
      <c r="N60" s="67">
        <f>H60/12</f>
        <v>80039.75083333334</v>
      </c>
      <c r="O60" s="67">
        <f>H60/12*11</f>
        <v>880437.2591666668</v>
      </c>
      <c r="P60" s="67">
        <v>0</v>
      </c>
      <c r="Q60" s="60">
        <f aca="true" t="shared" si="15" ref="Q60:Q69">SUM(L60:P60)-H60</f>
        <v>0</v>
      </c>
      <c r="R60" s="28" t="s">
        <v>695</v>
      </c>
      <c r="S60" s="242" t="s">
        <v>872</v>
      </c>
      <c r="T60" s="243" t="s">
        <v>873</v>
      </c>
    </row>
    <row r="61" spans="1:20" ht="23.25" customHeight="1">
      <c r="A61" s="63">
        <v>1</v>
      </c>
      <c r="B61" s="63" t="s">
        <v>185</v>
      </c>
      <c r="C61" s="64" t="s">
        <v>70</v>
      </c>
      <c r="D61" s="65">
        <f t="shared" si="12"/>
        <v>2427292.084</v>
      </c>
      <c r="E61" s="65">
        <v>866890.03</v>
      </c>
      <c r="F61" s="65">
        <f>D61</f>
        <v>2427292.084</v>
      </c>
      <c r="G61" s="65">
        <f t="shared" si="13"/>
        <v>0</v>
      </c>
      <c r="H61" s="65">
        <f>E61</f>
        <v>866890.03</v>
      </c>
      <c r="I61" s="65">
        <f t="shared" si="14"/>
        <v>0</v>
      </c>
      <c r="J61" s="66">
        <v>1</v>
      </c>
      <c r="K61" s="66">
        <v>0</v>
      </c>
      <c r="L61" s="67">
        <v>0</v>
      </c>
      <c r="M61" s="67">
        <v>0</v>
      </c>
      <c r="N61" s="67">
        <v>0</v>
      </c>
      <c r="O61" s="67">
        <f>H61/12*11</f>
        <v>794649.1941666666</v>
      </c>
      <c r="P61" s="67">
        <f>H61/12</f>
        <v>72240.83583333333</v>
      </c>
      <c r="Q61" s="60">
        <f t="shared" si="15"/>
        <v>0</v>
      </c>
      <c r="R61" s="28" t="s">
        <v>695</v>
      </c>
      <c r="S61" s="242" t="s">
        <v>874</v>
      </c>
      <c r="T61" s="243" t="s">
        <v>875</v>
      </c>
    </row>
    <row r="62" spans="1:20" ht="20.25" customHeight="1">
      <c r="A62" s="63">
        <v>1</v>
      </c>
      <c r="B62" s="63" t="s">
        <v>176</v>
      </c>
      <c r="C62" s="64" t="s">
        <v>876</v>
      </c>
      <c r="D62" s="65">
        <f t="shared" si="12"/>
        <v>2427292.084</v>
      </c>
      <c r="E62" s="65">
        <v>866890.03</v>
      </c>
      <c r="F62" s="65">
        <f>D62</f>
        <v>2427292.084</v>
      </c>
      <c r="G62" s="65">
        <f t="shared" si="13"/>
        <v>0</v>
      </c>
      <c r="H62" s="65">
        <f>E62</f>
        <v>866890.03</v>
      </c>
      <c r="I62" s="65">
        <f t="shared" si="14"/>
        <v>0</v>
      </c>
      <c r="J62" s="66">
        <v>1</v>
      </c>
      <c r="K62" s="66">
        <v>0</v>
      </c>
      <c r="L62" s="67">
        <v>0</v>
      </c>
      <c r="M62" s="67">
        <v>0</v>
      </c>
      <c r="N62" s="67">
        <v>0</v>
      </c>
      <c r="O62" s="67">
        <f>H62/12*11</f>
        <v>794649.1941666666</v>
      </c>
      <c r="P62" s="67">
        <f>H62/12</f>
        <v>72240.83583333333</v>
      </c>
      <c r="Q62" s="60">
        <f t="shared" si="15"/>
        <v>0</v>
      </c>
      <c r="R62" s="28" t="s">
        <v>695</v>
      </c>
      <c r="S62" s="242" t="s">
        <v>877</v>
      </c>
      <c r="T62" s="243" t="s">
        <v>878</v>
      </c>
    </row>
    <row r="63" spans="1:20" ht="22.5" customHeight="1">
      <c r="A63" s="55">
        <v>1</v>
      </c>
      <c r="B63" s="55" t="s">
        <v>189</v>
      </c>
      <c r="C63" s="56" t="s">
        <v>879</v>
      </c>
      <c r="D63" s="57">
        <f t="shared" si="12"/>
        <v>1945182.3159999999</v>
      </c>
      <c r="E63" s="57">
        <v>694707.97</v>
      </c>
      <c r="F63" s="57">
        <v>2124856.97</v>
      </c>
      <c r="G63" s="57">
        <f t="shared" si="13"/>
        <v>179674.65400000033</v>
      </c>
      <c r="H63" s="57">
        <f>F63/$D$7</f>
        <v>758877.4892857145</v>
      </c>
      <c r="I63" s="57">
        <f t="shared" si="14"/>
        <v>64169.51928571449</v>
      </c>
      <c r="J63" s="58">
        <v>1</v>
      </c>
      <c r="K63" s="58">
        <v>0</v>
      </c>
      <c r="L63" s="59">
        <v>0</v>
      </c>
      <c r="M63" s="59">
        <v>0</v>
      </c>
      <c r="N63" s="59">
        <v>0</v>
      </c>
      <c r="O63" s="59">
        <f>H63/12*11</f>
        <v>695637.6985119049</v>
      </c>
      <c r="P63" s="59">
        <f>H63/12</f>
        <v>63239.79077380954</v>
      </c>
      <c r="Q63" s="60">
        <f t="shared" si="15"/>
        <v>0</v>
      </c>
      <c r="R63" s="28" t="s">
        <v>695</v>
      </c>
      <c r="S63" s="242" t="s">
        <v>880</v>
      </c>
      <c r="T63" s="243" t="s">
        <v>881</v>
      </c>
    </row>
    <row r="64" spans="1:20" ht="23.25" customHeight="1">
      <c r="A64" s="55">
        <v>1</v>
      </c>
      <c r="B64" s="55" t="s">
        <v>193</v>
      </c>
      <c r="C64" s="56" t="s">
        <v>882</v>
      </c>
      <c r="D64" s="57">
        <f t="shared" si="12"/>
        <v>1945182.3159999999</v>
      </c>
      <c r="E64" s="57">
        <v>694707.97</v>
      </c>
      <c r="F64" s="57">
        <v>2405656.48</v>
      </c>
      <c r="G64" s="57">
        <f t="shared" si="13"/>
        <v>460474.1640000001</v>
      </c>
      <c r="H64" s="57">
        <f>F64/$D$7</f>
        <v>859163.0285714286</v>
      </c>
      <c r="I64" s="57">
        <f t="shared" si="14"/>
        <v>164455.05857142864</v>
      </c>
      <c r="J64" s="58">
        <v>1</v>
      </c>
      <c r="K64" s="58">
        <v>0</v>
      </c>
      <c r="L64" s="59">
        <v>0</v>
      </c>
      <c r="M64" s="59">
        <v>0</v>
      </c>
      <c r="N64" s="59">
        <v>0</v>
      </c>
      <c r="O64" s="59">
        <f>H64/12*11</f>
        <v>787566.1095238096</v>
      </c>
      <c r="P64" s="59">
        <f>H64/12</f>
        <v>71596.91904761906</v>
      </c>
      <c r="Q64" s="60">
        <f t="shared" si="15"/>
        <v>0</v>
      </c>
      <c r="R64" s="28" t="s">
        <v>695</v>
      </c>
      <c r="S64" s="242" t="s">
        <v>883</v>
      </c>
      <c r="T64" s="243" t="s">
        <v>884</v>
      </c>
    </row>
    <row r="65" spans="1:20" ht="21.75" customHeight="1">
      <c r="A65" s="55">
        <v>1</v>
      </c>
      <c r="B65" s="55" t="s">
        <v>196</v>
      </c>
      <c r="C65" s="56" t="s">
        <v>74</v>
      </c>
      <c r="D65" s="57">
        <f t="shared" si="12"/>
        <v>1945182.3159999999</v>
      </c>
      <c r="E65" s="57">
        <v>694707.97</v>
      </c>
      <c r="F65" s="57">
        <v>2202414.36</v>
      </c>
      <c r="G65" s="57">
        <f t="shared" si="13"/>
        <v>257232.044</v>
      </c>
      <c r="H65" s="57">
        <f>F65/$D$7</f>
        <v>786576.5571428571</v>
      </c>
      <c r="I65" s="57">
        <f t="shared" si="14"/>
        <v>91868.58714285714</v>
      </c>
      <c r="J65" s="58">
        <v>1</v>
      </c>
      <c r="K65" s="58">
        <v>0</v>
      </c>
      <c r="L65" s="59">
        <v>0</v>
      </c>
      <c r="M65" s="59">
        <v>0</v>
      </c>
      <c r="N65" s="59">
        <v>0</v>
      </c>
      <c r="O65" s="59">
        <f>H65/12*9</f>
        <v>589932.4178571429</v>
      </c>
      <c r="P65" s="59">
        <f>H65/12*3</f>
        <v>196644.13928571428</v>
      </c>
      <c r="Q65" s="60">
        <f t="shared" si="15"/>
        <v>0</v>
      </c>
      <c r="R65" s="28" t="s">
        <v>695</v>
      </c>
      <c r="S65" s="242" t="s">
        <v>885</v>
      </c>
      <c r="T65" s="243" t="s">
        <v>886</v>
      </c>
    </row>
    <row r="66" spans="1:20" ht="21.75" customHeight="1">
      <c r="A66" s="63">
        <v>1</v>
      </c>
      <c r="B66" s="63" t="s">
        <v>205</v>
      </c>
      <c r="C66" s="64" t="s">
        <v>75</v>
      </c>
      <c r="D66" s="65">
        <f t="shared" si="12"/>
        <v>1945182.3159999999</v>
      </c>
      <c r="E66" s="65">
        <v>694707.97</v>
      </c>
      <c r="F66" s="65">
        <f>D66</f>
        <v>1945182.3159999999</v>
      </c>
      <c r="G66" s="65">
        <f t="shared" si="13"/>
        <v>0</v>
      </c>
      <c r="H66" s="65">
        <f>E66</f>
        <v>694707.97</v>
      </c>
      <c r="I66" s="65">
        <f t="shared" si="14"/>
        <v>0</v>
      </c>
      <c r="J66" s="66">
        <v>1</v>
      </c>
      <c r="K66" s="66">
        <v>0</v>
      </c>
      <c r="L66" s="67">
        <v>0</v>
      </c>
      <c r="M66" s="67">
        <v>0</v>
      </c>
      <c r="N66" s="67">
        <v>0</v>
      </c>
      <c r="O66" s="67">
        <f>H66/12*9</f>
        <v>521030.9775</v>
      </c>
      <c r="P66" s="67">
        <f>H66/12*3</f>
        <v>173676.9925</v>
      </c>
      <c r="Q66" s="60">
        <f t="shared" si="15"/>
        <v>0</v>
      </c>
      <c r="R66" s="28" t="s">
        <v>695</v>
      </c>
      <c r="S66" s="242" t="s">
        <v>887</v>
      </c>
      <c r="T66" s="243" t="s">
        <v>888</v>
      </c>
    </row>
    <row r="67" spans="1:20" ht="21.75" customHeight="1">
      <c r="A67" s="63">
        <v>1</v>
      </c>
      <c r="B67" s="63" t="s">
        <v>211</v>
      </c>
      <c r="C67" s="64" t="s">
        <v>76</v>
      </c>
      <c r="D67" s="65">
        <f t="shared" si="12"/>
        <v>1945182.3159999999</v>
      </c>
      <c r="E67" s="65">
        <v>694707.97</v>
      </c>
      <c r="F67" s="65">
        <f>D67</f>
        <v>1945182.3159999999</v>
      </c>
      <c r="G67" s="65">
        <f t="shared" si="13"/>
        <v>0</v>
      </c>
      <c r="H67" s="65">
        <f>E67</f>
        <v>694707.97</v>
      </c>
      <c r="I67" s="65">
        <f t="shared" si="14"/>
        <v>0</v>
      </c>
      <c r="J67" s="66">
        <v>1</v>
      </c>
      <c r="K67" s="66">
        <v>0</v>
      </c>
      <c r="L67" s="67">
        <v>0</v>
      </c>
      <c r="M67" s="67">
        <v>0</v>
      </c>
      <c r="N67" s="67">
        <v>0</v>
      </c>
      <c r="O67" s="67">
        <f>H67/12*9</f>
        <v>521030.9775</v>
      </c>
      <c r="P67" s="67">
        <f>H67/12*3</f>
        <v>173676.9925</v>
      </c>
      <c r="Q67" s="60">
        <f t="shared" si="15"/>
        <v>0</v>
      </c>
      <c r="R67" s="28" t="s">
        <v>695</v>
      </c>
      <c r="S67" s="242" t="s">
        <v>889</v>
      </c>
      <c r="T67" s="243" t="s">
        <v>890</v>
      </c>
    </row>
    <row r="68" spans="1:20" ht="24.75" customHeight="1">
      <c r="A68" s="63">
        <v>2</v>
      </c>
      <c r="B68" s="63" t="s">
        <v>431</v>
      </c>
      <c r="C68" s="64" t="s">
        <v>726</v>
      </c>
      <c r="D68" s="65">
        <f t="shared" si="12"/>
        <v>2921993.1999999997</v>
      </c>
      <c r="E68" s="65">
        <v>1043569</v>
      </c>
      <c r="F68" s="65">
        <f>D68</f>
        <v>2921993.1999999997</v>
      </c>
      <c r="G68" s="65">
        <f t="shared" si="13"/>
        <v>0</v>
      </c>
      <c r="H68" s="65">
        <f>E68</f>
        <v>1043569</v>
      </c>
      <c r="I68" s="65">
        <f t="shared" si="14"/>
        <v>0</v>
      </c>
      <c r="J68" s="66">
        <v>1</v>
      </c>
      <c r="K68" s="66">
        <v>0</v>
      </c>
      <c r="L68" s="67">
        <v>0</v>
      </c>
      <c r="M68" s="67">
        <v>0</v>
      </c>
      <c r="N68" s="67">
        <v>0</v>
      </c>
      <c r="O68" s="67">
        <f>H68/12*9</f>
        <v>782676.75</v>
      </c>
      <c r="P68" s="67">
        <f>H68/12*3</f>
        <v>260892.25</v>
      </c>
      <c r="Q68" s="60">
        <f t="shared" si="15"/>
        <v>0</v>
      </c>
      <c r="R68" s="28" t="s">
        <v>695</v>
      </c>
      <c r="S68" s="241"/>
      <c r="T68" s="158"/>
    </row>
    <row r="69" spans="1:20" ht="21" customHeight="1">
      <c r="A69" s="114"/>
      <c r="B69" s="114"/>
      <c r="C69" s="110" t="s">
        <v>78</v>
      </c>
      <c r="D69" s="115">
        <f t="shared" si="12"/>
        <v>27735744.259999998</v>
      </c>
      <c r="E69" s="115">
        <f>SUM(E57:E68)</f>
        <v>9905622.95</v>
      </c>
      <c r="F69" s="115">
        <f>SUM(F57:F68)</f>
        <v>28719564.939999998</v>
      </c>
      <c r="G69" s="115">
        <f>SUM(G57:G68)-0.01</f>
        <v>983820.6700000004</v>
      </c>
      <c r="H69" s="115">
        <f>SUM(H57:H68)+0.01</f>
        <v>10256987.488571431</v>
      </c>
      <c r="I69" s="115">
        <f>SUM(I57:I68)+0.01</f>
        <v>351364.53857142886</v>
      </c>
      <c r="J69" s="116">
        <f>J68</f>
        <v>1</v>
      </c>
      <c r="K69" s="116">
        <v>0</v>
      </c>
      <c r="L69" s="115">
        <f>SUM(L57:L68)</f>
        <v>0</v>
      </c>
      <c r="M69" s="115">
        <f>SUM(M57:M68)</f>
        <v>0</v>
      </c>
      <c r="N69" s="115">
        <f>SUM(N57:N68)</f>
        <v>307133.7836309524</v>
      </c>
      <c r="O69" s="115">
        <f>SUM(O57:O68)</f>
        <v>8865644.949166667</v>
      </c>
      <c r="P69" s="115">
        <f>SUM(P57:P68)</f>
        <v>1084208.7557738095</v>
      </c>
      <c r="Q69" s="60">
        <f t="shared" si="15"/>
        <v>0</v>
      </c>
      <c r="R69" s="28" t="s">
        <v>695</v>
      </c>
      <c r="S69" s="241"/>
      <c r="T69" s="158"/>
    </row>
    <row r="70" spans="1:20" ht="21.75" customHeight="1">
      <c r="A70" s="114"/>
      <c r="B70" s="114"/>
      <c r="C70" s="117" t="s">
        <v>79</v>
      </c>
      <c r="D70" s="11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60"/>
      <c r="S70" s="241"/>
      <c r="T70" s="158"/>
    </row>
    <row r="71" spans="1:20" ht="21.75" customHeight="1">
      <c r="A71" s="63">
        <v>1</v>
      </c>
      <c r="B71" s="63" t="s">
        <v>215</v>
      </c>
      <c r="C71" s="64" t="s">
        <v>891</v>
      </c>
      <c r="D71" s="65">
        <f aca="true" t="shared" si="16" ref="D71:D79">E71*$D$7</f>
        <v>2265466</v>
      </c>
      <c r="E71" s="65">
        <v>809095</v>
      </c>
      <c r="F71" s="65">
        <f aca="true" t="shared" si="17" ref="F71:F81">D71</f>
        <v>2265466</v>
      </c>
      <c r="G71" s="65">
        <f aca="true" t="shared" si="18" ref="G71:G81">F71-D71</f>
        <v>0</v>
      </c>
      <c r="H71" s="65">
        <f aca="true" t="shared" si="19" ref="H71:H81">E71</f>
        <v>809095</v>
      </c>
      <c r="I71" s="65">
        <f aca="true" t="shared" si="20" ref="I71:I81">H71-E71</f>
        <v>0</v>
      </c>
      <c r="J71" s="66">
        <v>1</v>
      </c>
      <c r="K71" s="66">
        <v>0</v>
      </c>
      <c r="L71" s="67">
        <v>0</v>
      </c>
      <c r="M71" s="67">
        <v>0</v>
      </c>
      <c r="N71" s="67">
        <v>0</v>
      </c>
      <c r="O71" s="67">
        <f aca="true" t="shared" si="21" ref="O71:O81">H71/12*7</f>
        <v>471972.0833333333</v>
      </c>
      <c r="P71" s="67">
        <f aca="true" t="shared" si="22" ref="P71:P81">H71/12*5</f>
        <v>337122.9166666666</v>
      </c>
      <c r="Q71" s="60">
        <f aca="true" t="shared" si="23" ref="Q71:Q82">SUM(L71:P71)-H71</f>
        <v>0</v>
      </c>
      <c r="R71" s="28" t="s">
        <v>695</v>
      </c>
      <c r="S71" s="242" t="s">
        <v>892</v>
      </c>
      <c r="T71" s="242" t="s">
        <v>893</v>
      </c>
    </row>
    <row r="72" spans="1:20" ht="21.75" customHeight="1">
      <c r="A72" s="63">
        <v>1</v>
      </c>
      <c r="B72" s="63" t="s">
        <v>218</v>
      </c>
      <c r="C72" s="64" t="s">
        <v>81</v>
      </c>
      <c r="D72" s="65">
        <f t="shared" si="16"/>
        <v>1367010.4</v>
      </c>
      <c r="E72" s="65">
        <v>488218</v>
      </c>
      <c r="F72" s="65">
        <f t="shared" si="17"/>
        <v>1367010.4</v>
      </c>
      <c r="G72" s="65">
        <f t="shared" si="18"/>
        <v>0</v>
      </c>
      <c r="H72" s="65">
        <f t="shared" si="19"/>
        <v>488218</v>
      </c>
      <c r="I72" s="65">
        <f t="shared" si="20"/>
        <v>0</v>
      </c>
      <c r="J72" s="66">
        <v>1</v>
      </c>
      <c r="K72" s="66">
        <v>0</v>
      </c>
      <c r="L72" s="67">
        <v>0</v>
      </c>
      <c r="M72" s="67">
        <v>0</v>
      </c>
      <c r="N72" s="67">
        <v>0</v>
      </c>
      <c r="O72" s="67">
        <f t="shared" si="21"/>
        <v>284793.8333333334</v>
      </c>
      <c r="P72" s="67">
        <f t="shared" si="22"/>
        <v>203424.1666666667</v>
      </c>
      <c r="Q72" s="60">
        <f t="shared" si="23"/>
        <v>0</v>
      </c>
      <c r="R72" s="28" t="s">
        <v>695</v>
      </c>
      <c r="S72" s="242" t="s">
        <v>894</v>
      </c>
      <c r="T72" s="243" t="s">
        <v>895</v>
      </c>
    </row>
    <row r="73" spans="1:20" ht="21.75" customHeight="1">
      <c r="A73" s="63">
        <v>1</v>
      </c>
      <c r="B73" s="63" t="s">
        <v>224</v>
      </c>
      <c r="C73" s="64" t="s">
        <v>82</v>
      </c>
      <c r="D73" s="65">
        <f t="shared" si="16"/>
        <v>1367010.4</v>
      </c>
      <c r="E73" s="65">
        <v>488218</v>
      </c>
      <c r="F73" s="65">
        <f t="shared" si="17"/>
        <v>1367010.4</v>
      </c>
      <c r="G73" s="65">
        <f t="shared" si="18"/>
        <v>0</v>
      </c>
      <c r="H73" s="65">
        <f t="shared" si="19"/>
        <v>488218</v>
      </c>
      <c r="I73" s="65">
        <f t="shared" si="20"/>
        <v>0</v>
      </c>
      <c r="J73" s="66">
        <v>1</v>
      </c>
      <c r="K73" s="66">
        <v>0</v>
      </c>
      <c r="L73" s="67">
        <v>0</v>
      </c>
      <c r="M73" s="67">
        <v>0</v>
      </c>
      <c r="N73" s="67">
        <v>0</v>
      </c>
      <c r="O73" s="67">
        <f t="shared" si="21"/>
        <v>284793.8333333334</v>
      </c>
      <c r="P73" s="67">
        <f t="shared" si="22"/>
        <v>203424.1666666667</v>
      </c>
      <c r="Q73" s="60">
        <f t="shared" si="23"/>
        <v>0</v>
      </c>
      <c r="R73" s="28" t="s">
        <v>695</v>
      </c>
      <c r="S73" s="242" t="s">
        <v>896</v>
      </c>
      <c r="T73" s="243" t="s">
        <v>897</v>
      </c>
    </row>
    <row r="74" spans="1:20" ht="21.75" customHeight="1">
      <c r="A74" s="63">
        <v>1</v>
      </c>
      <c r="B74" s="63" t="s">
        <v>227</v>
      </c>
      <c r="C74" s="64" t="s">
        <v>83</v>
      </c>
      <c r="D74" s="65">
        <f t="shared" si="16"/>
        <v>1367010.4</v>
      </c>
      <c r="E74" s="65">
        <v>488218</v>
      </c>
      <c r="F74" s="65">
        <f t="shared" si="17"/>
        <v>1367010.4</v>
      </c>
      <c r="G74" s="65">
        <f t="shared" si="18"/>
        <v>0</v>
      </c>
      <c r="H74" s="65">
        <f t="shared" si="19"/>
        <v>488218</v>
      </c>
      <c r="I74" s="65">
        <f t="shared" si="20"/>
        <v>0</v>
      </c>
      <c r="J74" s="66">
        <v>1</v>
      </c>
      <c r="K74" s="66">
        <v>0</v>
      </c>
      <c r="L74" s="67">
        <v>0</v>
      </c>
      <c r="M74" s="67">
        <v>0</v>
      </c>
      <c r="N74" s="67">
        <v>0</v>
      </c>
      <c r="O74" s="67">
        <f t="shared" si="21"/>
        <v>284793.8333333334</v>
      </c>
      <c r="P74" s="67">
        <f t="shared" si="22"/>
        <v>203424.1666666667</v>
      </c>
      <c r="Q74" s="60">
        <f t="shared" si="23"/>
        <v>0</v>
      </c>
      <c r="R74" s="28" t="s">
        <v>695</v>
      </c>
      <c r="S74" s="242" t="s">
        <v>898</v>
      </c>
      <c r="T74" s="243" t="s">
        <v>899</v>
      </c>
    </row>
    <row r="75" spans="1:20" ht="21.75" customHeight="1">
      <c r="A75" s="63">
        <v>1</v>
      </c>
      <c r="B75" s="63" t="s">
        <v>230</v>
      </c>
      <c r="C75" s="64" t="s">
        <v>84</v>
      </c>
      <c r="D75" s="65">
        <f t="shared" si="16"/>
        <v>1558404.3159999999</v>
      </c>
      <c r="E75" s="65">
        <v>556572.97</v>
      </c>
      <c r="F75" s="65">
        <f t="shared" si="17"/>
        <v>1558404.3159999999</v>
      </c>
      <c r="G75" s="65">
        <f t="shared" si="18"/>
        <v>0</v>
      </c>
      <c r="H75" s="65">
        <f t="shared" si="19"/>
        <v>556572.97</v>
      </c>
      <c r="I75" s="65">
        <f t="shared" si="20"/>
        <v>0</v>
      </c>
      <c r="J75" s="66">
        <v>1</v>
      </c>
      <c r="K75" s="66">
        <v>0</v>
      </c>
      <c r="L75" s="67">
        <v>0</v>
      </c>
      <c r="M75" s="67">
        <v>0</v>
      </c>
      <c r="N75" s="67">
        <v>0</v>
      </c>
      <c r="O75" s="67">
        <f t="shared" si="21"/>
        <v>324667.56583333336</v>
      </c>
      <c r="P75" s="67">
        <f t="shared" si="22"/>
        <v>231905.40416666667</v>
      </c>
      <c r="Q75" s="60">
        <f t="shared" si="23"/>
        <v>0</v>
      </c>
      <c r="R75" s="28" t="s">
        <v>695</v>
      </c>
      <c r="S75" s="242" t="s">
        <v>900</v>
      </c>
      <c r="T75" s="243" t="s">
        <v>901</v>
      </c>
    </row>
    <row r="76" spans="1:20" ht="21.75" customHeight="1">
      <c r="A76" s="63">
        <v>1</v>
      </c>
      <c r="B76" s="63" t="s">
        <v>234</v>
      </c>
      <c r="C76" s="64" t="s">
        <v>85</v>
      </c>
      <c r="D76" s="65">
        <f t="shared" si="16"/>
        <v>2125065.6</v>
      </c>
      <c r="E76" s="65">
        <v>758952</v>
      </c>
      <c r="F76" s="65">
        <f t="shared" si="17"/>
        <v>2125065.6</v>
      </c>
      <c r="G76" s="65">
        <f t="shared" si="18"/>
        <v>0</v>
      </c>
      <c r="H76" s="65">
        <f t="shared" si="19"/>
        <v>758952</v>
      </c>
      <c r="I76" s="65">
        <f t="shared" si="20"/>
        <v>0</v>
      </c>
      <c r="J76" s="66">
        <v>1</v>
      </c>
      <c r="K76" s="66">
        <v>0</v>
      </c>
      <c r="L76" s="67">
        <v>0</v>
      </c>
      <c r="M76" s="67">
        <v>0</v>
      </c>
      <c r="N76" s="67">
        <v>0</v>
      </c>
      <c r="O76" s="67">
        <f t="shared" si="21"/>
        <v>442722</v>
      </c>
      <c r="P76" s="67">
        <f t="shared" si="22"/>
        <v>316230</v>
      </c>
      <c r="Q76" s="60">
        <f t="shared" si="23"/>
        <v>0</v>
      </c>
      <c r="R76" s="28" t="s">
        <v>695</v>
      </c>
      <c r="S76" s="242" t="s">
        <v>902</v>
      </c>
      <c r="T76" s="243" t="s">
        <v>903</v>
      </c>
    </row>
    <row r="77" spans="1:20" ht="21.75" customHeight="1">
      <c r="A77" s="63">
        <v>1</v>
      </c>
      <c r="B77" s="63" t="s">
        <v>237</v>
      </c>
      <c r="C77" s="64" t="s">
        <v>86</v>
      </c>
      <c r="D77" s="65">
        <f t="shared" si="16"/>
        <v>1558404.3159999999</v>
      </c>
      <c r="E77" s="65">
        <v>556572.97</v>
      </c>
      <c r="F77" s="65">
        <f t="shared" si="17"/>
        <v>1558404.3159999999</v>
      </c>
      <c r="G77" s="65">
        <f t="shared" si="18"/>
        <v>0</v>
      </c>
      <c r="H77" s="65">
        <f t="shared" si="19"/>
        <v>556572.97</v>
      </c>
      <c r="I77" s="65">
        <f t="shared" si="20"/>
        <v>0</v>
      </c>
      <c r="J77" s="66">
        <v>1</v>
      </c>
      <c r="K77" s="66">
        <v>0</v>
      </c>
      <c r="L77" s="67">
        <v>0</v>
      </c>
      <c r="M77" s="67">
        <v>0</v>
      </c>
      <c r="N77" s="67">
        <v>0</v>
      </c>
      <c r="O77" s="67">
        <f t="shared" si="21"/>
        <v>324667.56583333336</v>
      </c>
      <c r="P77" s="67">
        <f t="shared" si="22"/>
        <v>231905.40416666667</v>
      </c>
      <c r="Q77" s="60">
        <f t="shared" si="23"/>
        <v>0</v>
      </c>
      <c r="R77" s="28" t="s">
        <v>695</v>
      </c>
      <c r="S77" s="242" t="s">
        <v>904</v>
      </c>
      <c r="T77" s="243" t="s">
        <v>905</v>
      </c>
    </row>
    <row r="78" spans="1:20" ht="21.75" customHeight="1">
      <c r="A78" s="63">
        <v>1</v>
      </c>
      <c r="B78" s="63" t="s">
        <v>240</v>
      </c>
      <c r="C78" s="64" t="s">
        <v>87</v>
      </c>
      <c r="D78" s="65">
        <f t="shared" si="16"/>
        <v>1367010.4</v>
      </c>
      <c r="E78" s="65">
        <v>488218</v>
      </c>
      <c r="F78" s="65">
        <f t="shared" si="17"/>
        <v>1367010.4</v>
      </c>
      <c r="G78" s="65">
        <f t="shared" si="18"/>
        <v>0</v>
      </c>
      <c r="H78" s="65">
        <f t="shared" si="19"/>
        <v>488218</v>
      </c>
      <c r="I78" s="65">
        <f t="shared" si="20"/>
        <v>0</v>
      </c>
      <c r="J78" s="66">
        <v>1</v>
      </c>
      <c r="K78" s="66">
        <v>0</v>
      </c>
      <c r="L78" s="67">
        <v>0</v>
      </c>
      <c r="M78" s="67">
        <v>0</v>
      </c>
      <c r="N78" s="67">
        <v>0</v>
      </c>
      <c r="O78" s="67">
        <f t="shared" si="21"/>
        <v>284793.8333333334</v>
      </c>
      <c r="P78" s="67">
        <f t="shared" si="22"/>
        <v>203424.1666666667</v>
      </c>
      <c r="Q78" s="60">
        <f t="shared" si="23"/>
        <v>0</v>
      </c>
      <c r="R78" s="28" t="s">
        <v>695</v>
      </c>
      <c r="S78" s="241"/>
      <c r="T78" s="158"/>
    </row>
    <row r="79" spans="1:20" ht="21.75" customHeight="1">
      <c r="A79" s="63">
        <v>1</v>
      </c>
      <c r="B79" s="63" t="s">
        <v>736</v>
      </c>
      <c r="C79" s="64" t="s">
        <v>88</v>
      </c>
      <c r="D79" s="65">
        <f t="shared" si="16"/>
        <v>1135680.0559999999</v>
      </c>
      <c r="E79" s="65">
        <v>405600.02</v>
      </c>
      <c r="F79" s="65">
        <f t="shared" si="17"/>
        <v>1135680.0559999999</v>
      </c>
      <c r="G79" s="65">
        <f t="shared" si="18"/>
        <v>0</v>
      </c>
      <c r="H79" s="65">
        <f t="shared" si="19"/>
        <v>405600.02</v>
      </c>
      <c r="I79" s="65">
        <f t="shared" si="20"/>
        <v>0</v>
      </c>
      <c r="J79" s="66">
        <v>1</v>
      </c>
      <c r="K79" s="66">
        <v>0</v>
      </c>
      <c r="L79" s="67">
        <v>0</v>
      </c>
      <c r="M79" s="67">
        <v>0</v>
      </c>
      <c r="N79" s="67">
        <v>0</v>
      </c>
      <c r="O79" s="67">
        <f t="shared" si="21"/>
        <v>236600.0116666667</v>
      </c>
      <c r="P79" s="67">
        <f t="shared" si="22"/>
        <v>169000.00833333336</v>
      </c>
      <c r="Q79" s="60">
        <f t="shared" si="23"/>
        <v>0</v>
      </c>
      <c r="R79" s="28" t="s">
        <v>695</v>
      </c>
      <c r="S79" s="241"/>
      <c r="T79" s="158"/>
    </row>
    <row r="80" spans="1:20" ht="21.75" customHeight="1">
      <c r="A80" s="63">
        <v>1</v>
      </c>
      <c r="B80" s="63" t="s">
        <v>243</v>
      </c>
      <c r="C80" s="64" t="s">
        <v>906</v>
      </c>
      <c r="D80" s="65">
        <v>0</v>
      </c>
      <c r="E80" s="65">
        <v>0</v>
      </c>
      <c r="F80" s="65">
        <f t="shared" si="17"/>
        <v>0</v>
      </c>
      <c r="G80" s="65">
        <f t="shared" si="18"/>
        <v>0</v>
      </c>
      <c r="H80" s="65">
        <f t="shared" si="19"/>
        <v>0</v>
      </c>
      <c r="I80" s="65">
        <f t="shared" si="20"/>
        <v>0</v>
      </c>
      <c r="J80" s="66">
        <v>1</v>
      </c>
      <c r="K80" s="66">
        <v>0</v>
      </c>
      <c r="L80" s="67">
        <v>0</v>
      </c>
      <c r="M80" s="67">
        <v>0</v>
      </c>
      <c r="N80" s="67">
        <v>0</v>
      </c>
      <c r="O80" s="67">
        <f t="shared" si="21"/>
        <v>0</v>
      </c>
      <c r="P80" s="67">
        <f t="shared" si="22"/>
        <v>0</v>
      </c>
      <c r="Q80" s="60">
        <f t="shared" si="23"/>
        <v>0</v>
      </c>
      <c r="R80" s="28" t="s">
        <v>695</v>
      </c>
      <c r="S80" s="242" t="s">
        <v>887</v>
      </c>
      <c r="T80" s="243" t="s">
        <v>888</v>
      </c>
    </row>
    <row r="81" spans="1:20" ht="21.75" customHeight="1">
      <c r="A81" s="63">
        <v>2</v>
      </c>
      <c r="B81" s="63" t="s">
        <v>254</v>
      </c>
      <c r="C81" s="64" t="s">
        <v>739</v>
      </c>
      <c r="D81" s="65">
        <f>E81*$D$7</f>
        <v>1661676.7999999998</v>
      </c>
      <c r="E81" s="65">
        <v>593456</v>
      </c>
      <c r="F81" s="65">
        <f t="shared" si="17"/>
        <v>1661676.7999999998</v>
      </c>
      <c r="G81" s="65">
        <f t="shared" si="18"/>
        <v>0</v>
      </c>
      <c r="H81" s="65">
        <f t="shared" si="19"/>
        <v>593456</v>
      </c>
      <c r="I81" s="65">
        <f t="shared" si="20"/>
        <v>0</v>
      </c>
      <c r="J81" s="66">
        <v>1</v>
      </c>
      <c r="K81" s="66">
        <v>0</v>
      </c>
      <c r="L81" s="67">
        <v>0</v>
      </c>
      <c r="M81" s="67">
        <v>0</v>
      </c>
      <c r="N81" s="67">
        <v>0</v>
      </c>
      <c r="O81" s="67">
        <f t="shared" si="21"/>
        <v>346182.6666666666</v>
      </c>
      <c r="P81" s="67">
        <f t="shared" si="22"/>
        <v>247273.3333333333</v>
      </c>
      <c r="Q81" s="60">
        <f t="shared" si="23"/>
        <v>0</v>
      </c>
      <c r="R81" s="28" t="s">
        <v>695</v>
      </c>
      <c r="S81" s="241"/>
      <c r="T81" s="158"/>
    </row>
    <row r="82" spans="1:20" ht="21" customHeight="1">
      <c r="A82" s="114"/>
      <c r="B82" s="114"/>
      <c r="C82" s="110" t="s">
        <v>90</v>
      </c>
      <c r="D82" s="115">
        <f>E82*$D$7</f>
        <v>15772738.687999995</v>
      </c>
      <c r="E82" s="115">
        <f>SUM(E71:E81)</f>
        <v>5633120.959999999</v>
      </c>
      <c r="F82" s="115">
        <f>SUM(F71:F81)+0.01</f>
        <v>15772738.697999997</v>
      </c>
      <c r="G82" s="115">
        <f>SUM(G71:G81)</f>
        <v>0</v>
      </c>
      <c r="H82" s="115">
        <f>SUM(H71:H81)</f>
        <v>5633120.959999999</v>
      </c>
      <c r="I82" s="115">
        <f>SUM(I71:I81)</f>
        <v>0</v>
      </c>
      <c r="J82" s="116">
        <f>J81</f>
        <v>1</v>
      </c>
      <c r="K82" s="116">
        <v>0</v>
      </c>
      <c r="L82" s="115">
        <f>SUM(L71:L81)</f>
        <v>0</v>
      </c>
      <c r="M82" s="115">
        <f>SUM(M71:M81)</f>
        <v>0</v>
      </c>
      <c r="N82" s="115">
        <f>SUM(N71:N81)</f>
        <v>0</v>
      </c>
      <c r="O82" s="115">
        <f>SUM(O71:O81)-0.01</f>
        <v>3285987.2166666673</v>
      </c>
      <c r="P82" s="115">
        <f>SUM(P71:P81)+0.01</f>
        <v>2347133.7433333336</v>
      </c>
      <c r="Q82" s="60">
        <f t="shared" si="23"/>
        <v>0</v>
      </c>
      <c r="R82" s="28" t="s">
        <v>695</v>
      </c>
      <c r="S82" s="241"/>
      <c r="T82" s="158"/>
    </row>
    <row r="83" spans="1:20" ht="23.25" customHeight="1">
      <c r="A83" s="114"/>
      <c r="B83" s="114"/>
      <c r="C83" s="117" t="s">
        <v>91</v>
      </c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60"/>
      <c r="S83" s="241"/>
      <c r="T83" s="158"/>
    </row>
    <row r="84" spans="1:20" ht="21.75" customHeight="1">
      <c r="A84" s="55">
        <v>1</v>
      </c>
      <c r="B84" s="55" t="s">
        <v>265</v>
      </c>
      <c r="C84" s="56" t="s">
        <v>824</v>
      </c>
      <c r="D84" s="57">
        <f aca="true" t="shared" si="24" ref="D84:D93">E84*$D$7</f>
        <v>7865281.116</v>
      </c>
      <c r="E84" s="57">
        <v>2809028.97</v>
      </c>
      <c r="F84" s="57">
        <v>11131035.85</v>
      </c>
      <c r="G84" s="57">
        <f aca="true" t="shared" si="25" ref="G84:G92">F84-D84</f>
        <v>3265754.7339999992</v>
      </c>
      <c r="H84" s="57">
        <f>F84/$D$7</f>
        <v>3975369.9464285714</v>
      </c>
      <c r="I84" s="57">
        <f aca="true" t="shared" si="26" ref="I84:I92">H84-E84</f>
        <v>1166340.9764285712</v>
      </c>
      <c r="J84" s="58">
        <v>1</v>
      </c>
      <c r="K84" s="58">
        <v>0</v>
      </c>
      <c r="L84" s="59">
        <v>0</v>
      </c>
      <c r="M84" s="59">
        <v>0</v>
      </c>
      <c r="N84" s="59">
        <v>0</v>
      </c>
      <c r="O84" s="59">
        <f>H84/19*6</f>
        <v>1255379.9830827066</v>
      </c>
      <c r="P84" s="59">
        <f>H84/19*13+0.01</f>
        <v>2719989.973345864</v>
      </c>
      <c r="Q84" s="60">
        <f>SUM(L84:P84)-H84-0.01</f>
        <v>-6.891787054236209E-10</v>
      </c>
      <c r="R84" s="28" t="s">
        <v>712</v>
      </c>
      <c r="S84" s="242" t="s">
        <v>907</v>
      </c>
      <c r="T84" s="243" t="s">
        <v>908</v>
      </c>
    </row>
    <row r="85" spans="1:20" ht="21.75" customHeight="1">
      <c r="A85" s="55">
        <v>1</v>
      </c>
      <c r="B85" s="55" t="s">
        <v>289</v>
      </c>
      <c r="C85" s="56" t="s">
        <v>909</v>
      </c>
      <c r="D85" s="57">
        <f t="shared" si="24"/>
        <v>7865281.143999999</v>
      </c>
      <c r="E85" s="57">
        <v>2809028.98</v>
      </c>
      <c r="F85" s="57">
        <v>11643698.66</v>
      </c>
      <c r="G85" s="57">
        <f t="shared" si="25"/>
        <v>3778417.5160000008</v>
      </c>
      <c r="H85" s="57">
        <f>F85/$D$7</f>
        <v>4158463.8071428575</v>
      </c>
      <c r="I85" s="57">
        <f t="shared" si="26"/>
        <v>1349434.8271428575</v>
      </c>
      <c r="J85" s="58">
        <v>1</v>
      </c>
      <c r="K85" s="58">
        <v>0</v>
      </c>
      <c r="L85" s="59">
        <v>0</v>
      </c>
      <c r="M85" s="59">
        <v>0</v>
      </c>
      <c r="N85" s="59">
        <f>H85/12*7+0.01</f>
        <v>2425770.564166667</v>
      </c>
      <c r="O85" s="59">
        <f>H85/12*5</f>
        <v>1732693.2529761908</v>
      </c>
      <c r="P85" s="59">
        <v>0</v>
      </c>
      <c r="Q85" s="60">
        <f>SUM(L85:P85)-H85-0.01</f>
        <v>2.421438691918576E-10</v>
      </c>
      <c r="R85" s="28" t="s">
        <v>712</v>
      </c>
      <c r="S85" s="242"/>
      <c r="T85" s="243"/>
    </row>
    <row r="86" spans="1:20" ht="21.75" customHeight="1">
      <c r="A86" s="63">
        <v>1</v>
      </c>
      <c r="B86" s="63" t="s">
        <v>298</v>
      </c>
      <c r="C86" s="64" t="s">
        <v>910</v>
      </c>
      <c r="D86" s="65">
        <f t="shared" si="24"/>
        <v>7865281.143999999</v>
      </c>
      <c r="E86" s="65">
        <v>2809028.98</v>
      </c>
      <c r="F86" s="65">
        <f>D86</f>
        <v>7865281.143999999</v>
      </c>
      <c r="G86" s="65">
        <f t="shared" si="25"/>
        <v>0</v>
      </c>
      <c r="H86" s="65">
        <f>E86</f>
        <v>2809028.98</v>
      </c>
      <c r="I86" s="65">
        <f t="shared" si="26"/>
        <v>0</v>
      </c>
      <c r="J86" s="66">
        <v>1</v>
      </c>
      <c r="K86" s="66">
        <v>0</v>
      </c>
      <c r="L86" s="67">
        <v>0</v>
      </c>
      <c r="M86" s="67">
        <v>0</v>
      </c>
      <c r="N86" s="67">
        <f>H86/12*7</f>
        <v>1638600.2383333333</v>
      </c>
      <c r="O86" s="67">
        <f>H86/12*5</f>
        <v>1170428.7416666667</v>
      </c>
      <c r="P86" s="67">
        <v>0</v>
      </c>
      <c r="Q86" s="60">
        <f>SUM(L86:P86)-H86</f>
        <v>0</v>
      </c>
      <c r="R86" s="28" t="s">
        <v>712</v>
      </c>
      <c r="S86" s="242"/>
      <c r="T86" s="243"/>
    </row>
    <row r="87" spans="1:20" ht="21.75" customHeight="1">
      <c r="A87" s="63">
        <v>1</v>
      </c>
      <c r="B87" s="63" t="s">
        <v>276</v>
      </c>
      <c r="C87" s="64" t="s">
        <v>911</v>
      </c>
      <c r="D87" s="65">
        <f t="shared" si="24"/>
        <v>7865281.143999999</v>
      </c>
      <c r="E87" s="65">
        <v>2809028.98</v>
      </c>
      <c r="F87" s="65">
        <f>D87</f>
        <v>7865281.143999999</v>
      </c>
      <c r="G87" s="65">
        <f t="shared" si="25"/>
        <v>0</v>
      </c>
      <c r="H87" s="65">
        <f>E87</f>
        <v>2809028.98</v>
      </c>
      <c r="I87" s="65">
        <f t="shared" si="26"/>
        <v>0</v>
      </c>
      <c r="J87" s="66">
        <v>1</v>
      </c>
      <c r="K87" s="66">
        <v>0</v>
      </c>
      <c r="L87" s="67">
        <v>0</v>
      </c>
      <c r="M87" s="67">
        <v>0</v>
      </c>
      <c r="N87" s="67">
        <f>H87/12*7</f>
        <v>1638600.2383333333</v>
      </c>
      <c r="O87" s="67">
        <f>H87/12*5</f>
        <v>1170428.7416666667</v>
      </c>
      <c r="P87" s="67">
        <v>0</v>
      </c>
      <c r="Q87" s="60">
        <f>SUM(L87:P87)-H87</f>
        <v>0</v>
      </c>
      <c r="R87" s="28" t="s">
        <v>712</v>
      </c>
      <c r="S87" s="242" t="s">
        <v>912</v>
      </c>
      <c r="T87" s="243" t="s">
        <v>913</v>
      </c>
    </row>
    <row r="88" spans="1:20" ht="21.75" customHeight="1">
      <c r="A88" s="55">
        <v>1</v>
      </c>
      <c r="B88" s="63" t="s">
        <v>282</v>
      </c>
      <c r="C88" s="56" t="s">
        <v>914</v>
      </c>
      <c r="D88" s="57">
        <f t="shared" si="24"/>
        <v>7865281.143999999</v>
      </c>
      <c r="E88" s="57">
        <v>2809028.98</v>
      </c>
      <c r="F88" s="57">
        <v>11041614.94</v>
      </c>
      <c r="G88" s="57">
        <f t="shared" si="25"/>
        <v>3176333.796</v>
      </c>
      <c r="H88" s="65">
        <f>F88/$D$7</f>
        <v>3943433.907142857</v>
      </c>
      <c r="I88" s="57">
        <f t="shared" si="26"/>
        <v>1134404.927142857</v>
      </c>
      <c r="J88" s="58">
        <v>1</v>
      </c>
      <c r="K88" s="58">
        <v>0</v>
      </c>
      <c r="L88" s="59">
        <v>0</v>
      </c>
      <c r="M88" s="59">
        <v>0</v>
      </c>
      <c r="N88" s="59">
        <f>H88/12*2+0.01</f>
        <v>657238.9945238095</v>
      </c>
      <c r="O88" s="59">
        <f>H88/12*10</f>
        <v>3286194.9226190476</v>
      </c>
      <c r="P88" s="59">
        <v>0</v>
      </c>
      <c r="Q88" s="60">
        <f>SUM(L88:P88)-H88-0.01</f>
        <v>-2.2351741811588166E-10</v>
      </c>
      <c r="R88" s="28" t="s">
        <v>712</v>
      </c>
      <c r="S88" s="241"/>
      <c r="T88" s="158"/>
    </row>
    <row r="89" spans="1:20" ht="21.75" customHeight="1">
      <c r="A89" s="55">
        <v>1</v>
      </c>
      <c r="B89" s="63" t="s">
        <v>285</v>
      </c>
      <c r="C89" s="56" t="s">
        <v>915</v>
      </c>
      <c r="D89" s="57">
        <f t="shared" si="24"/>
        <v>7865281.143999999</v>
      </c>
      <c r="E89" s="57">
        <v>2809028.98</v>
      </c>
      <c r="F89" s="57">
        <v>10497831.19</v>
      </c>
      <c r="G89" s="57">
        <f t="shared" si="25"/>
        <v>2632550.046</v>
      </c>
      <c r="H89" s="65">
        <f>F89/$D$7</f>
        <v>3749225.4250000003</v>
      </c>
      <c r="I89" s="57">
        <f t="shared" si="26"/>
        <v>940196.4450000003</v>
      </c>
      <c r="J89" s="58">
        <v>1</v>
      </c>
      <c r="K89" s="58">
        <v>0</v>
      </c>
      <c r="L89" s="59">
        <v>0</v>
      </c>
      <c r="M89" s="59">
        <v>0</v>
      </c>
      <c r="N89" s="59">
        <f>H89/12*2+0.01</f>
        <v>624870.9141666667</v>
      </c>
      <c r="O89" s="59">
        <f>H89/12*10</f>
        <v>3124354.5208333335</v>
      </c>
      <c r="P89" s="59">
        <v>0</v>
      </c>
      <c r="Q89" s="60">
        <f>SUM(L89:P89)-H89-0.01</f>
        <v>-2.2351741811588166E-10</v>
      </c>
      <c r="R89" s="28" t="s">
        <v>712</v>
      </c>
      <c r="S89" s="241"/>
      <c r="T89" s="158"/>
    </row>
    <row r="90" spans="1:20" ht="21.75" customHeight="1">
      <c r="A90" s="55">
        <v>1</v>
      </c>
      <c r="B90" s="63" t="s">
        <v>304</v>
      </c>
      <c r="C90" s="56" t="s">
        <v>916</v>
      </c>
      <c r="D90" s="57">
        <f t="shared" si="24"/>
        <v>7865281.143999999</v>
      </c>
      <c r="E90" s="57">
        <v>2809028.98</v>
      </c>
      <c r="F90" s="57">
        <v>10777369.05</v>
      </c>
      <c r="G90" s="57">
        <f t="shared" si="25"/>
        <v>2912087.9060000014</v>
      </c>
      <c r="H90" s="65">
        <f>F90/$D$7</f>
        <v>3849060.3750000005</v>
      </c>
      <c r="I90" s="57">
        <f t="shared" si="26"/>
        <v>1040031.3950000005</v>
      </c>
      <c r="J90" s="58">
        <v>1</v>
      </c>
      <c r="K90" s="58">
        <v>0</v>
      </c>
      <c r="L90" s="59">
        <v>0</v>
      </c>
      <c r="M90" s="59">
        <v>0</v>
      </c>
      <c r="N90" s="59">
        <f>H90/12*2</f>
        <v>641510.0625000001</v>
      </c>
      <c r="O90" s="59">
        <f>H90/12*10+0.01</f>
        <v>3207550.3225000002</v>
      </c>
      <c r="P90" s="59">
        <v>0</v>
      </c>
      <c r="Q90" s="60">
        <f>SUM(L90:P90)-H90-0.01</f>
        <v>-2.2351741811588166E-10</v>
      </c>
      <c r="R90" s="28" t="s">
        <v>712</v>
      </c>
      <c r="S90" s="241"/>
      <c r="T90" s="158"/>
    </row>
    <row r="91" spans="1:20" ht="21.75" customHeight="1">
      <c r="A91" s="63">
        <v>1</v>
      </c>
      <c r="B91" s="63" t="s">
        <v>466</v>
      </c>
      <c r="C91" s="64" t="s">
        <v>98</v>
      </c>
      <c r="D91" s="65">
        <f t="shared" si="24"/>
        <v>2687468.084</v>
      </c>
      <c r="E91" s="65">
        <v>959810.03</v>
      </c>
      <c r="F91" s="65">
        <f>D91</f>
        <v>2687468.084</v>
      </c>
      <c r="G91" s="65">
        <f t="shared" si="25"/>
        <v>0</v>
      </c>
      <c r="H91" s="65">
        <f>E91</f>
        <v>959810.03</v>
      </c>
      <c r="I91" s="65">
        <f t="shared" si="26"/>
        <v>0</v>
      </c>
      <c r="J91" s="66">
        <v>1</v>
      </c>
      <c r="K91" s="66">
        <v>0</v>
      </c>
      <c r="L91" s="67">
        <v>0</v>
      </c>
      <c r="M91" s="67">
        <v>0</v>
      </c>
      <c r="N91" s="67">
        <f>H91/12*2</f>
        <v>159968.33833333335</v>
      </c>
      <c r="O91" s="67">
        <f>H91/12*10</f>
        <v>799841.6916666668</v>
      </c>
      <c r="P91" s="67">
        <v>0</v>
      </c>
      <c r="Q91" s="60">
        <f>SUM(L91:P91)-H91</f>
        <v>0</v>
      </c>
      <c r="R91" s="28" t="s">
        <v>712</v>
      </c>
      <c r="S91" s="242" t="s">
        <v>917</v>
      </c>
      <c r="T91" s="243" t="s">
        <v>918</v>
      </c>
    </row>
    <row r="92" spans="1:20" ht="29.25" customHeight="1">
      <c r="A92" s="63">
        <v>2</v>
      </c>
      <c r="B92" s="122" t="s">
        <v>310</v>
      </c>
      <c r="C92" s="64" t="s">
        <v>748</v>
      </c>
      <c r="D92" s="65">
        <f t="shared" si="24"/>
        <v>11122039.6</v>
      </c>
      <c r="E92" s="65">
        <v>3972157</v>
      </c>
      <c r="F92" s="65">
        <f>D92</f>
        <v>11122039.6</v>
      </c>
      <c r="G92" s="65">
        <f t="shared" si="25"/>
        <v>0</v>
      </c>
      <c r="H92" s="65">
        <f>E92</f>
        <v>3972157</v>
      </c>
      <c r="I92" s="65">
        <f t="shared" si="26"/>
        <v>0</v>
      </c>
      <c r="J92" s="66">
        <v>1</v>
      </c>
      <c r="K92" s="66">
        <v>0</v>
      </c>
      <c r="L92" s="67">
        <v>0</v>
      </c>
      <c r="M92" s="67">
        <v>0</v>
      </c>
      <c r="N92" s="67">
        <f>H92/12*2</f>
        <v>662026.1666666666</v>
      </c>
      <c r="O92" s="67">
        <f>H92/12*10</f>
        <v>3310130.833333333</v>
      </c>
      <c r="P92" s="67">
        <v>0</v>
      </c>
      <c r="Q92" s="60">
        <f>SUM(L92:P92)-H92</f>
        <v>0</v>
      </c>
      <c r="R92" s="28" t="s">
        <v>712</v>
      </c>
      <c r="S92" s="241"/>
      <c r="T92" s="158"/>
    </row>
    <row r="93" spans="1:20" ht="21" customHeight="1">
      <c r="A93" s="114"/>
      <c r="B93" s="114"/>
      <c r="C93" s="110" t="s">
        <v>102</v>
      </c>
      <c r="D93" s="115">
        <f t="shared" si="24"/>
        <v>68866475.664</v>
      </c>
      <c r="E93" s="115">
        <f>SUM(E84:E92)</f>
        <v>24595169.880000003</v>
      </c>
      <c r="F93" s="115">
        <f>SUM(F84:F92)-0.01</f>
        <v>84631619.652</v>
      </c>
      <c r="G93" s="115">
        <f>SUM(G84:G92)+0.01</f>
        <v>15765144.008000001</v>
      </c>
      <c r="H93" s="115">
        <f>SUM(H84:H92)+0.02</f>
        <v>30225578.470714286</v>
      </c>
      <c r="I93" s="115">
        <f>SUM(I84:I92)+0.02</f>
        <v>5630408.590714286</v>
      </c>
      <c r="J93" s="116">
        <v>1</v>
      </c>
      <c r="K93" s="116">
        <v>0</v>
      </c>
      <c r="L93" s="115">
        <f>SUM(L84:L92)</f>
        <v>0</v>
      </c>
      <c r="M93" s="115">
        <f>SUM(M84:M92)</f>
        <v>0</v>
      </c>
      <c r="N93" s="115">
        <f>SUM(N84:N92)-0.01</f>
        <v>8448585.50702381</v>
      </c>
      <c r="O93" s="115">
        <f>SUM(O84:O92)-0.02</f>
        <v>19057002.99034461</v>
      </c>
      <c r="P93" s="115">
        <f>SUM(P84:P92)</f>
        <v>2719989.973345864</v>
      </c>
      <c r="Q93" s="60">
        <f>SUM(L93:P93)-H93</f>
        <v>0</v>
      </c>
      <c r="R93" s="28" t="s">
        <v>695</v>
      </c>
      <c r="S93" s="241"/>
      <c r="T93" s="158"/>
    </row>
    <row r="94" spans="1:20" ht="23.25" customHeight="1">
      <c r="A94" s="114"/>
      <c r="B94" s="114"/>
      <c r="C94" s="117" t="s">
        <v>103</v>
      </c>
      <c r="D94" s="11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60"/>
      <c r="S94" s="241"/>
      <c r="T94" s="158"/>
    </row>
    <row r="95" spans="1:20" ht="21.75" customHeight="1">
      <c r="A95" s="63">
        <v>1</v>
      </c>
      <c r="B95" s="63" t="s">
        <v>330</v>
      </c>
      <c r="C95" s="64" t="s">
        <v>831</v>
      </c>
      <c r="D95" s="65">
        <v>527999</v>
      </c>
      <c r="E95" s="65">
        <v>188571</v>
      </c>
      <c r="F95" s="65">
        <f aca="true" t="shared" si="27" ref="F95:F107">D95</f>
        <v>527999</v>
      </c>
      <c r="G95" s="65">
        <f aca="true" t="shared" si="28" ref="G95:G107">F95-D95</f>
        <v>0</v>
      </c>
      <c r="H95" s="65">
        <f aca="true" t="shared" si="29" ref="H95:H107">E95</f>
        <v>188571</v>
      </c>
      <c r="I95" s="65">
        <f aca="true" t="shared" si="30" ref="I95:I107">H95-E95</f>
        <v>0</v>
      </c>
      <c r="J95" s="66">
        <v>1</v>
      </c>
      <c r="K95" s="66">
        <v>0</v>
      </c>
      <c r="L95" s="67">
        <v>0</v>
      </c>
      <c r="M95" s="67">
        <v>0</v>
      </c>
      <c r="N95" s="67">
        <v>0</v>
      </c>
      <c r="O95" s="67">
        <f aca="true" t="shared" si="31" ref="O95:O107">H95</f>
        <v>188571</v>
      </c>
      <c r="P95" s="67">
        <v>0</v>
      </c>
      <c r="Q95" s="60">
        <f aca="true" t="shared" si="32" ref="Q95:Q108">SUM(L95:P95)-H95</f>
        <v>0</v>
      </c>
      <c r="R95" s="28" t="s">
        <v>712</v>
      </c>
      <c r="S95" s="242" t="s">
        <v>919</v>
      </c>
      <c r="T95" s="243" t="s">
        <v>920</v>
      </c>
    </row>
    <row r="96" spans="1:20" ht="21.75" customHeight="1">
      <c r="A96" s="63">
        <v>1</v>
      </c>
      <c r="B96" s="63" t="s">
        <v>313</v>
      </c>
      <c r="C96" s="64" t="s">
        <v>832</v>
      </c>
      <c r="D96" s="65">
        <v>527999</v>
      </c>
      <c r="E96" s="65">
        <v>188571</v>
      </c>
      <c r="F96" s="65">
        <f t="shared" si="27"/>
        <v>527999</v>
      </c>
      <c r="G96" s="65">
        <f t="shared" si="28"/>
        <v>0</v>
      </c>
      <c r="H96" s="65">
        <f t="shared" si="29"/>
        <v>188571</v>
      </c>
      <c r="I96" s="65">
        <f t="shared" si="30"/>
        <v>0</v>
      </c>
      <c r="J96" s="66">
        <v>1</v>
      </c>
      <c r="K96" s="66">
        <v>0</v>
      </c>
      <c r="L96" s="67">
        <v>0</v>
      </c>
      <c r="M96" s="67">
        <v>0</v>
      </c>
      <c r="N96" s="67">
        <v>0</v>
      </c>
      <c r="O96" s="67">
        <f t="shared" si="31"/>
        <v>188571</v>
      </c>
      <c r="P96" s="67">
        <v>0</v>
      </c>
      <c r="Q96" s="60">
        <f t="shared" si="32"/>
        <v>0</v>
      </c>
      <c r="R96" s="28" t="s">
        <v>712</v>
      </c>
      <c r="S96" s="242" t="s">
        <v>921</v>
      </c>
      <c r="T96" s="243" t="s">
        <v>922</v>
      </c>
    </row>
    <row r="97" spans="1:20" ht="21.75" customHeight="1">
      <c r="A97" s="63">
        <v>1</v>
      </c>
      <c r="B97" s="63" t="s">
        <v>333</v>
      </c>
      <c r="C97" s="64" t="s">
        <v>833</v>
      </c>
      <c r="D97" s="65">
        <v>527999</v>
      </c>
      <c r="E97" s="65">
        <v>188571</v>
      </c>
      <c r="F97" s="65">
        <f t="shared" si="27"/>
        <v>527999</v>
      </c>
      <c r="G97" s="65">
        <f t="shared" si="28"/>
        <v>0</v>
      </c>
      <c r="H97" s="65">
        <f t="shared" si="29"/>
        <v>188571</v>
      </c>
      <c r="I97" s="65">
        <f t="shared" si="30"/>
        <v>0</v>
      </c>
      <c r="J97" s="66">
        <v>1</v>
      </c>
      <c r="K97" s="66">
        <v>0</v>
      </c>
      <c r="L97" s="67">
        <v>0</v>
      </c>
      <c r="M97" s="67">
        <v>0</v>
      </c>
      <c r="N97" s="67">
        <v>0</v>
      </c>
      <c r="O97" s="67">
        <f t="shared" si="31"/>
        <v>188571</v>
      </c>
      <c r="P97" s="67">
        <v>0</v>
      </c>
      <c r="Q97" s="60">
        <f t="shared" si="32"/>
        <v>0</v>
      </c>
      <c r="R97" s="28" t="s">
        <v>712</v>
      </c>
      <c r="S97" s="242"/>
      <c r="T97" s="243"/>
    </row>
    <row r="98" spans="1:20" ht="21.75" customHeight="1">
      <c r="A98" s="63">
        <v>1</v>
      </c>
      <c r="B98" s="63" t="s">
        <v>336</v>
      </c>
      <c r="C98" s="64" t="s">
        <v>834</v>
      </c>
      <c r="D98" s="65">
        <v>527999</v>
      </c>
      <c r="E98" s="65">
        <v>188571</v>
      </c>
      <c r="F98" s="65">
        <f t="shared" si="27"/>
        <v>527999</v>
      </c>
      <c r="G98" s="65">
        <f t="shared" si="28"/>
        <v>0</v>
      </c>
      <c r="H98" s="65">
        <f t="shared" si="29"/>
        <v>188571</v>
      </c>
      <c r="I98" s="65">
        <f t="shared" si="30"/>
        <v>0</v>
      </c>
      <c r="J98" s="66">
        <v>1</v>
      </c>
      <c r="K98" s="66">
        <v>0</v>
      </c>
      <c r="L98" s="67">
        <v>0</v>
      </c>
      <c r="M98" s="67">
        <v>0</v>
      </c>
      <c r="N98" s="67">
        <v>0</v>
      </c>
      <c r="O98" s="67">
        <f t="shared" si="31"/>
        <v>188571</v>
      </c>
      <c r="P98" s="67">
        <v>0</v>
      </c>
      <c r="Q98" s="60">
        <f t="shared" si="32"/>
        <v>0</v>
      </c>
      <c r="R98" s="28" t="s">
        <v>712</v>
      </c>
      <c r="S98" s="242"/>
      <c r="T98" s="243"/>
    </row>
    <row r="99" spans="1:20" ht="21.75" customHeight="1">
      <c r="A99" s="63">
        <v>1</v>
      </c>
      <c r="B99" s="63" t="s">
        <v>339</v>
      </c>
      <c r="C99" s="64" t="s">
        <v>835</v>
      </c>
      <c r="D99" s="65">
        <v>527999</v>
      </c>
      <c r="E99" s="65">
        <v>188571</v>
      </c>
      <c r="F99" s="65">
        <f t="shared" si="27"/>
        <v>527999</v>
      </c>
      <c r="G99" s="65">
        <f t="shared" si="28"/>
        <v>0</v>
      </c>
      <c r="H99" s="65">
        <f t="shared" si="29"/>
        <v>188571</v>
      </c>
      <c r="I99" s="65">
        <f t="shared" si="30"/>
        <v>0</v>
      </c>
      <c r="J99" s="66">
        <v>1</v>
      </c>
      <c r="K99" s="66">
        <v>0</v>
      </c>
      <c r="L99" s="67">
        <v>0</v>
      </c>
      <c r="M99" s="67">
        <v>0</v>
      </c>
      <c r="N99" s="67">
        <v>0</v>
      </c>
      <c r="O99" s="67">
        <f t="shared" si="31"/>
        <v>188571</v>
      </c>
      <c r="P99" s="67">
        <v>0</v>
      </c>
      <c r="Q99" s="60">
        <f t="shared" si="32"/>
        <v>0</v>
      </c>
      <c r="R99" s="28" t="s">
        <v>712</v>
      </c>
      <c r="S99" s="242"/>
      <c r="T99" s="243"/>
    </row>
    <row r="100" spans="1:20" ht="21.75" customHeight="1">
      <c r="A100" s="63">
        <v>1</v>
      </c>
      <c r="B100" s="63" t="s">
        <v>316</v>
      </c>
      <c r="C100" s="64" t="s">
        <v>836</v>
      </c>
      <c r="D100" s="65">
        <v>527999</v>
      </c>
      <c r="E100" s="65">
        <v>188571</v>
      </c>
      <c r="F100" s="65">
        <f t="shared" si="27"/>
        <v>527999</v>
      </c>
      <c r="G100" s="65">
        <f t="shared" si="28"/>
        <v>0</v>
      </c>
      <c r="H100" s="65">
        <f t="shared" si="29"/>
        <v>188571</v>
      </c>
      <c r="I100" s="65">
        <f t="shared" si="30"/>
        <v>0</v>
      </c>
      <c r="J100" s="66">
        <v>1</v>
      </c>
      <c r="K100" s="66">
        <v>0</v>
      </c>
      <c r="L100" s="67">
        <v>0</v>
      </c>
      <c r="M100" s="67">
        <v>0</v>
      </c>
      <c r="N100" s="67">
        <v>0</v>
      </c>
      <c r="O100" s="67">
        <f t="shared" si="31"/>
        <v>188571</v>
      </c>
      <c r="P100" s="67">
        <v>0</v>
      </c>
      <c r="Q100" s="60">
        <f t="shared" si="32"/>
        <v>0</v>
      </c>
      <c r="R100" s="28" t="s">
        <v>712</v>
      </c>
      <c r="S100" s="242" t="s">
        <v>923</v>
      </c>
      <c r="T100" s="243" t="s">
        <v>924</v>
      </c>
    </row>
    <row r="101" spans="1:20" ht="21.75" customHeight="1">
      <c r="A101" s="63">
        <v>1</v>
      </c>
      <c r="B101" s="63" t="s">
        <v>319</v>
      </c>
      <c r="C101" s="64" t="s">
        <v>837</v>
      </c>
      <c r="D101" s="65">
        <v>527999</v>
      </c>
      <c r="E101" s="65">
        <v>188571</v>
      </c>
      <c r="F101" s="65">
        <f t="shared" si="27"/>
        <v>527999</v>
      </c>
      <c r="G101" s="65">
        <f t="shared" si="28"/>
        <v>0</v>
      </c>
      <c r="H101" s="65">
        <f t="shared" si="29"/>
        <v>188571</v>
      </c>
      <c r="I101" s="65">
        <f t="shared" si="30"/>
        <v>0</v>
      </c>
      <c r="J101" s="66">
        <v>1</v>
      </c>
      <c r="K101" s="66">
        <v>0</v>
      </c>
      <c r="L101" s="67">
        <v>0</v>
      </c>
      <c r="M101" s="67">
        <v>0</v>
      </c>
      <c r="N101" s="67">
        <v>0</v>
      </c>
      <c r="O101" s="67">
        <f t="shared" si="31"/>
        <v>188571</v>
      </c>
      <c r="P101" s="67">
        <v>0</v>
      </c>
      <c r="Q101" s="60">
        <f t="shared" si="32"/>
        <v>0</v>
      </c>
      <c r="R101" s="28" t="s">
        <v>712</v>
      </c>
      <c r="S101" s="242" t="s">
        <v>925</v>
      </c>
      <c r="T101" s="243" t="s">
        <v>926</v>
      </c>
    </row>
    <row r="102" spans="1:20" ht="21.75" customHeight="1">
      <c r="A102" s="63">
        <v>1</v>
      </c>
      <c r="B102" s="63" t="s">
        <v>342</v>
      </c>
      <c r="C102" s="64" t="s">
        <v>838</v>
      </c>
      <c r="D102" s="65">
        <v>527999</v>
      </c>
      <c r="E102" s="65">
        <v>188571</v>
      </c>
      <c r="F102" s="65">
        <f t="shared" si="27"/>
        <v>527999</v>
      </c>
      <c r="G102" s="65">
        <f t="shared" si="28"/>
        <v>0</v>
      </c>
      <c r="H102" s="65">
        <f t="shared" si="29"/>
        <v>188571</v>
      </c>
      <c r="I102" s="65">
        <f t="shared" si="30"/>
        <v>0</v>
      </c>
      <c r="J102" s="66">
        <v>1</v>
      </c>
      <c r="K102" s="66">
        <v>0</v>
      </c>
      <c r="L102" s="67">
        <v>0</v>
      </c>
      <c r="M102" s="67">
        <v>0</v>
      </c>
      <c r="N102" s="67">
        <v>0</v>
      </c>
      <c r="O102" s="67">
        <f t="shared" si="31"/>
        <v>188571</v>
      </c>
      <c r="P102" s="67">
        <v>0</v>
      </c>
      <c r="Q102" s="60">
        <f t="shared" si="32"/>
        <v>0</v>
      </c>
      <c r="R102" s="28" t="s">
        <v>712</v>
      </c>
      <c r="S102" s="242" t="s">
        <v>927</v>
      </c>
      <c r="T102" s="243" t="s">
        <v>928</v>
      </c>
    </row>
    <row r="103" spans="1:20" ht="21.75" customHeight="1">
      <c r="A103" s="63">
        <v>1</v>
      </c>
      <c r="B103" s="63" t="s">
        <v>345</v>
      </c>
      <c r="C103" s="64" t="s">
        <v>839</v>
      </c>
      <c r="D103" s="65">
        <v>527999</v>
      </c>
      <c r="E103" s="65">
        <v>188571</v>
      </c>
      <c r="F103" s="65">
        <f t="shared" si="27"/>
        <v>527999</v>
      </c>
      <c r="G103" s="65">
        <f t="shared" si="28"/>
        <v>0</v>
      </c>
      <c r="H103" s="65">
        <f t="shared" si="29"/>
        <v>188571</v>
      </c>
      <c r="I103" s="65">
        <f t="shared" si="30"/>
        <v>0</v>
      </c>
      <c r="J103" s="66">
        <v>1</v>
      </c>
      <c r="K103" s="66">
        <v>0</v>
      </c>
      <c r="L103" s="67">
        <v>0</v>
      </c>
      <c r="M103" s="67">
        <v>0</v>
      </c>
      <c r="N103" s="67">
        <v>0</v>
      </c>
      <c r="O103" s="67">
        <f t="shared" si="31"/>
        <v>188571</v>
      </c>
      <c r="P103" s="67">
        <v>0</v>
      </c>
      <c r="Q103" s="60">
        <f t="shared" si="32"/>
        <v>0</v>
      </c>
      <c r="R103" s="28" t="s">
        <v>712</v>
      </c>
      <c r="S103" s="242"/>
      <c r="T103" s="243"/>
    </row>
    <row r="104" spans="1:20" ht="21.75" customHeight="1">
      <c r="A104" s="63">
        <v>1</v>
      </c>
      <c r="B104" s="63" t="s">
        <v>325</v>
      </c>
      <c r="C104" s="64" t="s">
        <v>840</v>
      </c>
      <c r="D104" s="65">
        <v>527999</v>
      </c>
      <c r="E104" s="65">
        <v>188571</v>
      </c>
      <c r="F104" s="65">
        <f t="shared" si="27"/>
        <v>527999</v>
      </c>
      <c r="G104" s="65">
        <f t="shared" si="28"/>
        <v>0</v>
      </c>
      <c r="H104" s="65">
        <f t="shared" si="29"/>
        <v>188571</v>
      </c>
      <c r="I104" s="65">
        <f t="shared" si="30"/>
        <v>0</v>
      </c>
      <c r="J104" s="66">
        <v>1</v>
      </c>
      <c r="K104" s="66">
        <v>0</v>
      </c>
      <c r="L104" s="67">
        <v>0</v>
      </c>
      <c r="M104" s="67">
        <v>0</v>
      </c>
      <c r="N104" s="67">
        <v>0</v>
      </c>
      <c r="O104" s="67">
        <f t="shared" si="31"/>
        <v>188571</v>
      </c>
      <c r="P104" s="67">
        <v>0</v>
      </c>
      <c r="Q104" s="60">
        <f t="shared" si="32"/>
        <v>0</v>
      </c>
      <c r="R104" s="28" t="s">
        <v>712</v>
      </c>
      <c r="S104" s="242" t="s">
        <v>898</v>
      </c>
      <c r="T104" s="243" t="s">
        <v>899</v>
      </c>
    </row>
    <row r="105" spans="1:20" ht="21.75" customHeight="1">
      <c r="A105" s="63">
        <v>1</v>
      </c>
      <c r="B105" s="63" t="s">
        <v>322</v>
      </c>
      <c r="C105" s="64" t="s">
        <v>841</v>
      </c>
      <c r="D105" s="65">
        <v>527999</v>
      </c>
      <c r="E105" s="65">
        <v>188571</v>
      </c>
      <c r="F105" s="65">
        <f t="shared" si="27"/>
        <v>527999</v>
      </c>
      <c r="G105" s="65">
        <f t="shared" si="28"/>
        <v>0</v>
      </c>
      <c r="H105" s="65">
        <f t="shared" si="29"/>
        <v>188571</v>
      </c>
      <c r="I105" s="65">
        <f t="shared" si="30"/>
        <v>0</v>
      </c>
      <c r="J105" s="66">
        <v>1</v>
      </c>
      <c r="K105" s="66">
        <v>0</v>
      </c>
      <c r="L105" s="67">
        <v>0</v>
      </c>
      <c r="M105" s="67">
        <v>0</v>
      </c>
      <c r="N105" s="67">
        <v>0</v>
      </c>
      <c r="O105" s="67">
        <f t="shared" si="31"/>
        <v>188571</v>
      </c>
      <c r="P105" s="67">
        <v>0</v>
      </c>
      <c r="Q105" s="60">
        <f t="shared" si="32"/>
        <v>0</v>
      </c>
      <c r="R105" s="28" t="s">
        <v>712</v>
      </c>
      <c r="S105" s="242" t="s">
        <v>929</v>
      </c>
      <c r="T105" s="243" t="s">
        <v>930</v>
      </c>
    </row>
    <row r="106" spans="1:20" ht="21.75" customHeight="1">
      <c r="A106" s="63">
        <v>1</v>
      </c>
      <c r="B106" s="63" t="s">
        <v>348</v>
      </c>
      <c r="C106" s="64" t="s">
        <v>842</v>
      </c>
      <c r="D106" s="65">
        <v>527999</v>
      </c>
      <c r="E106" s="65">
        <v>188571</v>
      </c>
      <c r="F106" s="65">
        <f t="shared" si="27"/>
        <v>527999</v>
      </c>
      <c r="G106" s="65">
        <f t="shared" si="28"/>
        <v>0</v>
      </c>
      <c r="H106" s="65">
        <f t="shared" si="29"/>
        <v>188571</v>
      </c>
      <c r="I106" s="65">
        <f t="shared" si="30"/>
        <v>0</v>
      </c>
      <c r="J106" s="66">
        <v>1</v>
      </c>
      <c r="K106" s="66">
        <v>0</v>
      </c>
      <c r="L106" s="67">
        <v>0</v>
      </c>
      <c r="M106" s="67">
        <v>0</v>
      </c>
      <c r="N106" s="67">
        <v>0</v>
      </c>
      <c r="O106" s="67">
        <f t="shared" si="31"/>
        <v>188571</v>
      </c>
      <c r="P106" s="67">
        <v>0</v>
      </c>
      <c r="Q106" s="60">
        <f t="shared" si="32"/>
        <v>0</v>
      </c>
      <c r="R106" s="28" t="s">
        <v>712</v>
      </c>
      <c r="S106" s="242" t="s">
        <v>904</v>
      </c>
      <c r="T106" s="243" t="s">
        <v>905</v>
      </c>
    </row>
    <row r="107" spans="1:20" ht="24" customHeight="1">
      <c r="A107" s="63">
        <v>1</v>
      </c>
      <c r="B107" s="63" t="s">
        <v>376</v>
      </c>
      <c r="C107" s="64" t="s">
        <v>843</v>
      </c>
      <c r="D107" s="65">
        <v>527999</v>
      </c>
      <c r="E107" s="65">
        <v>188571</v>
      </c>
      <c r="F107" s="65">
        <f t="shared" si="27"/>
        <v>527999</v>
      </c>
      <c r="G107" s="65">
        <f t="shared" si="28"/>
        <v>0</v>
      </c>
      <c r="H107" s="65">
        <f t="shared" si="29"/>
        <v>188571</v>
      </c>
      <c r="I107" s="65">
        <f t="shared" si="30"/>
        <v>0</v>
      </c>
      <c r="J107" s="66">
        <v>1</v>
      </c>
      <c r="K107" s="66">
        <v>0</v>
      </c>
      <c r="L107" s="67">
        <v>0</v>
      </c>
      <c r="M107" s="67">
        <v>0</v>
      </c>
      <c r="N107" s="67">
        <v>0</v>
      </c>
      <c r="O107" s="67">
        <f t="shared" si="31"/>
        <v>188571</v>
      </c>
      <c r="P107" s="67">
        <v>0</v>
      </c>
      <c r="Q107" s="60">
        <f t="shared" si="32"/>
        <v>0</v>
      </c>
      <c r="R107" s="28" t="s">
        <v>712</v>
      </c>
      <c r="S107" s="241"/>
      <c r="T107" s="158"/>
    </row>
    <row r="108" spans="1:20" ht="21" customHeight="1">
      <c r="A108" s="114"/>
      <c r="B108" s="114"/>
      <c r="C108" s="110" t="s">
        <v>106</v>
      </c>
      <c r="D108" s="115">
        <f>E108*$D$7</f>
        <v>6863984.399999999</v>
      </c>
      <c r="E108" s="115">
        <f>SUM(E95:E107)</f>
        <v>2451423</v>
      </c>
      <c r="F108" s="115">
        <f>SUM(F95:F107)</f>
        <v>6863987</v>
      </c>
      <c r="G108" s="115">
        <f>SUM(G95:G107)</f>
        <v>0</v>
      </c>
      <c r="H108" s="115">
        <f>SUM(H95:H107)</f>
        <v>2451423</v>
      </c>
      <c r="I108" s="115">
        <f>SUM(I95:I107)</f>
        <v>0</v>
      </c>
      <c r="J108" s="116">
        <v>1</v>
      </c>
      <c r="K108" s="116">
        <v>0</v>
      </c>
      <c r="L108" s="115">
        <f>SUM(L95:L107)</f>
        <v>0</v>
      </c>
      <c r="M108" s="115">
        <f>SUM(M95:M107)</f>
        <v>0</v>
      </c>
      <c r="N108" s="115">
        <f>SUM(N95:N107)</f>
        <v>0</v>
      </c>
      <c r="O108" s="115">
        <f>SUM(O95:O107)</f>
        <v>2451423</v>
      </c>
      <c r="P108" s="115">
        <f>SUM(P95:P107)</f>
        <v>0</v>
      </c>
      <c r="Q108" s="60">
        <f t="shared" si="32"/>
        <v>0</v>
      </c>
      <c r="R108" s="28" t="s">
        <v>695</v>
      </c>
      <c r="S108" s="241"/>
      <c r="T108" s="158"/>
    </row>
    <row r="109" spans="1:20" ht="21" customHeight="1">
      <c r="A109" s="123"/>
      <c r="B109" s="123"/>
      <c r="C109" s="117" t="s">
        <v>762</v>
      </c>
      <c r="D109" s="111"/>
      <c r="E109" s="111"/>
      <c r="F109" s="111"/>
      <c r="G109" s="111"/>
      <c r="H109" s="111"/>
      <c r="I109" s="111"/>
      <c r="J109" s="124"/>
      <c r="K109" s="124"/>
      <c r="L109" s="111"/>
      <c r="M109" s="111"/>
      <c r="N109" s="111"/>
      <c r="O109" s="111"/>
      <c r="P109" s="111"/>
      <c r="Q109" s="60"/>
      <c r="S109" s="241"/>
      <c r="T109" s="158"/>
    </row>
    <row r="110" spans="1:20" ht="21.75" customHeight="1">
      <c r="A110" s="63">
        <v>1</v>
      </c>
      <c r="B110" s="63" t="s">
        <v>447</v>
      </c>
      <c r="C110" s="64" t="s">
        <v>763</v>
      </c>
      <c r="D110" s="65">
        <f>E110*$D$7</f>
        <v>3652000.8</v>
      </c>
      <c r="E110" s="65">
        <v>1304286</v>
      </c>
      <c r="F110" s="65">
        <f>D110</f>
        <v>3652000.8</v>
      </c>
      <c r="G110" s="65">
        <f>F110-D110</f>
        <v>0</v>
      </c>
      <c r="H110" s="65">
        <f>E110</f>
        <v>1304286</v>
      </c>
      <c r="I110" s="65">
        <f>H110-E110</f>
        <v>0</v>
      </c>
      <c r="J110" s="66">
        <v>1</v>
      </c>
      <c r="K110" s="66">
        <v>0</v>
      </c>
      <c r="L110" s="67">
        <v>0</v>
      </c>
      <c r="M110" s="67">
        <v>0</v>
      </c>
      <c r="N110" s="67">
        <v>0</v>
      </c>
      <c r="O110" s="67">
        <f>H110/10*9</f>
        <v>1173857.4000000001</v>
      </c>
      <c r="P110" s="67">
        <f>H110/10</f>
        <v>130428.6</v>
      </c>
      <c r="Q110" s="60">
        <f>SUM(L110:P110)-H110</f>
        <v>0</v>
      </c>
      <c r="R110" s="28" t="s">
        <v>712</v>
      </c>
      <c r="S110" s="241"/>
      <c r="T110" s="158"/>
    </row>
    <row r="111" spans="1:20" ht="21.75" customHeight="1">
      <c r="A111" s="63">
        <v>2</v>
      </c>
      <c r="B111" s="63" t="s">
        <v>764</v>
      </c>
      <c r="C111" s="64" t="s">
        <v>765</v>
      </c>
      <c r="D111" s="65">
        <f>E111*$D$7</f>
        <v>2224300.4</v>
      </c>
      <c r="E111" s="65">
        <v>794393</v>
      </c>
      <c r="F111" s="65">
        <v>2069000</v>
      </c>
      <c r="G111" s="65">
        <f>F111-D111</f>
        <v>-155300.3999999999</v>
      </c>
      <c r="H111" s="65">
        <f>F111/2.8</f>
        <v>738928.5714285715</v>
      </c>
      <c r="I111" s="65">
        <f>H111-E111</f>
        <v>-55464.42857142852</v>
      </c>
      <c r="J111" s="66">
        <v>1</v>
      </c>
      <c r="K111" s="66">
        <v>0</v>
      </c>
      <c r="L111" s="67">
        <v>0</v>
      </c>
      <c r="M111" s="67">
        <v>0</v>
      </c>
      <c r="N111" s="67">
        <v>0</v>
      </c>
      <c r="O111" s="67">
        <f>H111/7*6</f>
        <v>633367.3469387756</v>
      </c>
      <c r="P111" s="67">
        <f>H111/7</f>
        <v>105561.22448979593</v>
      </c>
      <c r="Q111" s="60">
        <f>SUM(L111:P111)-H111</f>
        <v>0</v>
      </c>
      <c r="R111" s="28" t="s">
        <v>712</v>
      </c>
      <c r="S111" s="241"/>
      <c r="T111" s="158"/>
    </row>
    <row r="112" spans="1:20" ht="21" customHeight="1">
      <c r="A112" s="114"/>
      <c r="B112" s="114"/>
      <c r="C112" s="110" t="s">
        <v>766</v>
      </c>
      <c r="D112" s="115">
        <f>E112*$D$7</f>
        <v>17492274.8</v>
      </c>
      <c r="E112" s="115">
        <f>SUM(E99:E111)</f>
        <v>6247241</v>
      </c>
      <c r="F112" s="115">
        <f>SUM(F110:F111)</f>
        <v>5721000.8</v>
      </c>
      <c r="G112" s="115">
        <f>SUM(G110:G111)</f>
        <v>-155300.3999999999</v>
      </c>
      <c r="H112" s="115">
        <f>SUM(H110:H111)</f>
        <v>2043214.5714285714</v>
      </c>
      <c r="I112" s="115">
        <f>SUM(I110:I111)</f>
        <v>-55464.42857142852</v>
      </c>
      <c r="J112" s="116">
        <v>1</v>
      </c>
      <c r="K112" s="115">
        <f aca="true" t="shared" si="33" ref="K112:P112">SUM(K110:K111)</f>
        <v>0</v>
      </c>
      <c r="L112" s="115">
        <f t="shared" si="33"/>
        <v>0</v>
      </c>
      <c r="M112" s="115">
        <f t="shared" si="33"/>
        <v>0</v>
      </c>
      <c r="N112" s="115">
        <f t="shared" si="33"/>
        <v>0</v>
      </c>
      <c r="O112" s="115">
        <f t="shared" si="33"/>
        <v>1807224.7469387758</v>
      </c>
      <c r="P112" s="115">
        <f t="shared" si="33"/>
        <v>235989.82448979595</v>
      </c>
      <c r="Q112" s="60">
        <f>SUM(L112:P112)-H112</f>
        <v>0</v>
      </c>
      <c r="R112" s="28" t="s">
        <v>695</v>
      </c>
      <c r="S112" s="241"/>
      <c r="T112" s="158"/>
    </row>
    <row r="113" spans="1:20" ht="34.5" customHeight="1">
      <c r="A113" s="100"/>
      <c r="B113" s="100" t="s">
        <v>770</v>
      </c>
      <c r="C113" s="101" t="s">
        <v>771</v>
      </c>
      <c r="D113" s="103">
        <f aca="true" t="shared" si="34" ref="D113:I113">D118+D125+D129+D132</f>
        <v>518284709.7119999</v>
      </c>
      <c r="E113" s="103">
        <f t="shared" si="34"/>
        <v>185101682.04</v>
      </c>
      <c r="F113" s="103">
        <f t="shared" si="34"/>
        <v>482887658.2279999</v>
      </c>
      <c r="G113" s="103">
        <f t="shared" si="34"/>
        <v>-31745050.683999985</v>
      </c>
      <c r="H113" s="103">
        <f t="shared" si="34"/>
        <v>172459877.93857142</v>
      </c>
      <c r="I113" s="103">
        <f t="shared" si="34"/>
        <v>-11337518.101428568</v>
      </c>
      <c r="J113" s="249">
        <v>0.54</v>
      </c>
      <c r="K113" s="250">
        <f>85000000/H113</f>
        <v>0.4928682602354398</v>
      </c>
      <c r="L113" s="103">
        <f>L118+L125+L129+L132</f>
        <v>0</v>
      </c>
      <c r="M113" s="103">
        <f>M118+M125+M129+M132</f>
        <v>0</v>
      </c>
      <c r="N113" s="103">
        <f>N118+N125+N129+N132</f>
        <v>0</v>
      </c>
      <c r="O113" s="103">
        <f>O118+O125+O129+O132</f>
        <v>78234214.98392856</v>
      </c>
      <c r="P113" s="103">
        <f>P118+P125+P129+P132</f>
        <v>94225662.95464286</v>
      </c>
      <c r="Q113" s="60">
        <f>SUM(L113:P113)-H113</f>
        <v>0</v>
      </c>
      <c r="R113" s="28" t="s">
        <v>695</v>
      </c>
      <c r="S113" s="241"/>
      <c r="T113" s="158"/>
    </row>
    <row r="114" spans="1:20" ht="23.25" customHeight="1">
      <c r="A114" s="114"/>
      <c r="B114" s="114"/>
      <c r="C114" s="117" t="s">
        <v>107</v>
      </c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60"/>
      <c r="S114" s="241"/>
      <c r="T114" s="158"/>
    </row>
    <row r="115" spans="1:20" ht="25.5" customHeight="1">
      <c r="A115" s="114"/>
      <c r="B115" s="114"/>
      <c r="C115" s="117" t="s">
        <v>772</v>
      </c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60"/>
      <c r="S115" s="241"/>
      <c r="T115" s="158"/>
    </row>
    <row r="116" spans="1:20" ht="21.75" customHeight="1">
      <c r="A116" s="55">
        <v>1</v>
      </c>
      <c r="B116" s="63" t="s">
        <v>385</v>
      </c>
      <c r="C116" s="132" t="s">
        <v>109</v>
      </c>
      <c r="D116" s="57">
        <f>E116*$D$7</f>
        <v>181712378.484</v>
      </c>
      <c r="E116" s="57">
        <v>64897278.03</v>
      </c>
      <c r="F116" s="57">
        <v>149967327.8</v>
      </c>
      <c r="G116" s="61">
        <f>F116-D116</f>
        <v>-31745050.683999985</v>
      </c>
      <c r="H116" s="57">
        <f>F116/$D$7</f>
        <v>53559759.92857143</v>
      </c>
      <c r="I116" s="57">
        <f>H116-E116</f>
        <v>-11337518.101428568</v>
      </c>
      <c r="J116" s="58">
        <v>1</v>
      </c>
      <c r="K116" s="58">
        <v>0</v>
      </c>
      <c r="L116" s="59">
        <v>0</v>
      </c>
      <c r="M116" s="59">
        <v>0</v>
      </c>
      <c r="N116" s="59">
        <v>0</v>
      </c>
      <c r="O116" s="59">
        <f>H116/24*11</f>
        <v>24548223.30059524</v>
      </c>
      <c r="P116" s="59">
        <f>H116/24*13</f>
        <v>29011536.62797619</v>
      </c>
      <c r="Q116" s="60">
        <f>SUM(L116:P116)-H116</f>
        <v>0</v>
      </c>
      <c r="R116" s="28" t="s">
        <v>712</v>
      </c>
      <c r="S116" s="242" t="s">
        <v>931</v>
      </c>
      <c r="T116" s="243" t="s">
        <v>932</v>
      </c>
    </row>
    <row r="117" spans="19:20" ht="15">
      <c r="S117" s="241"/>
      <c r="T117" s="158"/>
    </row>
    <row r="118" spans="1:20" ht="21" customHeight="1">
      <c r="A118" s="114"/>
      <c r="B118" s="114"/>
      <c r="C118" s="110" t="s">
        <v>773</v>
      </c>
      <c r="D118" s="115">
        <f>E118*$D$7</f>
        <v>185364379.28399998</v>
      </c>
      <c r="E118" s="115">
        <v>66201564.03</v>
      </c>
      <c r="F118" s="115">
        <f>SUM(F116:F117)</f>
        <v>149967327.8</v>
      </c>
      <c r="G118" s="115">
        <f>SUM(G116:G117)</f>
        <v>-31745050.683999985</v>
      </c>
      <c r="H118" s="115">
        <f>SUM(H116:H117)</f>
        <v>53559759.92857143</v>
      </c>
      <c r="I118" s="115">
        <f>SUM(I116:I117)</f>
        <v>-11337518.101428568</v>
      </c>
      <c r="J118" s="116">
        <v>1</v>
      </c>
      <c r="K118" s="116">
        <v>0</v>
      </c>
      <c r="L118" s="115">
        <f>SUM(L116:L117)</f>
        <v>0</v>
      </c>
      <c r="M118" s="115">
        <f>SUM(M116:M117)</f>
        <v>0</v>
      </c>
      <c r="N118" s="115">
        <f>SUM(N116:N117)</f>
        <v>0</v>
      </c>
      <c r="O118" s="115">
        <f>SUM(O116:O117)</f>
        <v>24548223.30059524</v>
      </c>
      <c r="P118" s="115">
        <f>SUM(P116:P117)</f>
        <v>29011536.62797619</v>
      </c>
      <c r="Q118" s="60">
        <f>SUM(L118:P118)-H118</f>
        <v>0</v>
      </c>
      <c r="R118" s="28" t="s">
        <v>695</v>
      </c>
      <c r="S118" s="241"/>
      <c r="T118" s="158"/>
    </row>
    <row r="119" spans="1:20" ht="25.5" customHeight="1">
      <c r="A119" s="114"/>
      <c r="B119" s="114"/>
      <c r="C119" s="117" t="s">
        <v>774</v>
      </c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60"/>
      <c r="S119" s="241"/>
      <c r="T119" s="158"/>
    </row>
    <row r="120" spans="1:20" ht="21.75" customHeight="1">
      <c r="A120" s="63">
        <v>1</v>
      </c>
      <c r="B120" s="63" t="s">
        <v>353</v>
      </c>
      <c r="C120" s="64" t="s">
        <v>933</v>
      </c>
      <c r="D120" s="65">
        <f>E120*$D$7</f>
        <v>12308800.019599997</v>
      </c>
      <c r="E120" s="65">
        <f>6280000.01*0.7</f>
        <v>4396000.006999999</v>
      </c>
      <c r="F120" s="65">
        <f>D120</f>
        <v>12308800.019599997</v>
      </c>
      <c r="G120" s="65">
        <f>F120-D120</f>
        <v>0</v>
      </c>
      <c r="H120" s="57">
        <f>F120/$D$7</f>
        <v>4396000.006999999</v>
      </c>
      <c r="I120" s="65">
        <f>H120-E120</f>
        <v>0</v>
      </c>
      <c r="J120" s="66">
        <v>1</v>
      </c>
      <c r="K120" s="66">
        <v>0</v>
      </c>
      <c r="L120" s="67">
        <v>0</v>
      </c>
      <c r="M120" s="67">
        <v>0</v>
      </c>
      <c r="N120" s="67">
        <v>0</v>
      </c>
      <c r="O120" s="67">
        <f>H120/18*9+0.01</f>
        <v>2198000.0134999994</v>
      </c>
      <c r="P120" s="67">
        <f>H120/18*9</f>
        <v>2198000.0034999996</v>
      </c>
      <c r="Q120" s="60">
        <f>SUM(L120:P120)-H120-0.01</f>
        <v>-2.2351741811588166E-10</v>
      </c>
      <c r="R120" s="28" t="s">
        <v>712</v>
      </c>
      <c r="S120" s="242" t="s">
        <v>934</v>
      </c>
      <c r="T120" s="243" t="s">
        <v>935</v>
      </c>
    </row>
    <row r="121" spans="1:20" ht="21.75" customHeight="1">
      <c r="A121" s="63">
        <v>1</v>
      </c>
      <c r="B121" s="63" t="s">
        <v>359</v>
      </c>
      <c r="C121" s="64" t="s">
        <v>936</v>
      </c>
      <c r="D121" s="65">
        <f>E121*$D$7</f>
        <v>5275200.008399999</v>
      </c>
      <c r="E121" s="65">
        <f>6280000.01*0.3</f>
        <v>1884000.0029999998</v>
      </c>
      <c r="F121" s="65">
        <f>D121</f>
        <v>5275200.008399999</v>
      </c>
      <c r="G121" s="65">
        <f>F121-D121</f>
        <v>0</v>
      </c>
      <c r="H121" s="57">
        <f>F121/$D$7</f>
        <v>1884000.0029999998</v>
      </c>
      <c r="I121" s="65">
        <f>H121-E121</f>
        <v>0</v>
      </c>
      <c r="J121" s="66">
        <v>1</v>
      </c>
      <c r="K121" s="66">
        <v>0</v>
      </c>
      <c r="L121" s="67">
        <v>0</v>
      </c>
      <c r="M121" s="67">
        <v>0</v>
      </c>
      <c r="N121" s="67">
        <v>0</v>
      </c>
      <c r="O121" s="67">
        <f>H121/18*9</f>
        <v>942000.0014999999</v>
      </c>
      <c r="P121" s="67">
        <f>H121/18*9</f>
        <v>942000.0014999999</v>
      </c>
      <c r="Q121" s="60">
        <f>SUM(L121:P121)-H121</f>
        <v>0</v>
      </c>
      <c r="R121" s="28" t="s">
        <v>712</v>
      </c>
      <c r="S121" s="242" t="s">
        <v>934</v>
      </c>
      <c r="T121" s="243" t="s">
        <v>935</v>
      </c>
    </row>
    <row r="122" spans="1:20" ht="21.75" customHeight="1">
      <c r="A122" s="63">
        <v>1</v>
      </c>
      <c r="B122" s="63" t="s">
        <v>412</v>
      </c>
      <c r="C122" s="64" t="s">
        <v>937</v>
      </c>
      <c r="D122" s="65">
        <f>E122*$D$7</f>
        <v>31999999.3824</v>
      </c>
      <c r="E122" s="65">
        <f>14285714.01*0.8</f>
        <v>11428571.208</v>
      </c>
      <c r="F122" s="65">
        <f>D122</f>
        <v>31999999.3824</v>
      </c>
      <c r="G122" s="65">
        <f>F122-D122</f>
        <v>0</v>
      </c>
      <c r="H122" s="65">
        <f>E122</f>
        <v>11428571.208</v>
      </c>
      <c r="I122" s="65">
        <f>H122-E122</f>
        <v>0</v>
      </c>
      <c r="J122" s="66">
        <v>1</v>
      </c>
      <c r="K122" s="66">
        <v>0</v>
      </c>
      <c r="L122" s="67">
        <v>0</v>
      </c>
      <c r="M122" s="67">
        <v>0</v>
      </c>
      <c r="N122" s="67">
        <v>0</v>
      </c>
      <c r="O122" s="67">
        <f>H122/18*9+0.01</f>
        <v>5714285.614</v>
      </c>
      <c r="P122" s="67">
        <f>H122/18*9</f>
        <v>5714285.604</v>
      </c>
      <c r="Q122" s="60">
        <f>SUM(L122:P122)-H122-0.01</f>
        <v>-2.2351741811588166E-10</v>
      </c>
      <c r="R122" s="28" t="s">
        <v>712</v>
      </c>
      <c r="S122" s="242" t="s">
        <v>938</v>
      </c>
      <c r="T122" s="243" t="s">
        <v>939</v>
      </c>
    </row>
    <row r="123" spans="1:20" ht="21.75" customHeight="1">
      <c r="A123" s="63">
        <v>1</v>
      </c>
      <c r="B123" s="63" t="s">
        <v>421</v>
      </c>
      <c r="C123" s="64" t="s">
        <v>940</v>
      </c>
      <c r="D123" s="65">
        <f>E123*$D$7</f>
        <v>7999999.8456</v>
      </c>
      <c r="E123" s="65">
        <f>14285714.01*0.2</f>
        <v>2857142.802</v>
      </c>
      <c r="F123" s="65">
        <f>D123</f>
        <v>7999999.8456</v>
      </c>
      <c r="G123" s="65">
        <f>F123-D123</f>
        <v>0</v>
      </c>
      <c r="H123" s="65">
        <f>E123</f>
        <v>2857142.802</v>
      </c>
      <c r="I123" s="65">
        <f>H123-E123</f>
        <v>0</v>
      </c>
      <c r="J123" s="66">
        <v>1</v>
      </c>
      <c r="K123" s="66">
        <v>0</v>
      </c>
      <c r="L123" s="67">
        <v>0</v>
      </c>
      <c r="M123" s="67">
        <v>0</v>
      </c>
      <c r="N123" s="67">
        <v>0</v>
      </c>
      <c r="O123" s="67">
        <f>H123/18*9</f>
        <v>1428571.401</v>
      </c>
      <c r="P123" s="67">
        <f>H123/18*9</f>
        <v>1428571.401</v>
      </c>
      <c r="Q123" s="60">
        <f>SUM(L123:P123)-H123</f>
        <v>0</v>
      </c>
      <c r="R123" s="28" t="s">
        <v>712</v>
      </c>
      <c r="S123" s="242" t="s">
        <v>938</v>
      </c>
      <c r="T123" s="243" t="s">
        <v>939</v>
      </c>
    </row>
    <row r="124" spans="19:20" ht="15">
      <c r="S124" s="241"/>
      <c r="T124" s="158"/>
    </row>
    <row r="125" spans="1:20" ht="21" customHeight="1">
      <c r="A125" s="114"/>
      <c r="B125" s="114"/>
      <c r="C125" s="110" t="s">
        <v>777</v>
      </c>
      <c r="D125" s="115">
        <f>E125*$D$7</f>
        <v>57583999.256</v>
      </c>
      <c r="E125" s="115">
        <f>SUM(E120:E123)</f>
        <v>20565714.02</v>
      </c>
      <c r="F125" s="115">
        <f>SUM(F120:F124)</f>
        <v>57583999.256</v>
      </c>
      <c r="G125" s="115">
        <f>SUM(G120:G124)</f>
        <v>0</v>
      </c>
      <c r="H125" s="115">
        <f>SUM(H120:H124)</f>
        <v>20565714.02</v>
      </c>
      <c r="I125" s="115">
        <f>SUM(I120:I124)</f>
        <v>0</v>
      </c>
      <c r="J125" s="116">
        <v>1</v>
      </c>
      <c r="K125" s="116">
        <v>0</v>
      </c>
      <c r="L125" s="115">
        <f>SUM(L120:L124)</f>
        <v>0</v>
      </c>
      <c r="M125" s="115">
        <f>SUM(M120:M124)</f>
        <v>0</v>
      </c>
      <c r="N125" s="115">
        <f>SUM(N120:N124)</f>
        <v>0</v>
      </c>
      <c r="O125" s="115">
        <f>SUM(O120:O124)-0.01</f>
        <v>10282857.02</v>
      </c>
      <c r="P125" s="115">
        <f>SUM(P120:P124)-0.01</f>
        <v>10282857</v>
      </c>
      <c r="Q125" s="60">
        <f>SUM(L125:P125)-H125</f>
        <v>0</v>
      </c>
      <c r="R125" s="28" t="s">
        <v>695</v>
      </c>
      <c r="S125" s="241"/>
      <c r="T125" s="158"/>
    </row>
    <row r="126" spans="1:20" ht="21" customHeight="1">
      <c r="A126" s="114"/>
      <c r="B126" s="114"/>
      <c r="C126" s="117" t="s">
        <v>778</v>
      </c>
      <c r="D126" s="133"/>
      <c r="E126" s="133"/>
      <c r="F126" s="133"/>
      <c r="G126" s="133"/>
      <c r="H126" s="133"/>
      <c r="I126" s="133"/>
      <c r="J126" s="116"/>
      <c r="K126" s="134"/>
      <c r="L126" s="115"/>
      <c r="M126" s="115"/>
      <c r="N126" s="115"/>
      <c r="O126" s="115"/>
      <c r="P126" s="115"/>
      <c r="Q126" s="60"/>
      <c r="S126" s="241"/>
      <c r="T126" s="158"/>
    </row>
    <row r="127" spans="1:20" ht="42.75" customHeight="1">
      <c r="A127" s="63">
        <v>2</v>
      </c>
      <c r="B127" s="63" t="s">
        <v>475</v>
      </c>
      <c r="C127" s="64" t="s">
        <v>941</v>
      </c>
      <c r="D127" s="65">
        <f>E127*$D$7</f>
        <v>37336331.172</v>
      </c>
      <c r="E127" s="65">
        <f>3809523.99+9524880</f>
        <v>13334403.99</v>
      </c>
      <c r="F127" s="65">
        <f>D127</f>
        <v>37336331.172</v>
      </c>
      <c r="G127" s="65">
        <f>F127-D127</f>
        <v>0</v>
      </c>
      <c r="H127" s="65">
        <f>E127</f>
        <v>13334403.99</v>
      </c>
      <c r="I127" s="65">
        <f>H127-E127</f>
        <v>0</v>
      </c>
      <c r="J127" s="66">
        <v>1</v>
      </c>
      <c r="K127" s="66">
        <v>0</v>
      </c>
      <c r="L127" s="67">
        <v>0</v>
      </c>
      <c r="M127" s="68">
        <v>0</v>
      </c>
      <c r="N127" s="67">
        <v>0</v>
      </c>
      <c r="O127" s="67">
        <f>H127/18*6</f>
        <v>4444801.33</v>
      </c>
      <c r="P127" s="67">
        <f>H127/18*12</f>
        <v>8889602.66</v>
      </c>
      <c r="Q127" s="60">
        <f>SUM(L127:P127)-H127</f>
        <v>0</v>
      </c>
      <c r="R127" s="28" t="s">
        <v>695</v>
      </c>
      <c r="S127" s="241"/>
      <c r="T127" s="158"/>
    </row>
    <row r="128" spans="19:20" ht="15">
      <c r="S128" s="241"/>
      <c r="T128" s="158"/>
    </row>
    <row r="129" spans="1:20" ht="21" customHeight="1">
      <c r="A129" s="114"/>
      <c r="B129" s="114"/>
      <c r="C129" s="110" t="s">
        <v>796</v>
      </c>
      <c r="D129" s="115">
        <f aca="true" t="shared" si="35" ref="D129:I129">SUM(D127:D128)</f>
        <v>37336331.172</v>
      </c>
      <c r="E129" s="115">
        <f t="shared" si="35"/>
        <v>13334403.99</v>
      </c>
      <c r="F129" s="115">
        <f t="shared" si="35"/>
        <v>37336331.172</v>
      </c>
      <c r="G129" s="115">
        <f t="shared" si="35"/>
        <v>0</v>
      </c>
      <c r="H129" s="115">
        <f t="shared" si="35"/>
        <v>13334403.99</v>
      </c>
      <c r="I129" s="115">
        <f t="shared" si="35"/>
        <v>0</v>
      </c>
      <c r="J129" s="116">
        <v>1</v>
      </c>
      <c r="K129" s="116">
        <v>0</v>
      </c>
      <c r="L129" s="115">
        <f>SUM(L127:L128)</f>
        <v>0</v>
      </c>
      <c r="M129" s="115">
        <f>SUM(M127:M128)</f>
        <v>0</v>
      </c>
      <c r="N129" s="115">
        <f>SUM(N127:N128)</f>
        <v>0</v>
      </c>
      <c r="O129" s="115">
        <f>SUM(O127:O128)</f>
        <v>4444801.33</v>
      </c>
      <c r="P129" s="115">
        <f>SUM(P127:P128)</f>
        <v>8889602.66</v>
      </c>
      <c r="Q129" s="60">
        <f>SUM(L129:P129)-H129</f>
        <v>0</v>
      </c>
      <c r="R129" s="28" t="s">
        <v>695</v>
      </c>
      <c r="S129" s="241"/>
      <c r="T129" s="158"/>
    </row>
    <row r="130" spans="1:20" ht="23.25" customHeight="1">
      <c r="A130" s="114"/>
      <c r="B130" s="114"/>
      <c r="C130" s="117" t="s">
        <v>51</v>
      </c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60"/>
      <c r="S130" s="241"/>
      <c r="T130" s="158"/>
    </row>
    <row r="131" spans="1:20" ht="21.75" customHeight="1">
      <c r="A131" s="63">
        <v>1</v>
      </c>
      <c r="B131" s="63" t="s">
        <v>494</v>
      </c>
      <c r="C131" s="64" t="s">
        <v>52</v>
      </c>
      <c r="D131" s="65">
        <f>E131*$D$7</f>
        <v>237999999.99999997</v>
      </c>
      <c r="E131" s="65">
        <v>85000000</v>
      </c>
      <c r="F131" s="65">
        <f>D131</f>
        <v>237999999.99999997</v>
      </c>
      <c r="G131" s="65">
        <f>F131-D131</f>
        <v>0</v>
      </c>
      <c r="H131" s="65">
        <f>E131</f>
        <v>85000000</v>
      </c>
      <c r="I131" s="65">
        <f>H131-E131</f>
        <v>0</v>
      </c>
      <c r="J131" s="66">
        <v>0</v>
      </c>
      <c r="K131" s="66">
        <v>1</v>
      </c>
      <c r="L131" s="67">
        <v>0</v>
      </c>
      <c r="M131" s="67">
        <v>0</v>
      </c>
      <c r="N131" s="67">
        <v>0</v>
      </c>
      <c r="O131" s="67">
        <f>H131/24*11</f>
        <v>38958333.33333333</v>
      </c>
      <c r="P131" s="67">
        <f>H131/24*13</f>
        <v>46041666.666666664</v>
      </c>
      <c r="Q131" s="60">
        <f>SUM(L131:P131)-H131</f>
        <v>0</v>
      </c>
      <c r="R131" s="28" t="s">
        <v>712</v>
      </c>
      <c r="S131" s="241"/>
      <c r="T131" s="158"/>
    </row>
    <row r="132" spans="1:20" ht="30.75" customHeight="1">
      <c r="A132" s="114"/>
      <c r="B132" s="114"/>
      <c r="C132" s="135" t="s">
        <v>53</v>
      </c>
      <c r="D132" s="115">
        <f>D131</f>
        <v>237999999.99999997</v>
      </c>
      <c r="E132" s="115">
        <f>E131</f>
        <v>85000000</v>
      </c>
      <c r="F132" s="115">
        <f>SUM(F131)</f>
        <v>237999999.99999997</v>
      </c>
      <c r="G132" s="115">
        <f>SUM(G131)</f>
        <v>0</v>
      </c>
      <c r="H132" s="115">
        <f>SUM(H131)</f>
        <v>85000000</v>
      </c>
      <c r="I132" s="115">
        <f>SUM(I131)</f>
        <v>0</v>
      </c>
      <c r="J132" s="116">
        <v>0</v>
      </c>
      <c r="K132" s="116">
        <f>K131</f>
        <v>1</v>
      </c>
      <c r="L132" s="115">
        <f>L131</f>
        <v>0</v>
      </c>
      <c r="M132" s="115">
        <f>M131</f>
        <v>0</v>
      </c>
      <c r="N132" s="115">
        <f>N131</f>
        <v>0</v>
      </c>
      <c r="O132" s="115">
        <f>SUM(O131)</f>
        <v>38958333.33333333</v>
      </c>
      <c r="P132" s="115">
        <f>SUM(P131)</f>
        <v>46041666.666666664</v>
      </c>
      <c r="Q132" s="60">
        <f>SUM(L132:P132)-H132</f>
        <v>0</v>
      </c>
      <c r="R132" s="28" t="s">
        <v>695</v>
      </c>
      <c r="S132" s="241"/>
      <c r="T132" s="158"/>
    </row>
    <row r="133" spans="1:20" ht="40.5" customHeight="1">
      <c r="A133" s="114"/>
      <c r="B133" s="114"/>
      <c r="C133" s="136" t="s">
        <v>55</v>
      </c>
      <c r="D133" s="115">
        <f>D132+D129+D125+D118+D108+D82+D69+D54</f>
        <v>568740663.652</v>
      </c>
      <c r="E133" s="115">
        <f>E132+E129+E125+E118+E108+E82+E69+E54+E93+E51</f>
        <v>232351606.82999998</v>
      </c>
      <c r="F133" s="115">
        <f>F132+F129+F125+F118+F108+F82+F69+F54+F93+F51+F112</f>
        <v>635350308.864</v>
      </c>
      <c r="G133" s="115">
        <f>G132+G129+G125+G118+G108+G82+G69+G54+G93+G51+G112+0.01</f>
        <v>-17458493.24999998</v>
      </c>
      <c r="H133" s="115">
        <f>H132+H129+H125+H118+H108+H82+H69+H54+H93+H51+H112</f>
        <v>226905737.0592857</v>
      </c>
      <c r="I133" s="115">
        <f>I132+I129+I125+I118+I108+I82+I69+I54+I93+I51+I112</f>
        <v>-6240262.770714282</v>
      </c>
      <c r="J133" s="137">
        <f>(E133-E131)/E133</f>
        <v>0.6341751143464645</v>
      </c>
      <c r="K133" s="138">
        <v>0.3626</v>
      </c>
      <c r="L133" s="139">
        <f>L132+L129+L125+L118+L108+L82+L69+L54</f>
        <v>0</v>
      </c>
      <c r="M133" s="139">
        <f>M132+M129+M125+M118+M108+M82+M69+M54+M51</f>
        <v>395645.39</v>
      </c>
      <c r="N133" s="139">
        <f>N132+N129+N125+N118+N108+N82+N69+N54+N93+N51</f>
        <v>10667781.410654763</v>
      </c>
      <c r="O133" s="139">
        <f>O132+O129+O125+O118+O108+O82+O69+O54+O93+O51+O112</f>
        <v>115229325.0070453</v>
      </c>
      <c r="P133" s="139">
        <f>P132+P129+P125+P118+P108+P82+P69+P54+P93+P51+P112</f>
        <v>100612985.25158568</v>
      </c>
      <c r="Q133" s="60">
        <f>SUM(L133:P133)-H133</f>
        <v>0</v>
      </c>
      <c r="R133" s="28" t="s">
        <v>695</v>
      </c>
      <c r="S133" s="241"/>
      <c r="T133" s="158"/>
    </row>
    <row r="134" spans="1:20" ht="34.5" customHeight="1">
      <c r="A134" s="140"/>
      <c r="B134" s="140">
        <v>3</v>
      </c>
      <c r="C134" s="141" t="s">
        <v>122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60"/>
      <c r="S134" s="241"/>
      <c r="T134" s="158"/>
    </row>
    <row r="135" spans="1:20" ht="21" customHeight="1">
      <c r="A135" s="144"/>
      <c r="B135" s="144"/>
      <c r="C135" s="145" t="s">
        <v>123</v>
      </c>
      <c r="D135" s="146"/>
      <c r="E135" s="146"/>
      <c r="F135" s="146"/>
      <c r="G135" s="146"/>
      <c r="H135" s="146"/>
      <c r="I135" s="146"/>
      <c r="J135" s="148"/>
      <c r="K135" s="149"/>
      <c r="L135" s="147"/>
      <c r="M135" s="147"/>
      <c r="N135" s="147"/>
      <c r="O135" s="147"/>
      <c r="P135" s="147"/>
      <c r="Q135" s="60"/>
      <c r="S135" s="241"/>
      <c r="T135" s="158"/>
    </row>
    <row r="136" spans="1:20" ht="30">
      <c r="A136" s="55">
        <v>3</v>
      </c>
      <c r="B136" s="55" t="s">
        <v>628</v>
      </c>
      <c r="C136" s="56" t="s">
        <v>124</v>
      </c>
      <c r="D136" s="57">
        <f aca="true" t="shared" si="36" ref="D136:D142">E136*$D$7</f>
        <v>39466000</v>
      </c>
      <c r="E136" s="57">
        <v>14095000</v>
      </c>
      <c r="F136" s="57">
        <f>18228970.79*1.3</f>
        <v>23697662.027</v>
      </c>
      <c r="G136" s="57">
        <f>F136-D136</f>
        <v>-15768337.973000001</v>
      </c>
      <c r="H136" s="57">
        <f>F136/2.8</f>
        <v>8463450.72392857</v>
      </c>
      <c r="I136" s="57">
        <f>H136-E136</f>
        <v>-5631549.276071429</v>
      </c>
      <c r="J136" s="58">
        <v>1</v>
      </c>
      <c r="K136" s="58">
        <v>0</v>
      </c>
      <c r="L136" s="59">
        <v>0</v>
      </c>
      <c r="M136" s="59">
        <v>0</v>
      </c>
      <c r="N136" s="59">
        <f>H136/36*11</f>
        <v>2586054.3878670633</v>
      </c>
      <c r="O136" s="59">
        <f>H136/36*12</f>
        <v>2821150.2413095236</v>
      </c>
      <c r="P136" s="59">
        <f>H136/36*13</f>
        <v>3056246.094751984</v>
      </c>
      <c r="Q136" s="60">
        <f aca="true" t="shared" si="37" ref="Q136:Q142">SUM(L136:P136)-H136</f>
        <v>0</v>
      </c>
      <c r="R136" s="28" t="s">
        <v>712</v>
      </c>
      <c r="S136" s="241"/>
      <c r="T136" s="158"/>
    </row>
    <row r="137" spans="1:20" ht="21.75" customHeight="1">
      <c r="A137" s="63">
        <v>3</v>
      </c>
      <c r="B137" s="63" t="s">
        <v>639</v>
      </c>
      <c r="C137" s="64" t="s">
        <v>125</v>
      </c>
      <c r="D137" s="65">
        <f t="shared" si="36"/>
        <v>560000.196</v>
      </c>
      <c r="E137" s="65">
        <v>200000.07</v>
      </c>
      <c r="F137" s="65">
        <f>D137</f>
        <v>560000.196</v>
      </c>
      <c r="G137" s="65">
        <f>F137-D137</f>
        <v>0</v>
      </c>
      <c r="H137" s="65">
        <f>E137</f>
        <v>200000.07</v>
      </c>
      <c r="I137" s="65">
        <f>H137-E137</f>
        <v>0</v>
      </c>
      <c r="J137" s="66">
        <v>1</v>
      </c>
      <c r="K137" s="66">
        <v>0</v>
      </c>
      <c r="L137" s="67">
        <v>0</v>
      </c>
      <c r="M137" s="67">
        <v>0</v>
      </c>
      <c r="N137" s="67">
        <f>H137/12*6</f>
        <v>100000.035</v>
      </c>
      <c r="O137" s="67">
        <f>H137/12</f>
        <v>16666.6725</v>
      </c>
      <c r="P137" s="67">
        <f>H137/12*5</f>
        <v>83333.3625</v>
      </c>
      <c r="Q137" s="60">
        <f t="shared" si="37"/>
        <v>0</v>
      </c>
      <c r="R137" s="28" t="s">
        <v>712</v>
      </c>
      <c r="S137" s="241"/>
      <c r="T137" s="158"/>
    </row>
    <row r="138" spans="1:20" ht="21.75" customHeight="1">
      <c r="A138" s="63">
        <v>3</v>
      </c>
      <c r="B138" s="63" t="s">
        <v>662</v>
      </c>
      <c r="C138" s="64" t="s">
        <v>126</v>
      </c>
      <c r="D138" s="65">
        <f t="shared" si="36"/>
        <v>333200</v>
      </c>
      <c r="E138" s="65">
        <v>119000</v>
      </c>
      <c r="F138" s="65">
        <f>D138</f>
        <v>333200</v>
      </c>
      <c r="G138" s="65">
        <f>F138-D138</f>
        <v>0</v>
      </c>
      <c r="H138" s="65">
        <f>E138</f>
        <v>119000</v>
      </c>
      <c r="I138" s="65">
        <f>H138-E138</f>
        <v>0</v>
      </c>
      <c r="J138" s="66">
        <v>1</v>
      </c>
      <c r="K138" s="66">
        <v>0</v>
      </c>
      <c r="L138" s="67">
        <v>0</v>
      </c>
      <c r="M138" s="67">
        <v>0</v>
      </c>
      <c r="N138" s="67">
        <v>0</v>
      </c>
      <c r="O138" s="67">
        <f>H138/6*2</f>
        <v>39666.666666666664</v>
      </c>
      <c r="P138" s="67">
        <f>H138/6*4</f>
        <v>79333.33333333333</v>
      </c>
      <c r="Q138" s="60">
        <f t="shared" si="37"/>
        <v>0</v>
      </c>
      <c r="R138" s="28" t="s">
        <v>712</v>
      </c>
      <c r="S138" s="241"/>
      <c r="T138" s="158"/>
    </row>
    <row r="139" spans="1:20" ht="21.75" customHeight="1">
      <c r="A139" s="63">
        <v>3</v>
      </c>
      <c r="B139" s="63" t="s">
        <v>800</v>
      </c>
      <c r="C139" s="64" t="s">
        <v>127</v>
      </c>
      <c r="D139" s="65">
        <f t="shared" si="36"/>
        <v>0</v>
      </c>
      <c r="E139" s="65">
        <v>0</v>
      </c>
      <c r="F139" s="65">
        <f>D139</f>
        <v>0</v>
      </c>
      <c r="G139" s="65">
        <f>F139-D139</f>
        <v>0</v>
      </c>
      <c r="H139" s="65">
        <f>E139</f>
        <v>0</v>
      </c>
      <c r="I139" s="65">
        <f>H139-E139</f>
        <v>0</v>
      </c>
      <c r="J139" s="66">
        <v>1</v>
      </c>
      <c r="K139" s="66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0">
        <f t="shared" si="37"/>
        <v>0</v>
      </c>
      <c r="R139" s="28" t="s">
        <v>695</v>
      </c>
      <c r="S139" s="241"/>
      <c r="T139" s="158"/>
    </row>
    <row r="140" spans="1:20" ht="30" customHeight="1">
      <c r="A140" s="114"/>
      <c r="B140" s="114"/>
      <c r="C140" s="110" t="s">
        <v>128</v>
      </c>
      <c r="D140" s="133">
        <f t="shared" si="36"/>
        <v>40359200.195999995</v>
      </c>
      <c r="E140" s="115">
        <f>SUM(E136:E139)</f>
        <v>14414000.07</v>
      </c>
      <c r="F140" s="115">
        <f>SUM(F136:F139)+0.01</f>
        <v>24590862.233</v>
      </c>
      <c r="G140" s="115">
        <f>SUM(G136:G139)</f>
        <v>-15768337.973000001</v>
      </c>
      <c r="H140" s="115">
        <f>SUM(H136:H139)</f>
        <v>8782450.793928571</v>
      </c>
      <c r="I140" s="115">
        <f>SUM(I136:I139)</f>
        <v>-5631549.276071429</v>
      </c>
      <c r="J140" s="116">
        <v>1</v>
      </c>
      <c r="K140" s="116">
        <v>0</v>
      </c>
      <c r="L140" s="115">
        <f>SUM(L136:L139)</f>
        <v>0</v>
      </c>
      <c r="M140" s="115">
        <f>SUM(M136:M139)</f>
        <v>0</v>
      </c>
      <c r="N140" s="115">
        <f>SUM(N136:N139)+0.01</f>
        <v>2686054.432867063</v>
      </c>
      <c r="O140" s="115">
        <f>SUM(O136:O139)</f>
        <v>2877483.58047619</v>
      </c>
      <c r="P140" s="115">
        <f>SUM(P136:P139)-0.01</f>
        <v>3218912.7805853174</v>
      </c>
      <c r="Q140" s="60">
        <f t="shared" si="37"/>
        <v>0</v>
      </c>
      <c r="R140" s="28" t="s">
        <v>695</v>
      </c>
      <c r="S140" s="241"/>
      <c r="T140" s="158"/>
    </row>
    <row r="141" spans="1:20" ht="40.5" customHeight="1">
      <c r="A141" s="114"/>
      <c r="B141" s="114"/>
      <c r="C141" s="150" t="s">
        <v>129</v>
      </c>
      <c r="D141" s="251">
        <f t="shared" si="36"/>
        <v>40359200.195999995</v>
      </c>
      <c r="E141" s="139">
        <f>SUM(E140)</f>
        <v>14414000.07</v>
      </c>
      <c r="F141" s="139">
        <f>SUM(F140)</f>
        <v>24590862.233</v>
      </c>
      <c r="G141" s="151">
        <f>SUM(G140)</f>
        <v>-15768337.973000001</v>
      </c>
      <c r="H141" s="139">
        <f>SUM(H140)</f>
        <v>8782450.793928571</v>
      </c>
      <c r="I141" s="151">
        <f>SUM(I140)</f>
        <v>-5631549.276071429</v>
      </c>
      <c r="J141" s="116">
        <v>1</v>
      </c>
      <c r="K141" s="116">
        <v>0</v>
      </c>
      <c r="L141" s="139">
        <f>L140</f>
        <v>0</v>
      </c>
      <c r="M141" s="139">
        <f>M140</f>
        <v>0</v>
      </c>
      <c r="N141" s="139">
        <f>N140</f>
        <v>2686054.432867063</v>
      </c>
      <c r="O141" s="139">
        <f>O140</f>
        <v>2877483.58047619</v>
      </c>
      <c r="P141" s="139">
        <f>P140</f>
        <v>3218912.7805853174</v>
      </c>
      <c r="Q141" s="60">
        <f t="shared" si="37"/>
        <v>0</v>
      </c>
      <c r="R141" s="28" t="s">
        <v>695</v>
      </c>
      <c r="S141" s="241"/>
      <c r="T141" s="158"/>
    </row>
    <row r="142" spans="1:20" ht="34.5" customHeight="1">
      <c r="A142" s="152"/>
      <c r="B142" s="152"/>
      <c r="C142" s="153" t="s">
        <v>130</v>
      </c>
      <c r="D142" s="252">
        <f t="shared" si="36"/>
        <v>795775699.5959998</v>
      </c>
      <c r="E142" s="154">
        <f>E141+E133+E46</f>
        <v>284205606.9985714</v>
      </c>
      <c r="F142" s="154">
        <f>F141+F133+F46-0.01</f>
        <v>765067259.899</v>
      </c>
      <c r="G142" s="155">
        <f>G141+G133+G46+0.01</f>
        <v>-32932742.68699998</v>
      </c>
      <c r="H142" s="154">
        <f>H141+H133+H46</f>
        <v>272938187.92821425</v>
      </c>
      <c r="I142" s="155">
        <f>I141+I133+I46</f>
        <v>-12061812.07035714</v>
      </c>
      <c r="J142" s="148">
        <v>0.7</v>
      </c>
      <c r="K142" s="148">
        <v>0.3</v>
      </c>
      <c r="L142" s="154">
        <f>L141+L133+L46</f>
        <v>0</v>
      </c>
      <c r="M142" s="154">
        <f>M141+M133+M46</f>
        <v>1774758.25</v>
      </c>
      <c r="N142" s="154">
        <f>N141+N133+N46</f>
        <v>16504784.15185976</v>
      </c>
      <c r="O142" s="154">
        <f>O141+O133+O46</f>
        <v>134346186.0857783</v>
      </c>
      <c r="P142" s="154">
        <f>P141+P133+P46</f>
        <v>120312459.44057626</v>
      </c>
      <c r="Q142" s="60">
        <f t="shared" si="37"/>
        <v>0</v>
      </c>
      <c r="R142" s="28" t="s">
        <v>695</v>
      </c>
      <c r="S142" s="241"/>
      <c r="T142" s="158"/>
    </row>
    <row r="144" spans="6:9" ht="15">
      <c r="F144" s="156">
        <v>1</v>
      </c>
      <c r="G144" s="157" t="s">
        <v>801</v>
      </c>
      <c r="H144" s="434">
        <f>H27+H28+H57+H58+H59+H60+H61+H62+H63+H64+H65+H66+H67+H71+H72+H73+H74+H75+H76+H77+H78+H79+H80+H84+H85+H86+H87+H88+H89+H90+H91+H95+H96+H97+H98+H99+H100+H101+H102+H103+H104+H105+H106+H107+H110+H116++H120+H121+H122+H123+H131</f>
        <v>211814354.84785715</v>
      </c>
      <c r="I144" s="434"/>
    </row>
    <row r="145" spans="6:9" ht="15">
      <c r="F145" s="156">
        <v>2</v>
      </c>
      <c r="G145" s="157" t="s">
        <v>802</v>
      </c>
      <c r="H145" s="434">
        <f>H13+H14+H15+H16+H23+H24+H30+H68+H81+H92+H111+H29+H129</f>
        <v>36693576.09642857</v>
      </c>
      <c r="I145" s="434"/>
    </row>
    <row r="146" spans="6:9" ht="15">
      <c r="F146" s="156">
        <v>3</v>
      </c>
      <c r="G146" s="157" t="s">
        <v>803</v>
      </c>
      <c r="H146" s="434">
        <f>H12+H34+H37+H45+H50+H140</f>
        <v>14548459.683928572</v>
      </c>
      <c r="I146" s="434"/>
    </row>
    <row r="147" spans="1:9" ht="12.75">
      <c r="A147" s="28"/>
      <c r="B147" s="28"/>
      <c r="F147" s="156">
        <v>4</v>
      </c>
      <c r="G147" s="162" t="s">
        <v>804</v>
      </c>
      <c r="H147" s="434">
        <f>H17+H18+H19+H20+H53</f>
        <v>9881797.27</v>
      </c>
      <c r="I147" s="434"/>
    </row>
  </sheetData>
  <sheetProtection selectLockedCells="1" selectUnlockedCells="1"/>
  <mergeCells count="17">
    <mergeCell ref="B1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H147:I147"/>
    <mergeCell ref="J5:K5"/>
    <mergeCell ref="L5:P5"/>
    <mergeCell ref="S5:T5"/>
    <mergeCell ref="H144:I144"/>
    <mergeCell ref="H145:I145"/>
    <mergeCell ref="H146:I146"/>
  </mergeCells>
  <printOptions/>
  <pageMargins left="0.11805555555555555" right="0.19652777777777777" top="0.19652777777777777" bottom="0.19652777777777777" header="0.5118055555555555" footer="0.5118055555555555"/>
  <pageSetup horizontalDpi="300" verticalDpi="300" orientation="landscape" paperSize="9" scale="41"/>
  <rowBreaks count="2" manualBreakCount="2">
    <brk id="51" max="255" man="1"/>
    <brk id="10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Report</dc:title>
  <dc:subject/>
  <dc:creator>Luiz Claudio Faria</dc:creator>
  <cp:keywords/>
  <dc:description/>
  <cp:lastModifiedBy>Zaida Melo</cp:lastModifiedBy>
  <cp:lastPrinted>2018-02-02T21:12:38Z</cp:lastPrinted>
  <dcterms:created xsi:type="dcterms:W3CDTF">2006-06-01T00:00:46Z</dcterms:created>
  <dcterms:modified xsi:type="dcterms:W3CDTF">2018-02-09T17:26:34Z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12ContainerType">
    <vt:lpwstr>TaskTP.cub</vt:lpwstr>
  </property>
  <property fmtid="{D5CDD505-2E9C-101B-9397-08002B2CF9AE}" pid="7" name="P12PreviewPicture">
    <vt:lpwstr>ADR8</vt:lpwstr>
  </property>
  <property fmtid="{D5CDD505-2E9C-101B-9397-08002B2CF9AE}" pid="8" name="P12ProjectFields0">
    <vt:lpwstr>188744941,188743851,188744943,188744945,188744857,188744856,188744852,188744851,188744940,188744955,188744954,188743688,188744947,188744948,188744951,188743708,188743722,188743721,188743686,188743707,188743724,188744160,188743723,188743681,</vt:lpwstr>
  </property>
  <property fmtid="{D5CDD505-2E9C-101B-9397-08002B2CF9AE}" pid="9" name="P12ProjectFields1">
    <vt:lpwstr>188743698,188743773,188744117,188743709,188743710,188743718,188743717,188743716,188744119,188743726,188743701,188743720,188743719,188743700,188743712,188743713,188744799,188744050,188744049,188743705,188743711,188743715,188744118,188743725,188743780,</vt:lpwstr>
  </property>
  <property fmtid="{D5CDD505-2E9C-101B-9397-08002B2CF9AE}" pid="10" name="P12ProjectFields2">
    <vt:lpwstr>188743702,188744121,188743696,</vt:lpwstr>
  </property>
  <property fmtid="{D5CDD505-2E9C-101B-9397-08002B2CF9AE}" pid="11" name="P12Template">
    <vt:bool>true</vt:bool>
  </property>
  <property fmtid="{D5CDD505-2E9C-101B-9397-08002B2CF9AE}" pid="12" name="ScaleCrop">
    <vt:bool>false</vt:bool>
  </property>
  <property fmtid="{D5CDD505-2E9C-101B-9397-08002B2CF9AE}" pid="13" name="ShareDoc">
    <vt:bool>false</vt:bool>
  </property>
  <property fmtid="{D5CDD505-2E9C-101B-9397-08002B2CF9AE}" pid="14" name="e46fe2894295491da65140ffd2369f49">
    <vt:lpwstr>Goods and Services|5bfebf1b-9f1f-4411-b1dd-4c19b807b799</vt:lpwstr>
  </property>
  <property fmtid="{D5CDD505-2E9C-101B-9397-08002B2CF9AE}" pid="15" name="b26cdb1da78c4bb4b1c1bac2f6ac5911">
    <vt:lpwstr/>
  </property>
  <property fmtid="{D5CDD505-2E9C-101B-9397-08002B2CF9AE}" pid="16" name="TaxKeywordTaxHTField">
    <vt:lpwstr/>
  </property>
  <property fmtid="{D5CDD505-2E9C-101B-9397-08002B2CF9AE}" pid="17" name="Function Operations IDB">
    <vt:lpwstr>7;#Goods and Services|5bfebf1b-9f1f-4411-b1dd-4c19b807b799</vt:lpwstr>
  </property>
  <property fmtid="{D5CDD505-2E9C-101B-9397-08002B2CF9AE}" pid="18" name="TaxKeyword">
    <vt:lpwstr/>
  </property>
  <property fmtid="{D5CDD505-2E9C-101B-9397-08002B2CF9AE}" pid="19" name="Sector IDB">
    <vt:lpwstr>38;#HEALTH|e15154b4-8fa2-4f19-a924-5a9b44dc8218</vt:lpwstr>
  </property>
  <property fmtid="{D5CDD505-2E9C-101B-9397-08002B2CF9AE}" pid="20" name="Sub-Sector">
    <vt:lpwstr>39;#HEALTH SYSTEM STRENGTHENING|98be7628-374e-4ecf-a12c-bb48b439037b</vt:lpwstr>
  </property>
  <property fmtid="{D5CDD505-2E9C-101B-9397-08002B2CF9AE}" pid="21" name="Series Operations IDB">
    <vt:lpwstr/>
  </property>
  <property fmtid="{D5CDD505-2E9C-101B-9397-08002B2CF9AE}" pid="22" name="g511464f9e53401d84b16fa9b379a574">
    <vt:lpwstr>ORC|c028a4b2-ad8b-4cf4-9cac-a2ae6a778e23</vt:lpwstr>
  </property>
  <property fmtid="{D5CDD505-2E9C-101B-9397-08002B2CF9AE}" pid="23" name="Fund IDB">
    <vt:lpwstr>33;#ORC|c028a4b2-ad8b-4cf4-9cac-a2ae6a778e23</vt:lpwstr>
  </property>
  <property fmtid="{D5CDD505-2E9C-101B-9397-08002B2CF9AE}" pid="24" name="nddeef1749674d76abdbe4b239a70bc6">
    <vt:lpwstr>HEALTH|e15154b4-8fa2-4f19-a924-5a9b44dc8218</vt:lpwstr>
  </property>
  <property fmtid="{D5CDD505-2E9C-101B-9397-08002B2CF9AE}" pid="25" name="b2ec7cfb18674cb8803df6b262e8b107">
    <vt:lpwstr>HEALTH SYSTEM STRENGTHENING|98be7628-374e-4ecf-a12c-bb48b439037b</vt:lpwstr>
  </property>
  <property fmtid="{D5CDD505-2E9C-101B-9397-08002B2CF9AE}" pid="26" name="ic46d7e087fd4a108fb86518ca413cc6">
    <vt:lpwstr>Brazil|7deb27ec-6837-4974-9aa8-6cfbac841ef8</vt:lpwstr>
  </property>
  <property fmtid="{D5CDD505-2E9C-101B-9397-08002B2CF9AE}" pid="27" name="Country">
    <vt:lpwstr>30;#Brazil|7deb27ec-6837-4974-9aa8-6cfbac841ef8</vt:lpwstr>
  </property>
  <property fmtid="{D5CDD505-2E9C-101B-9397-08002B2CF9AE}" pid="28" name="TaxCatchAll">
    <vt:lpwstr>33;#ORC|c028a4b2-ad8b-4cf4-9cac-a2ae6a778e23;#39;#HEALTH SYSTEM STRENGTHENING|98be7628-374e-4ecf-a12c-bb48b439037b;#38;#HEALTH|e15154b4-8fa2-4f19-a924-5a9b44dc8218;#30;#Brazil|7deb27ec-6837-4974-9aa8-6cfbac841ef8;#7;#Goods and Services|5bfebf1b-9f1f-4411-</vt:lpwstr>
  </property>
  <property fmtid="{D5CDD505-2E9C-101B-9397-08002B2CF9AE}" pid="29" name="_dlc_DocId">
    <vt:lpwstr>EZSHARE-148893734-16</vt:lpwstr>
  </property>
  <property fmtid="{D5CDD505-2E9C-101B-9397-08002B2CF9AE}" pid="30" name="_dlc_DocIdItemGuid">
    <vt:lpwstr>47148993-6be6-4a1c-8706-9c8926543053</vt:lpwstr>
  </property>
  <property fmtid="{D5CDD505-2E9C-101B-9397-08002B2CF9AE}" pid="31" name="_dlc_DocIdUrl">
    <vt:lpwstr>https://idbg.sharepoint.com/teams/EZ-BR-LON/BR-L1389/_layouts/15/DocIdRedir.aspx?ID=EZSHARE-148893734-16, EZSHARE-148893734-16</vt:lpwstr>
  </property>
  <property fmtid="{D5CDD505-2E9C-101B-9397-08002B2CF9AE}" pid="32" name="Phase">
    <vt:lpwstr>ACTIVE</vt:lpwstr>
  </property>
  <property fmtid="{D5CDD505-2E9C-101B-9397-08002B2CF9AE}" pid="33" name="Project Number">
    <vt:lpwstr>BR-L1389</vt:lpwstr>
  </property>
  <property fmtid="{D5CDD505-2E9C-101B-9397-08002B2CF9AE}" pid="34" name="Document Author">
    <vt:lpwstr>Maekawa, Yuka</vt:lpwstr>
  </property>
  <property fmtid="{D5CDD505-2E9C-101B-9397-08002B2CF9AE}" pid="35" name="Approval Number">
    <vt:lpwstr>3262/OC-BR;</vt:lpwstr>
  </property>
  <property fmtid="{D5CDD505-2E9C-101B-9397-08002B2CF9AE}" pid="36" name="Document Language IDB">
    <vt:lpwstr>Portuguese</vt:lpwstr>
  </property>
  <property fmtid="{D5CDD505-2E9C-101B-9397-08002B2CF9AE}" pid="37" name="Fiscal Year IDB">
    <vt:lpwstr>2018</vt:lpwstr>
  </property>
  <property fmtid="{D5CDD505-2E9C-101B-9397-08002B2CF9AE}" pid="38" name="Operation Type">
    <vt:lpwstr>Loan Operation</vt:lpwstr>
  </property>
  <property fmtid="{D5CDD505-2E9C-101B-9397-08002B2CF9AE}" pid="39" name="Access to Information Policy">
    <vt:lpwstr>Public</vt:lpwstr>
  </property>
  <property fmtid="{D5CDD505-2E9C-101B-9397-08002B2CF9AE}" pid="40" name="Division or Unit">
    <vt:lpwstr>CSC/CBR</vt:lpwstr>
  </property>
  <property fmtid="{D5CDD505-2E9C-101B-9397-08002B2CF9AE}" pid="41" name="Business Area">
    <vt:lpwstr>ESG</vt:lpwstr>
  </property>
  <property fmtid="{D5CDD505-2E9C-101B-9397-08002B2CF9AE}" pid="42" name="Key Document">
    <vt:lpwstr>0</vt:lpwstr>
  </property>
  <property fmtid="{D5CDD505-2E9C-101B-9397-08002B2CF9AE}" pid="43" name="IDBDocs Number">
    <vt:lpwstr/>
  </property>
  <property fmtid="{D5CDD505-2E9C-101B-9397-08002B2CF9AE}" pid="44" name="display_urn:schemas-microsoft-com:office:office#Editor">
    <vt:lpwstr>Maekawa, Yuka</vt:lpwstr>
  </property>
  <property fmtid="{D5CDD505-2E9C-101B-9397-08002B2CF9AE}" pid="45" name="display_urn:schemas-microsoft-com:office:office#Author">
    <vt:lpwstr>Maekawa, Yuka</vt:lpwstr>
  </property>
  <property fmtid="{D5CDD505-2E9C-101B-9397-08002B2CF9AE}" pid="46" name="Disclosure Activity">
    <vt:lpwstr>Procurement Plan</vt:lpwstr>
  </property>
  <property fmtid="{D5CDD505-2E9C-101B-9397-08002B2CF9AE}" pid="47" name="ContentTypeId">
    <vt:lpwstr>0x0101001A458A224826124E8B45B1D613300CFC00DB4C1476ADF6964E9BE6EF904CB3BC29</vt:lpwstr>
  </property>
  <property fmtid="{D5CDD505-2E9C-101B-9397-08002B2CF9AE}" pid="48" name="Record Number">
    <vt:lpwstr>R0002105749</vt:lpwstr>
  </property>
  <property fmtid="{D5CDD505-2E9C-101B-9397-08002B2CF9AE}" pid="49" name="Webtopic">
    <vt:lpwstr/>
  </property>
  <property fmtid="{D5CDD505-2E9C-101B-9397-08002B2CF9AE}" pid="50" name="Other Author">
    <vt:lpwstr/>
  </property>
  <property fmtid="{D5CDD505-2E9C-101B-9397-08002B2CF9AE}" pid="51" name="Identifier">
    <vt:lpwstr/>
  </property>
</Properties>
</file>