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5.xml" ContentType="application/vnd.openxmlformats-officedocument.customXmlProperties+xml"/>
  <Override PartName="/customXml/itemProps4.xml" ContentType="application/vnd.openxmlformats-officedocument.customXm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6.xml" ContentType="application/vnd.openxmlformats-officedocument.customXmlProperties+xml"/>
  <Override PartName="/docProps/custom.xml" ContentType="application/vnd.openxmlformats-officedocument.custom-properties+xml"/>
  <Override PartName="/customXml/itemProps7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idbg-my.sharepoint.com/personal/katias_iadb_org/Documents/Docs/ANALISTA DE OPERAÇÕES/Especialistas/João Fernandes/BR-L1327 - EDU Pará/Aquisições/"/>
    </mc:Choice>
  </mc:AlternateContent>
  <xr:revisionPtr revIDLastSave="12" documentId="8_{6B63F566-BA4D-4E5B-9E5D-E51BA4321545}" xr6:coauthVersionLast="40" xr6:coauthVersionMax="43" xr10:uidLastSave="{2A566A70-0DBF-4210-BBAB-F128BCD16042}"/>
  <bookViews>
    <workbookView xWindow="0" yWindow="0" windowWidth="19200" windowHeight="6270" tabRatio="757" xr2:uid="{00000000-000D-0000-FFFF-FFFF00000000}"/>
  </bookViews>
  <sheets>
    <sheet name="PA - REVISÃO 11" sheetId="8" r:id="rId1"/>
  </sheets>
  <externalReferences>
    <externalReference r:id="rId2"/>
  </externalReferences>
  <definedNames>
    <definedName name="_xlnm._FilterDatabase" localSheetId="0" hidden="1">'PA - REVISÃO 11'!$B$153:$Q$175</definedName>
    <definedName name="capacitacao">'[1]Detalhes Plano de Aquisições'!$E$99:$E$107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34" i="8" l="1"/>
  <c r="G175" i="8" l="1"/>
  <c r="H146" i="8"/>
  <c r="H63" i="8" l="1"/>
  <c r="H60" i="8"/>
  <c r="H30" i="8" l="1"/>
  <c r="G173" i="8" l="1"/>
  <c r="G172" i="8" l="1"/>
  <c r="G165" i="8"/>
  <c r="G168" i="8"/>
  <c r="H133" i="8"/>
  <c r="H89" i="8" l="1"/>
  <c r="H52" i="8"/>
  <c r="I52" i="8" s="1"/>
  <c r="J52" i="8" l="1"/>
  <c r="G170" i="8"/>
  <c r="G171" i="8" l="1"/>
  <c r="G167" i="8"/>
  <c r="G166" i="8"/>
  <c r="G164" i="8"/>
  <c r="G163" i="8"/>
  <c r="G162" i="8"/>
  <c r="G161" i="8"/>
  <c r="G160" i="8"/>
  <c r="G159" i="8"/>
  <c r="G158" i="8"/>
  <c r="G157" i="8"/>
  <c r="G156" i="8"/>
  <c r="G155" i="8"/>
  <c r="H138" i="8"/>
  <c r="H131" i="8"/>
  <c r="H125" i="8"/>
  <c r="H110" i="8"/>
  <c r="H109" i="8"/>
  <c r="H108" i="8"/>
  <c r="H107" i="8"/>
  <c r="H106" i="8"/>
  <c r="H105" i="8"/>
  <c r="H93" i="8"/>
  <c r="H92" i="8"/>
  <c r="H91" i="8"/>
  <c r="H90" i="8"/>
  <c r="H88" i="8"/>
  <c r="H87" i="8"/>
  <c r="H86" i="8"/>
  <c r="H84" i="8"/>
  <c r="H83" i="8"/>
  <c r="H78" i="8"/>
  <c r="H77" i="8"/>
  <c r="H74" i="8"/>
  <c r="H73" i="8"/>
  <c r="E67" i="8"/>
  <c r="H54" i="8"/>
  <c r="H49" i="8"/>
  <c r="H48" i="8"/>
  <c r="H46" i="8"/>
  <c r="H38" i="8"/>
</calcChain>
</file>

<file path=xl/sharedStrings.xml><?xml version="1.0" encoding="utf-8"?>
<sst xmlns="http://schemas.openxmlformats.org/spreadsheetml/2006/main" count="1416" uniqueCount="515">
  <si>
    <t>OBRAS</t>
  </si>
  <si>
    <t>Previsto</t>
  </si>
  <si>
    <t>Rechazo de Ofertas</t>
  </si>
  <si>
    <t>Contrato Terminado</t>
  </si>
  <si>
    <t>Componente 1</t>
  </si>
  <si>
    <t>Componente 2</t>
  </si>
  <si>
    <t>Componente 3</t>
  </si>
  <si>
    <t>Componente 4</t>
  </si>
  <si>
    <t>Ex-Post</t>
  </si>
  <si>
    <t>Ex-Ante</t>
  </si>
  <si>
    <t>Sistema Nacional</t>
  </si>
  <si>
    <t>Descrição adicional:</t>
  </si>
  <si>
    <t>Licitação Pública Nacional </t>
  </si>
  <si>
    <t>Licitação Pública Internacional por Lotes </t>
  </si>
  <si>
    <t>Processo Cancelado</t>
  </si>
  <si>
    <t>ReLicitação</t>
  </si>
  <si>
    <t>Declaração de Licitação Deserta</t>
  </si>
  <si>
    <t>Processo em curso</t>
  </si>
  <si>
    <t>Licitação Pública Internacional em 2 etapas </t>
  </si>
  <si>
    <t>Licitação Pública Internacional com Precalificación</t>
  </si>
  <si>
    <t>Quantidade de Lotes:</t>
  </si>
  <si>
    <t>Número de Processo:</t>
  </si>
  <si>
    <t xml:space="preserve">Montante Estimado </t>
  </si>
  <si>
    <t>Montante Estimado % BID:</t>
  </si>
  <si>
    <t>Montante Estimado em US$:</t>
  </si>
  <si>
    <t>Montante Estimado % Contrapartida:</t>
  </si>
  <si>
    <t>Categoria de Investimento:</t>
  </si>
  <si>
    <t>Método de Revisão (Selecionar uma das opções):</t>
  </si>
  <si>
    <t>Assinatura do Contrato</t>
  </si>
  <si>
    <t>BENS</t>
  </si>
  <si>
    <t>Unidade Executora:</t>
  </si>
  <si>
    <t>SERVIÇOS QUE NÃO SÃO DE CONSULTORIA</t>
  </si>
  <si>
    <t>CONSULTORIAS FIRMAS</t>
  </si>
  <si>
    <t>Número do Processo:</t>
  </si>
  <si>
    <t>Não Objeção aos  TDR da Atividade</t>
  </si>
  <si>
    <t>Quantidade Estimada de Consultores:</t>
  </si>
  <si>
    <t>CONSULTORIAS INDIVIDUAL</t>
  </si>
  <si>
    <t>CAPACITAÇÃO</t>
  </si>
  <si>
    <t>SUBPROJETOS</t>
  </si>
  <si>
    <t>Objeto da Transferencia:</t>
  </si>
  <si>
    <t>Quantidade Estimada de Subprojetos:</t>
  </si>
  <si>
    <t>Assinatura do Contrato/ Convênio por Adjudicação dos Subprojetos</t>
  </si>
  <si>
    <t>Data de 
Transferencia</t>
  </si>
  <si>
    <t>Comentários</t>
  </si>
  <si>
    <t>INFORMAÇÃO PARA PREENCHIMENTO INICIAL DO PLANO DE AQUISIÇÕES (EM CURSO E/OU ÚLTIMO APRESENTADO)</t>
  </si>
  <si>
    <t>Licitação Pública Internacional sem Pré-qualificação</t>
  </si>
  <si>
    <t>Seleção Baseada na Qualidade </t>
  </si>
  <si>
    <t>Seleção Baseada na Qualificação do Consultor (SQC)</t>
  </si>
  <si>
    <t>Seleção Baseado em Orçamento Fixo</t>
  </si>
  <si>
    <t>Numero PRISM</t>
  </si>
  <si>
    <t>Status</t>
  </si>
  <si>
    <t>Revisão/Supervisão</t>
  </si>
  <si>
    <t xml:space="preserve">Metodos </t>
  </si>
  <si>
    <t>Bens, obras e Serviços</t>
  </si>
  <si>
    <t>Consultoria Individual</t>
  </si>
  <si>
    <t>Contrato em Execução</t>
  </si>
  <si>
    <t>Comentários - para Sistema Nacional incluir método de Seleção</t>
  </si>
  <si>
    <t>Consultoria firmas</t>
  </si>
  <si>
    <t>Publicação  Manifestação de Interesse</t>
  </si>
  <si>
    <t xml:space="preserve"> Publicação  Manifestação de Interesse</t>
  </si>
  <si>
    <t>BRASIL</t>
  </si>
  <si>
    <t xml:space="preserve">PLANO DE AQUISIÇÕES (PA) - 18 MESES </t>
  </si>
  <si>
    <t>Assinatura Contrato</t>
  </si>
  <si>
    <t>Objeto</t>
  </si>
  <si>
    <t>Datas Estimadas</t>
  </si>
  <si>
    <t>Unidade Executora*</t>
  </si>
  <si>
    <t>Objeto*</t>
  </si>
  <si>
    <t>Montante Estimado *</t>
  </si>
  <si>
    <t>Método de Revisão (Selecionar uma das opções):*</t>
  </si>
  <si>
    <t>Datas Estimadas*</t>
  </si>
  <si>
    <t>*: Campos obrigatorios</t>
  </si>
  <si>
    <t>Publicação do Anúncio/Convite</t>
  </si>
  <si>
    <t>Contratação Direta (CD)</t>
  </si>
  <si>
    <t>Sistema Nacional (SN)</t>
  </si>
  <si>
    <t>Licitação Pública Internacional (LPI)</t>
  </si>
  <si>
    <t>Comparação de Preços (CP)</t>
  </si>
  <si>
    <t>Ata de registro de preços</t>
  </si>
  <si>
    <t>Seleção Baseada na Qualidade e Custo (SBQC)</t>
  </si>
  <si>
    <t>Seleção Baseada no Menor Custo (SBMC) </t>
  </si>
  <si>
    <t>Licitação Limitada Internacional  (LLI)</t>
  </si>
  <si>
    <t xml:space="preserve">Comparação de Qualificações (3 CV's) </t>
  </si>
  <si>
    <t>Programa de Melhoria da Qualidade e Expansão da Cobertura da Educação Básica do Estado do Pará</t>
  </si>
  <si>
    <t>Contrato de Empréstimo: 2933/OC-BR</t>
  </si>
  <si>
    <t>Atualizado por: Escritório de Projetos/Gabinete SEDUC-PA</t>
  </si>
  <si>
    <t>Escritorio de Projetos</t>
  </si>
  <si>
    <t>Alterações: Indicar em vermelho as alterações feitas nas aquisições já constantes do PA</t>
  </si>
  <si>
    <t>Inclusões: Indicar em azul as aquisições agora incluídas no PA</t>
  </si>
  <si>
    <t>Cancelamentos: indicar em verde os cancelamentos das aquisições constantes do PA</t>
  </si>
  <si>
    <t>Escritório de Projetos</t>
  </si>
  <si>
    <t>Contratar empresa de engenharia para realizar 09 obras na Região  do Baixo Tocantins, Metropolitana e Salgado do Estado - Lote 04</t>
  </si>
  <si>
    <t>Contratar empresa de engenharia para realizar 11 obras na Região do Sul do Pará - Lote 06</t>
  </si>
  <si>
    <t>Contratar empresa de engenharia para realizar 12 obras na Região da Transamazônica e Baixo amazonas do Estado - Lote 05</t>
  </si>
  <si>
    <t>Contratar empresa de engenharia para realizar 16 obras na Região Metropolitana e Marajó do Estado - Lote 01</t>
  </si>
  <si>
    <t>Contratar empresa de engenharia para realizar 18 obras na Região Metropolitana  e Marajó do Estado - Lote 02</t>
  </si>
  <si>
    <t>Contratar empresa de engenharia para realizar 20 obras na Região  do Salgado e Nordeste do Estado - Lote 03</t>
  </si>
  <si>
    <t>Contratar empresa para execução de obras - 12 escolas</t>
  </si>
  <si>
    <t>Contratar empresa para execução de obras - 7 escolas</t>
  </si>
  <si>
    <t>Contratar empresa de engenharia para realizar 14 obras na Região Nordeste do Estado - Lote 07</t>
  </si>
  <si>
    <t>Contratar empresa de engenharia para realizar 17 (Dezessete) obras na Região do Marajó do Estado - Lote 08</t>
  </si>
  <si>
    <t>Contratar empresa de engenharia para realizar 26 obras na Região Sul do Estado - Lote 09</t>
  </si>
  <si>
    <r>
      <t xml:space="preserve">1 US$ = </t>
    </r>
    <r>
      <rPr>
        <b/>
        <sz val="11"/>
        <color rgb="FFFF0000"/>
        <rFont val="Calibri"/>
        <family val="2"/>
        <scheme val="minor"/>
      </rPr>
      <t/>
    </r>
  </si>
  <si>
    <t>Aquisição de equipamentos e utensílios para as unidades escolares   - ESCOLAS NOVAS</t>
  </si>
  <si>
    <t>Aquisição de equipamentos de informática para reestruturação do DATACENTER</t>
  </si>
  <si>
    <t xml:space="preserve">Aquisição de equipamentos e mobiliário para as unidades administrativas </t>
  </si>
  <si>
    <t>Aquisição de mobiliário para as  escolas novas</t>
  </si>
  <si>
    <t>Aquisição de equipamentos e utensílios para as  escolas novas</t>
  </si>
  <si>
    <t>Aquisição de equipamentos e utensílios para as unidades escolares - REFORMADAS</t>
  </si>
  <si>
    <t>Aquisição de materiais esportivos para unidades escolares</t>
  </si>
  <si>
    <t>Aquisição de equipamentos para laboratórios multidisciplinares (biologia, quimica, física e matemática)</t>
  </si>
  <si>
    <t>Aquisição de mobiliário e equipamentos para as TELE SALAS</t>
  </si>
  <si>
    <t>Aquisição de equipamentos informáticos (Notebook  para os Supervisores Escolares, orientadores de ensino, e lideres de projetos</t>
  </si>
  <si>
    <t>Aquisição de  equipamentos e sofwtare para as atividades do Núcleo de Estatistica e Avaliação (SISPAE)</t>
  </si>
  <si>
    <t>Equipamentos e materiais (datashow, caixa amplificadora, microfone...) para as atividades de formação dos projetos</t>
  </si>
  <si>
    <t>Equipamentos para o Escritório de Projetos</t>
  </si>
  <si>
    <t>-</t>
  </si>
  <si>
    <t>750996/2014</t>
  </si>
  <si>
    <t>915778/2015</t>
  </si>
  <si>
    <r>
      <t xml:space="preserve">Método 
</t>
    </r>
    <r>
      <rPr>
        <i/>
        <sz val="10"/>
        <color indexed="9"/>
        <rFont val="Calibri"/>
        <family val="2"/>
        <scheme val="minor"/>
      </rPr>
      <t>(Selecionar uma das Opções)</t>
    </r>
    <r>
      <rPr>
        <sz val="10"/>
        <color indexed="9"/>
        <rFont val="Calibri"/>
        <family val="2"/>
        <scheme val="minor"/>
      </rPr>
      <t>:*</t>
    </r>
  </si>
  <si>
    <t>BRB2815; BRB2814; BRB 2884</t>
  </si>
  <si>
    <t>BRB2739</t>
  </si>
  <si>
    <t>Contratar empresa especializada para supervisão de 17 obras de Engenharia na Região do Marajó do Estado - Lote 08</t>
  </si>
  <si>
    <t>Contratar empresa especializada para supervisão de 26 obras de Engenharia na Região Sul do Estado - Lote 09</t>
  </si>
  <si>
    <t>Impressao e distribuicao de materiais didaticos alunos beneficiados com projeto de aceleraçao de aprendizagem. (FRM)</t>
  </si>
  <si>
    <t>Contratar empresa especializada para diagramação, impressão de material didático do Projeto Aprender Mais (Reforço Escolar)</t>
  </si>
  <si>
    <t>Contratar empresa especializada para distribuir materiais didáticos do Projeto Aprender Mais (Reforço Escolar)</t>
  </si>
  <si>
    <t>Contratar empresa especializada para organizar, diagramar os módulos dos cadernos do 4º e 5º ano do Projeto Aprender Mais (Reforço Escolar)</t>
  </si>
  <si>
    <t>Contratar Serviços de Aulas de Recuperação de Conteúdos para melhorar o desempenho escolar. (Reforço Escolar)</t>
  </si>
  <si>
    <t>Contratar empresa especializada  para prestar serviços de infraestrutura para capacitação</t>
  </si>
  <si>
    <t>Contratar empresa especializada para aplicação de Avaliação Educacional em larga Escala SisPAE (2013)</t>
  </si>
  <si>
    <t>Contratar empresa especializada para recadastramentos de servidores</t>
  </si>
  <si>
    <t>Contratar empresa especializada para prestar serviços para operacionalização do Sistema de Ensino Interativo</t>
  </si>
  <si>
    <t>Contratar empresa especializada para a avaliação ex-post de obras</t>
  </si>
  <si>
    <t>Contratação de agente de integração para atividades de Recuperação de Conteúdos (Reforço Escolar)</t>
  </si>
  <si>
    <t>Pregão Eletrônico</t>
  </si>
  <si>
    <t>791998/2014</t>
  </si>
  <si>
    <t>758391/2014; 758329/2014</t>
  </si>
  <si>
    <t>911797/2015; 911791/2015</t>
  </si>
  <si>
    <t>679410/2013</t>
  </si>
  <si>
    <t>956250/2015</t>
  </si>
  <si>
    <t>BR3072
BR3073</t>
  </si>
  <si>
    <t>Contratar empresa de engenharia para elaboração de projetos executivos de 14 (Quatorze) obras na Região Nordeste do Estado - Lote 07</t>
  </si>
  <si>
    <t>Contratar empresa de engenharia para elaboração de projetos executivos de 17 (Dezessete) obras na Região do Marajó do Estado - Lote 08</t>
  </si>
  <si>
    <t>Contratar empresa de engenharia para elaboração de projetos executivos de 24 (Vinte e Quatro) obras na Região Sul do Estado - Lote 09</t>
  </si>
  <si>
    <t>Contratar empresa especializada para supervisão de 14 obras de Engenharia na Região Nordeste do Estado - Lote 07</t>
  </si>
  <si>
    <t>797098/2014</t>
  </si>
  <si>
    <t>677136/2013</t>
  </si>
  <si>
    <t>797102/2014</t>
  </si>
  <si>
    <t>909481/2015</t>
  </si>
  <si>
    <t>953132/2015</t>
  </si>
  <si>
    <t>Contratar empresa de engenharia para elaboração de projetos executivos de 16 (Dezesseis) obras na Região Metropolitana e Marajó do Estado - Lote 01</t>
  </si>
  <si>
    <t>Contratar empresa de engenharia para elaboração de projetos executivos de 18 (dezoito) obras na Região Metropolitana do Estado e Marajó - Lote 02</t>
  </si>
  <si>
    <t>Contratar empresa de engenharia para elaboração de projetos executivos de 20 (Vinte) obras na Região  do Salgado e Nordeste do Estado - Lote 03</t>
  </si>
  <si>
    <t>Contratar empresa de engenharia para elaboração de projetos executivos de 12 (Doze) obras na Região da Transamazônica e Baixo amazonas do Estado - Lote 05</t>
  </si>
  <si>
    <t>Contratar empresa de engenharia para elaboração de projetos executivos de 11 obras na Região do Sul do Pará - Lote 06</t>
  </si>
  <si>
    <t>Contratar empresa para supervisão de obras - 13 escolas</t>
  </si>
  <si>
    <t>Contratar empresa para supervisão de obras - 14 escolas</t>
  </si>
  <si>
    <t>Contratar empresa para supervisão de obras - 8 escolas</t>
  </si>
  <si>
    <t>Contratar empresa para supervisão de obras - 15 escolas</t>
  </si>
  <si>
    <t>Contratar empresa para supervisão de obras - 7 escolas</t>
  </si>
  <si>
    <t>Contratar empresa especializada para supervisão de 18 obras de Engenharia na Região Metropolitana do Estado - Lote 02</t>
  </si>
  <si>
    <t>Contratar empresa especializada para supervisão de 20 obras de Engenharia na Região do Baixo Amazônas do Estado - Lote 03</t>
  </si>
  <si>
    <t>Contratar empresa especializada para supervisão de 09 obras de Engenharia na Região do Salgado do Estado - Lote 04</t>
  </si>
  <si>
    <t>Contratar empresa especializada para supervisão de 12 obras de Engenharia na Região do Tocantins do Estado - Lote 05</t>
  </si>
  <si>
    <t>Contratar empresa especializada para supervisão de 11 obras de Engenharia da  Região da Transamazônica  - Lote 06</t>
  </si>
  <si>
    <t>Contratar empresa especializada para supervisão de 16 obras de Engenharia no Estado do Estado - Lote 01</t>
  </si>
  <si>
    <t>Serviços de coordenaçao e implantaçao de projeto de aceleraçao da aprendizagem - Fundaçao Roberto Marinho.</t>
  </si>
  <si>
    <t>Contratar empresa especializada para elaboração de prova diagnóstica para o Projeto Aprender Mais</t>
  </si>
  <si>
    <t>Contratar empresa especializada para desenho de programa de formação em desempenho de habilidades socioemocionais</t>
  </si>
  <si>
    <t>Contratar empresa especializada de Consultoria para desenho dos macroprocessos do CEFOR</t>
  </si>
  <si>
    <t>Contratar empresa especializada de Consultoria para desenho modelo Coaching</t>
  </si>
  <si>
    <t>Consultoria para revisão de modelo de contratação, alocação e avaliação de docentes</t>
  </si>
  <si>
    <t>Desenvolvimento de um plano de Capacitaçao de docentes, gestores e técnicos a partir dos dados do SISPAE</t>
  </si>
  <si>
    <t>Contratação de Empresa de Apoio ao Gerenciamento do Projeto</t>
  </si>
  <si>
    <t>Contratação de Empresa para aprimorar a capacidade de gestão do Escritorio de Projetos</t>
  </si>
  <si>
    <t>Contratação de Empresa para desenvolver metodologia e material para continuidade do projeto Mundiar e auxílio na implantação e monitoramento</t>
  </si>
  <si>
    <t>Contratação de Empresa para desenhar monitoramento do PNAIC e avaliar implantação</t>
  </si>
  <si>
    <t>Contratação de Empresa para realização de pesquisa sobre o Ensino Médio</t>
  </si>
  <si>
    <t>BR11144</t>
  </si>
  <si>
    <t>BR11145</t>
  </si>
  <si>
    <t>BR11146</t>
  </si>
  <si>
    <t>BR11142</t>
  </si>
  <si>
    <t>BR11141</t>
  </si>
  <si>
    <t>BR11143</t>
  </si>
  <si>
    <t>Contrataçao de Consultorias Individuais para desenho e/ou apoio a implementação de atividades nos Projetos do Componente</t>
  </si>
  <si>
    <t>Contrataçao de consultor para apoiar as atividades do SISPAE</t>
  </si>
  <si>
    <t>Consultoria para desenho de painel de indicadores de monitoramento para SEDUC, UREs/USEs e escola.</t>
  </si>
  <si>
    <t>Contratação de consultoria para desenho da Avaliação</t>
  </si>
  <si>
    <t>Contrataçao de Consultorias Individuais para desenho e/ou apoio à implementação de atividades nos Projetos do Componente</t>
  </si>
  <si>
    <t>Contratação de consultoria para modelagem do sistema financeiro-contabil do Projeto</t>
  </si>
  <si>
    <t>Contratação de 2 consultores individuais para suporte à implementação do sistema de gestão do Projeto</t>
  </si>
  <si>
    <t>Contratação de 5 consultores individuais para suporte ao Projeto</t>
  </si>
  <si>
    <t>Contrataçao de Consultoria Individual para desenho e/ou apoio a implementação de atividades nos Projetos do Componente</t>
  </si>
  <si>
    <t>BR10630</t>
  </si>
  <si>
    <t>BR11014</t>
  </si>
  <si>
    <t>BR11013</t>
  </si>
  <si>
    <t>BR11363
BR11364
BR11365</t>
  </si>
  <si>
    <t>BR10628
-</t>
  </si>
  <si>
    <t>BR11367</t>
  </si>
  <si>
    <t>914465/2015
-</t>
  </si>
  <si>
    <t>793597/2014</t>
  </si>
  <si>
    <t>840621/2014</t>
  </si>
  <si>
    <t>844476/2014</t>
  </si>
  <si>
    <t>953617/2015</t>
  </si>
  <si>
    <t>793597/2014
-</t>
  </si>
  <si>
    <t>837391/2014
997184/2016</t>
  </si>
  <si>
    <t>Capacitaçao de docentes e técnicos</t>
  </si>
  <si>
    <t>Capacitação de gestores escolares</t>
  </si>
  <si>
    <t>Capacitação de educadores do Projeto Aprender Mais (Reforço Escolar)</t>
  </si>
  <si>
    <t>jun-15
jun-16</t>
  </si>
  <si>
    <t>set-15
ago-16</t>
  </si>
  <si>
    <t>mai-15
jul-16</t>
  </si>
  <si>
    <t>mar-15
mar-15
fev-16
jun-16
jun-16</t>
  </si>
  <si>
    <t>mai-15
mai-15
fev-16
jul-16
jul-16</t>
  </si>
  <si>
    <t>841407/2014</t>
  </si>
  <si>
    <t>Contratar empresa especializada para fornecimento de passagens e hospedagem</t>
  </si>
  <si>
    <t>Contratar empresa especializada de fornecimento de passagens para atender as necessidades do Projeto</t>
  </si>
  <si>
    <t>ago-14
ago-16</t>
  </si>
  <si>
    <t>(PTAX compra 03/06/2016)</t>
  </si>
  <si>
    <t>3.13</t>
  </si>
  <si>
    <t>3.14</t>
  </si>
  <si>
    <t>Google Apps for Education</t>
  </si>
  <si>
    <t>Consultoria para desenho e implementação da Educação de Tempo Integral</t>
  </si>
  <si>
    <t>2.14</t>
  </si>
  <si>
    <t>2.15</t>
  </si>
  <si>
    <t>Aprender Mais (EF e EM) e PNAIC - Impressão de material para aluno</t>
  </si>
  <si>
    <t>3.15</t>
  </si>
  <si>
    <t>CEFOR - Execução de formações de professores</t>
  </si>
  <si>
    <t>6.1</t>
  </si>
  <si>
    <t>3.16</t>
  </si>
  <si>
    <t>Projeto Mundiar - Aquisição de material didático para alunos</t>
  </si>
  <si>
    <t>3.17</t>
  </si>
  <si>
    <t>1.1</t>
  </si>
  <si>
    <t>1.2</t>
  </si>
  <si>
    <t>1.3</t>
  </si>
  <si>
    <t>1.4</t>
  </si>
  <si>
    <t>1.5</t>
  </si>
  <si>
    <t>1.6</t>
  </si>
  <si>
    <t>1.7</t>
  </si>
  <si>
    <t>1.8</t>
  </si>
  <si>
    <t>1025871/2016</t>
  </si>
  <si>
    <t>LPN 02/2016</t>
  </si>
  <si>
    <t>Contratar empresa para execução de obras  - 5 escolas</t>
  </si>
  <si>
    <t>LPN 01/2017 (Obras)</t>
  </si>
  <si>
    <t>LPN 02/2017 (Obras)</t>
  </si>
  <si>
    <t>LPN 03/2017 (Obras)</t>
  </si>
  <si>
    <t>LPN 04/2017 (Obras)</t>
  </si>
  <si>
    <t>1066709/2016</t>
  </si>
  <si>
    <t>LPN 03/2016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</si>
  <si>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</si>
  <si>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</si>
  <si>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</si>
  <si>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</si>
  <si>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</si>
  <si>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</si>
  <si>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</si>
  <si>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</si>
  <si>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</si>
  <si>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Dois TRs: (i) equipamentos e (ii) infraestrutura</t>
  </si>
  <si>
    <t>969451/2016</t>
  </si>
  <si>
    <t>2.16</t>
  </si>
  <si>
    <t>2.10</t>
  </si>
  <si>
    <t>2.11</t>
  </si>
  <si>
    <t>2.12</t>
  </si>
  <si>
    <t>2.13</t>
  </si>
  <si>
    <t>1025886/2016</t>
  </si>
  <si>
    <t>SIEBE - Aquisição de mobiliário (material permanente) para 123 escolas</t>
  </si>
  <si>
    <t>986257/2016</t>
  </si>
  <si>
    <t>813856/2014; 853868; 853878; 853884; 854193; 854957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</si>
  <si>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</si>
  <si>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</si>
  <si>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</si>
  <si>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</si>
  <si>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</si>
  <si>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</si>
  <si>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</si>
  <si>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</si>
  <si>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</si>
  <si>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</si>
  <si>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</si>
  <si>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</si>
  <si>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(i) 5
(ii) 1</t>
  </si>
  <si>
    <t>1031569/2016</t>
  </si>
  <si>
    <t>1075302/2016</t>
  </si>
  <si>
    <t>Contrato 084/2015 - SEDUC</t>
  </si>
  <si>
    <t>Serviços incluídos na linha 2.13</t>
  </si>
  <si>
    <t>Contrato 093/2016 - SEDUC</t>
  </si>
  <si>
    <t>BR11619</t>
  </si>
  <si>
    <t>1033584/2016</t>
  </si>
  <si>
    <t>Contrato 097/2016 - SEDUC</t>
  </si>
  <si>
    <t>Segunda fase, a iniciar após o término de 3.10</t>
  </si>
  <si>
    <t>1071378/2017</t>
  </si>
  <si>
    <t>Componentes 2 e 3</t>
  </si>
  <si>
    <t>Componentes 1, 2, 3 e 4</t>
  </si>
  <si>
    <t>BRB2813; BRB2741; BRB2740; BR106657; BR106656; BR10660</t>
  </si>
  <si>
    <t>BR10631</t>
  </si>
  <si>
    <t>Contratar empresa de engenharia para elaboração de p. executivos de 09 (nove) obras na Região  do Baixo Tocantins, Metropolitana e Salgado do Estado - Lote 04</t>
  </si>
  <si>
    <t>Contrato 086/2014 - SEDUC</t>
  </si>
  <si>
    <t>Contrato 085/2014 - SEDUC</t>
  </si>
  <si>
    <t>Contrato 087/2014 - SEDUC</t>
  </si>
  <si>
    <t>Contrato 088/2014 - SEDUC</t>
  </si>
  <si>
    <t>Contrato 089/2014 - SEDUC</t>
  </si>
  <si>
    <t>Contrato 090/2014 - SEDUC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</si>
  <si>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</si>
  <si>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</si>
  <si>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</si>
  <si>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</si>
  <si>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</si>
  <si>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</si>
  <si>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</si>
  <si>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</si>
  <si>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</si>
  <si>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</si>
  <si>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</si>
  <si>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</si>
  <si>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</si>
  <si>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</si>
  <si>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Redistribuída entre as linhas 4.7 a 4.11</t>
  </si>
  <si>
    <t>Para LPN 02/2017 (Obras)
Linha 1.7</t>
  </si>
  <si>
    <t>Para LPN 02/2017 (Obras)
Linha 1.5</t>
  </si>
  <si>
    <t>Para LPN 02/2017 (Obras)
Linha 1.6</t>
  </si>
  <si>
    <t>4.15</t>
  </si>
  <si>
    <t>Contrato 004/2014 - SEDUC</t>
  </si>
  <si>
    <t>BR10659</t>
  </si>
  <si>
    <t>4.16</t>
  </si>
  <si>
    <t>4.17</t>
  </si>
  <si>
    <t>4.18</t>
  </si>
  <si>
    <t>Cancelada devido à não seleção de professores pela SEDUC</t>
  </si>
  <si>
    <t>Componente/
Categoria:*</t>
  </si>
  <si>
    <t>Cancelada devido à incorporação ao projeto de Educação Integral</t>
  </si>
  <si>
    <t>BR10862</t>
  </si>
  <si>
    <t>Contrato 163/2015 - SEDUC</t>
  </si>
  <si>
    <t>4.20</t>
  </si>
  <si>
    <t>4.21</t>
  </si>
  <si>
    <t>4.22</t>
  </si>
  <si>
    <t>4.23</t>
  </si>
  <si>
    <t>4.24</t>
  </si>
  <si>
    <t>4.25</t>
  </si>
  <si>
    <t>4.26</t>
  </si>
  <si>
    <t>4.27</t>
  </si>
  <si>
    <t>Macroprocessos: Consultoria para redesenho de processos e fluxos - modelo organizacional e fluxos</t>
  </si>
  <si>
    <t>Remoção do escopo: recadastramento de servidores.</t>
  </si>
  <si>
    <t>BR11669</t>
  </si>
  <si>
    <t>Contrato 098/2016 - SEDUC</t>
  </si>
  <si>
    <t>BR11241</t>
  </si>
  <si>
    <t>Contrato 001/2016 - SEDUC</t>
  </si>
  <si>
    <t>SEDUC deverá definir a metodologia para continuidade do projeto</t>
  </si>
  <si>
    <t>1026118/2016</t>
  </si>
  <si>
    <t>Contrato 118/2016 - SEDUC</t>
  </si>
  <si>
    <t>1059340/2016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</si>
  <si>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</si>
  <si>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</si>
  <si>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</si>
  <si>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</si>
  <si>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</si>
  <si>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</si>
  <si>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</si>
  <si>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</si>
  <si>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</si>
  <si>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BR11186
BR11618</t>
  </si>
  <si>
    <t>mar-15
jun-16</t>
  </si>
  <si>
    <t>BR11011
BR11668</t>
  </si>
  <si>
    <t>BR11015
BR11012
BR11366
BR11614
BR11612</t>
  </si>
  <si>
    <t>Contratação de 4 consultores individuais para suporte ao Programa no âmbito da Secretaria Adjunta de Logística Escolar (SALE)</t>
  </si>
  <si>
    <t>Contratação de consultor individual para apoiar a Secretaria Adjunta de Logística Escolar (SALE) na implantação e operação da gestão eletrônica de documentos e controle do fluxo de processos (workflow) e comunicação corporativa</t>
  </si>
  <si>
    <t>6.2</t>
  </si>
  <si>
    <t>6.3</t>
  </si>
  <si>
    <t>5.10</t>
  </si>
  <si>
    <t>5.11</t>
  </si>
  <si>
    <t>5.12</t>
  </si>
  <si>
    <t>5.13</t>
  </si>
  <si>
    <t>Equipamentos para o Escritório de Projetos - Datashow, telefonia, hd externo</t>
  </si>
  <si>
    <t>5.14</t>
  </si>
  <si>
    <t>1058372/2016</t>
  </si>
  <si>
    <t>2.17</t>
  </si>
  <si>
    <t>Confecção de camisas com serigrafia com policromia - Projeto Aprender Mais - EF (equipe ténica) e EM (equipe técnica e estagiários)</t>
  </si>
  <si>
    <t>Quantidade: 1000</t>
  </si>
  <si>
    <t>Contratar empresa especializada para prestar serviços graficos e materiais promocionais para a gestão do Programa em geral</t>
  </si>
  <si>
    <t>Ex-ante</t>
  </si>
  <si>
    <t>Cálculo referencial 9650 prof x 30 horas por empresa</t>
  </si>
  <si>
    <t>SEI - Aquisição de equipamentos para centro de mídias e salas polo do Sistema de Ensino Interativo</t>
  </si>
  <si>
    <t>Contratar empresa para execução de obras - 12 escolas + Restaurante SEDUC</t>
  </si>
  <si>
    <t>Serviços incluídos na linha 3.18</t>
  </si>
  <si>
    <t>Serviços incluídos na linha 3.19</t>
  </si>
  <si>
    <t>Contratar empresa para execução de obras - Sede da SEDUC</t>
  </si>
  <si>
    <t>1.9</t>
  </si>
  <si>
    <t>2.18</t>
  </si>
  <si>
    <t>2.19</t>
  </si>
  <si>
    <t>2.20</t>
  </si>
  <si>
    <t>5.15</t>
  </si>
  <si>
    <t>Redistribuída entre as linhas 1.4 a 1.7 E 1.9</t>
  </si>
  <si>
    <t>Sistema Educacional Interativo - SEI: Plataforma TV Interativa - Centro Mídias</t>
  </si>
  <si>
    <t>2.21</t>
  </si>
  <si>
    <t>2.22</t>
  </si>
  <si>
    <t>Contratar empresa especializada para prestar serviços de telecom para atender o Sistema de Ensino Interativo - SEI, com provisão de antenas</t>
  </si>
  <si>
    <t>Reelaborado da linha 2.13 - Serviços</t>
  </si>
  <si>
    <t>Comp. 2 e 3 - Distribuição de material didático e equipamentos tempo integral - PJF PNAIC - CEFOR</t>
  </si>
  <si>
    <t xml:space="preserve">867157/2015
867157/2015
953617/2015
</t>
  </si>
  <si>
    <t>Contratação de 04 consultores individuais para Supervisão da Obras - LPN 03/2016 - Engenheiros</t>
  </si>
  <si>
    <t>4.28</t>
  </si>
  <si>
    <t>4.29</t>
  </si>
  <si>
    <t>Contratação de consultor individual para desenvolver proposta de funcionamento do SEI: Plano de Gestão Addministrativa e Pedagógica</t>
  </si>
  <si>
    <t>4.30</t>
  </si>
  <si>
    <t>Contratação de empresa para realização de consultoria em economia da educação, com foco na análise das receitas e despesas da SEDUC</t>
  </si>
  <si>
    <t>Centrais de Ar  Condicionado/Equipamentos/Mobiliários - SEDE/Restaurante</t>
  </si>
  <si>
    <t>4.31</t>
  </si>
  <si>
    <t>Contratação de 04 consultores individuais para suporte ao Programa no âmbito do Escritório de Projetos - Componente 2 -3</t>
  </si>
  <si>
    <t>Contratação de 2 consultores individuais para suporte ao Programa no âmbito da Secretaria Adjunta de Planejamento e Gestão (SAPG)</t>
  </si>
  <si>
    <t>Contrato Terminado
Cancelado</t>
  </si>
  <si>
    <t>Contratar empresa para execução de obras - 16 escolas</t>
  </si>
  <si>
    <t>Equipamentos Escolas - Centrais de Ar  Condicionado : Escolas</t>
  </si>
  <si>
    <t xml:space="preserve">Equipamentos/Mobiiários: Escolas  </t>
  </si>
  <si>
    <t>3.18</t>
  </si>
  <si>
    <t>Contratação de avaliação diagnóstica - Tempo Integral</t>
  </si>
  <si>
    <t>QEDU</t>
  </si>
  <si>
    <t>Equipamentos informática/tecnologia: Escolas</t>
  </si>
  <si>
    <t>5.16</t>
  </si>
  <si>
    <t>5.17</t>
  </si>
  <si>
    <t>(PTAX compra 30/05/2017)</t>
  </si>
  <si>
    <t>Contrataçao de Consultor Individual para desenho e/ou apoio a implementação de atividades nos Projetos do Componente</t>
  </si>
  <si>
    <t>Contratação de Consultor Individuail para suporte à implementação do sistema de gestão do Projeto</t>
  </si>
  <si>
    <t>Contratar empresa para execução de obras - 09 escolas</t>
  </si>
  <si>
    <t>Contratar empresa para execução de obras - 18 escolas</t>
  </si>
  <si>
    <t>Contrato em execução</t>
  </si>
  <si>
    <t>LPN 01/2018  (Obras)</t>
  </si>
  <si>
    <t>LPN 02/2018 (Obras)</t>
  </si>
  <si>
    <t>1092469/2017</t>
  </si>
  <si>
    <t>1120040/2017</t>
  </si>
  <si>
    <t>1126685/2017</t>
  </si>
  <si>
    <t>1146253/2017</t>
  </si>
  <si>
    <t>Aquisição de Conjunto de carteiras</t>
  </si>
  <si>
    <t>2.23</t>
  </si>
  <si>
    <t>896524/15</t>
  </si>
  <si>
    <t>2.24</t>
  </si>
  <si>
    <t>1134439/17 -- 1112257/17 - 1095013/17</t>
  </si>
  <si>
    <t>Aquisição de computadores e projetores</t>
  </si>
  <si>
    <t>Para LPN 01/2017 - LPN 02/2017 - LPN 03/3017 e Parte da LPN 04/217</t>
  </si>
  <si>
    <t>Contratar empresa para supervisão de obras - 34 Escolas + SEDE + Restaurante SEDE</t>
  </si>
  <si>
    <t>Processo cancelado</t>
  </si>
  <si>
    <t xml:space="preserve">1058368/2016 1071812/2016 </t>
  </si>
  <si>
    <t>Contratação de 2 consultores individuais para suporte ao Programa no âmbito da Secretaria Adjunta de Logística Escolar (SALE)</t>
  </si>
  <si>
    <t>Contratação dos 02 previstos e não contratados - Linha 5.11</t>
  </si>
  <si>
    <t>3.19</t>
  </si>
  <si>
    <t>Parte contratado e entregue - restante: Linha 3.19</t>
  </si>
  <si>
    <t>865043/15 - 1129335/17</t>
  </si>
  <si>
    <t>4.32</t>
  </si>
  <si>
    <t>Serviços de capacitação para continuidade do projeto de aceleraçao da aprendizagem - Fundaçao Roberto Marinho.</t>
  </si>
  <si>
    <t>Contrato Terminado Contrato Terminado</t>
  </si>
  <si>
    <t>Contrato Terminado Contrato Terminado Contrato Terminado</t>
  </si>
  <si>
    <t>Contrato Terminado Contrato Terminado Contrato Terminado Contrato Terminado</t>
  </si>
  <si>
    <t>Equipamentos/Mobiliários: Escolas e Unidades Administrativas</t>
  </si>
  <si>
    <t>3.20</t>
  </si>
  <si>
    <t>Contratar sistema de análise e utilização pedagógica dos dados da avaliação educacional, com formação dos professores para uso da ferramenta.</t>
  </si>
  <si>
    <t>1190172/2018</t>
  </si>
  <si>
    <t>1.10</t>
  </si>
  <si>
    <t>2.25</t>
  </si>
  <si>
    <t>Equipamento/Mobiliários - SEDE SEDUC</t>
  </si>
  <si>
    <t>Vários processos licitatórios</t>
  </si>
  <si>
    <t>Ata de registro de preços/Adesão</t>
  </si>
  <si>
    <t>TUNEDUC/Cancelado como serviços comum, a contratação configura-se como consultoria de firma</t>
  </si>
  <si>
    <t>Projetos Educacionais - Impressão de materiais didático-pedagógicos</t>
  </si>
  <si>
    <t xml:space="preserve">Contratação de empresa para realização de pesquisa para subsidiar a implantação do SEI </t>
  </si>
  <si>
    <t>4.33</t>
  </si>
  <si>
    <t>TUNEDUC/Criada em substituição Linha 3.20</t>
  </si>
  <si>
    <t xml:space="preserve">04 Trainees contratados </t>
  </si>
  <si>
    <t>Contratação concluída de 03 engenheiros - 4ª Seleção foi frustrada - 01 Contrato prorrogado</t>
  </si>
  <si>
    <t>5.18</t>
  </si>
  <si>
    <t>5.19</t>
  </si>
  <si>
    <t>Contratação de 03 consultores individuais - para viabilizar continuidade apoio à continuidade do Projeto Aprender Mais</t>
  </si>
  <si>
    <t>Contratação dos profissionais que atuaram e foram destaque no apoio ao Projeto</t>
  </si>
  <si>
    <t>Contratação de 01 consultor individual para realizar o registro de todas as etapas de contratação e elaboração de projetos executivos pelas consultoras contratadas e impactos nas execução das obras</t>
  </si>
  <si>
    <t>Registro importante para documentação do Programa e geração de subsídios ao BID.</t>
  </si>
  <si>
    <t>Aquisição de materiais pedagógicos para os projetos educacionais</t>
  </si>
  <si>
    <t>Instituto Tellus</t>
  </si>
  <si>
    <t>02 Consultores/Trainees contratados - 01 Contrato Prorrogado</t>
  </si>
  <si>
    <t>Contratação de empresa para avaliação de processo do projeto Mundiar e projeto Aprender Mais</t>
  </si>
  <si>
    <t>BRB3649; BRB3648</t>
  </si>
  <si>
    <t>BRB3689; BRB3690; BRB3691; BRB3692; BRB3693</t>
  </si>
  <si>
    <t>BRB3744; BRB3745; BRB3746; BRB3741; BRB3742; BRB3747</t>
  </si>
  <si>
    <t>103156916/2016</t>
  </si>
  <si>
    <t>BRA6651</t>
  </si>
  <si>
    <t>BR11614</t>
  </si>
  <si>
    <t>BRB3754; BRB3752; BRB3753; BRA658; BRA6659</t>
  </si>
  <si>
    <t>4.34</t>
  </si>
  <si>
    <t>Contratar empresa para consultoria na Gestão do Programa de Transporte Escolar da SEDUC e implantação de sistema informatizado para monitoramento do atendimento aos alunos e rotas atendidas</t>
  </si>
  <si>
    <t>Universidade Federal de Minas Gerais/Fundação Cristiano Ottoni</t>
  </si>
  <si>
    <t>1235215/2018</t>
  </si>
  <si>
    <t>5.20</t>
  </si>
  <si>
    <t>Contratar empresa para execução de obras - 08 escolas - 01 Quadra</t>
  </si>
  <si>
    <t>Contratar empresa para execução de obras - 01 escola</t>
  </si>
  <si>
    <t>LPN 01/2019</t>
  </si>
  <si>
    <t>1.11</t>
  </si>
  <si>
    <t>Obras Emergenciais até o limite de US$ 100.000,00</t>
  </si>
  <si>
    <r>
      <t xml:space="preserve">Atualizado em: </t>
    </r>
    <r>
      <rPr>
        <b/>
        <sz val="10"/>
        <color rgb="FFFF0000"/>
        <rFont val="Calibri"/>
        <family val="2"/>
        <scheme val="minor"/>
      </rPr>
      <t>20/03/2019</t>
    </r>
  </si>
  <si>
    <t>2.26</t>
  </si>
  <si>
    <t>2.27</t>
  </si>
  <si>
    <t>Contratar empresa para supervisão de obras - 2020</t>
  </si>
  <si>
    <t>Contratação para continuidade da supervisão em 2020</t>
  </si>
  <si>
    <t>Contratação de Empresa especializada para aplicação de avaliação educacional em larga escala SisPAE (2014, 2015, 2016,2018)</t>
  </si>
  <si>
    <t>5.21</t>
  </si>
  <si>
    <t>Contratação de 01 consultor individual para realizar para apoio à Coordenação do Escritório de Projetos</t>
  </si>
  <si>
    <t>4.35</t>
  </si>
  <si>
    <t>Contratar sistema para acompanhamento técnico diário nas escolas - frequência escolar</t>
  </si>
  <si>
    <t>2.28</t>
  </si>
  <si>
    <t>Material didático</t>
  </si>
  <si>
    <t>4.36</t>
  </si>
  <si>
    <t>Contratar empresa de consultoria para avaliação folha de pessoal/macroprocesso</t>
  </si>
  <si>
    <t>4.37</t>
  </si>
  <si>
    <t>Contratar consultoria de apoio ao Gerenciamento do Programa</t>
  </si>
  <si>
    <t>Contratar apoio ao Gerenciamento para 2020</t>
  </si>
  <si>
    <t>Aquisições de bens para escolas atendidas com projetos educacionais</t>
  </si>
  <si>
    <t>Contratar empresa para execução pequenas obras emergenciais - 70 escolas</t>
  </si>
  <si>
    <t>Aquisição materiais pedagógicos com foco na avaliação educacional</t>
  </si>
  <si>
    <r>
      <rPr>
        <sz val="10"/>
        <color rgb="FFFF0000"/>
        <rFont val="Calibri"/>
        <family val="2"/>
        <scheme val="minor"/>
      </rPr>
      <t>Contrato Terminado Contrato Terminado Contrato Terminado</t>
    </r>
    <r>
      <rPr>
        <sz val="10"/>
        <color theme="1"/>
        <rFont val="Calibri"/>
        <family val="2"/>
        <scheme val="minor"/>
      </rPr>
      <t xml:space="preserve"> Contrato em execução</t>
    </r>
  </si>
  <si>
    <t>Consutor Individual - Formação em Direito</t>
  </si>
  <si>
    <r>
      <t xml:space="preserve">Atualização Nº: </t>
    </r>
    <r>
      <rPr>
        <b/>
        <sz val="10"/>
        <color rgb="FFFF0000"/>
        <rFont val="Calibri"/>
        <family val="2"/>
        <scheme val="minor"/>
      </rPr>
      <t>11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</si>
</sst>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_-;\-* #,##0.00_-;_-* &quot;-&quot;??_-;_-@_-"/>
    <numFmt numFmtId="165" formatCode="_-&quot;R$&quot;\ * #,##0.00_-;\-&quot;R$&quot;\ * #,##0.00_-;_-&quot;R$&quot;\ * &quot;-&quot;??_-;_-@_-"/>
    <numFmt numFmtId="166" formatCode="[$$-409]#,##0.00"/>
    <numFmt numFmtId="167" formatCode="[$-416]mmm\-yy;@"/>
    <numFmt numFmtId="168" formatCode="[$$-409]#,##0.00_ ;\-[$$-409]#,##0.00\ "/>
    <numFmt numFmtId="169" formatCode="_-[$$-409]* #,##0.00_ ;_-[$$-409]* \-#,##0.00\ ;_-[$$-409]* &quot;-&quot;??_ ;_-@_ "/>
  </numFmts>
  <fonts count="4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  <scheme val="minor"/>
    </font>
    <font>
      <sz val="10"/>
      <color indexed="9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B050"/>
      <name val="Calibri"/>
      <family val="2"/>
      <scheme val="minor"/>
    </font>
    <font>
      <sz val="10"/>
      <color rgb="FF000000"/>
      <name val="Arial"/>
      <family val="2"/>
    </font>
    <font>
      <b/>
      <sz val="11"/>
      <color rgb="FFFF0000"/>
      <name val="Calibri"/>
      <family val="2"/>
      <scheme val="minor"/>
    </font>
    <font>
      <sz val="10"/>
      <color theme="3"/>
      <name val="Calibri"/>
      <family val="2"/>
      <scheme val="minor"/>
    </font>
    <font>
      <i/>
      <sz val="10"/>
      <color indexed="9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rgb="FF002060"/>
      <name val="Calibri"/>
      <family val="2"/>
      <scheme val="minor"/>
    </font>
    <font>
      <b/>
      <sz val="10"/>
      <color rgb="FF00B05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3" tint="-0.249977111117893"/>
      <name val="Calibri"/>
      <family val="2"/>
      <scheme val="minor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rgb="FFFFFFCC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auto="1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50">
    <xf numFmtId="0" fontId="0" fillId="0" borderId="0"/>
    <xf numFmtId="0" fontId="1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2" fillId="0" borderId="0"/>
    <xf numFmtId="0" fontId="2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65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29" fillId="0" borderId="0"/>
    <xf numFmtId="0" fontId="1" fillId="0" borderId="0"/>
    <xf numFmtId="0" fontId="1" fillId="23" borderId="27" applyNumberFormat="0" applyFont="0" applyAlignment="0" applyProtection="0"/>
    <xf numFmtId="164" fontId="27" fillId="0" borderId="0" applyFont="0" applyFill="0" applyBorder="0" applyAlignment="0" applyProtection="0"/>
  </cellStyleXfs>
  <cellXfs count="381">
    <xf numFmtId="0" fontId="0" fillId="0" borderId="0" xfId="0"/>
    <xf numFmtId="0" fontId="20" fillId="0" borderId="17" xfId="38" applyFont="1" applyBorder="1" applyAlignment="1">
      <alignment vertical="center" wrapText="1"/>
    </xf>
    <xf numFmtId="0" fontId="20" fillId="0" borderId="14" xfId="38" applyFont="1" applyBorder="1" applyAlignment="1">
      <alignment vertical="center" wrapText="1"/>
    </xf>
    <xf numFmtId="0" fontId="20" fillId="0" borderId="18" xfId="38" applyFont="1" applyBorder="1" applyAlignment="1">
      <alignment vertical="center" wrapText="1"/>
    </xf>
    <xf numFmtId="0" fontId="20" fillId="0" borderId="15" xfId="38" applyFont="1" applyBorder="1" applyAlignment="1">
      <alignment vertical="center" wrapText="1"/>
    </xf>
    <xf numFmtId="0" fontId="20" fillId="0" borderId="16" xfId="38" applyFont="1" applyBorder="1" applyAlignment="1">
      <alignment vertical="center" wrapText="1"/>
    </xf>
    <xf numFmtId="4" fontId="20" fillId="0" borderId="15" xfId="38" applyNumberFormat="1" applyFont="1" applyBorder="1" applyAlignment="1">
      <alignment vertical="center" wrapText="1"/>
    </xf>
    <xf numFmtId="10" fontId="20" fillId="0" borderId="15" xfId="38" applyNumberFormat="1" applyFont="1" applyBorder="1" applyAlignment="1">
      <alignment vertical="center" wrapText="1"/>
    </xf>
    <xf numFmtId="0" fontId="20" fillId="0" borderId="0" xfId="38" applyFont="1" applyAlignment="1">
      <alignment vertical="center" wrapText="1"/>
    </xf>
    <xf numFmtId="4" fontId="20" fillId="0" borderId="0" xfId="38" applyNumberFormat="1" applyFont="1" applyAlignment="1">
      <alignment vertical="center" wrapText="1"/>
    </xf>
    <xf numFmtId="10" fontId="20" fillId="0" borderId="0" xfId="38" applyNumberFormat="1" applyFont="1" applyAlignment="1">
      <alignment vertical="center" wrapText="1"/>
    </xf>
    <xf numFmtId="0" fontId="20" fillId="0" borderId="11" xfId="38" applyFont="1" applyBorder="1" applyAlignment="1">
      <alignment vertical="center" wrapText="1"/>
    </xf>
    <xf numFmtId="0" fontId="20" fillId="0" borderId="12" xfId="38" applyFont="1" applyBorder="1" applyAlignment="1">
      <alignment vertical="center" wrapText="1"/>
    </xf>
    <xf numFmtId="0" fontId="25" fillId="0" borderId="0" xfId="0" applyFont="1"/>
    <xf numFmtId="0" fontId="28" fillId="0" borderId="17" xfId="38" applyFont="1" applyBorder="1" applyAlignment="1">
      <alignment vertical="center" wrapText="1"/>
    </xf>
    <xf numFmtId="0" fontId="28" fillId="0" borderId="14" xfId="38" applyFont="1" applyBorder="1" applyAlignment="1">
      <alignment vertical="center" wrapText="1"/>
    </xf>
    <xf numFmtId="0" fontId="28" fillId="0" borderId="18" xfId="38" applyFont="1" applyBorder="1" applyAlignment="1">
      <alignment vertical="center" wrapText="1"/>
    </xf>
    <xf numFmtId="0" fontId="28" fillId="0" borderId="15" xfId="38" applyFont="1" applyBorder="1" applyAlignment="1">
      <alignment vertical="center" wrapText="1"/>
    </xf>
    <xf numFmtId="0" fontId="28" fillId="0" borderId="16" xfId="38" applyFont="1" applyBorder="1" applyAlignment="1">
      <alignment vertical="center" wrapText="1"/>
    </xf>
    <xf numFmtId="0" fontId="28" fillId="0" borderId="11" xfId="38" applyFont="1" applyBorder="1" applyAlignment="1">
      <alignment vertical="center" wrapText="1"/>
    </xf>
    <xf numFmtId="0" fontId="28" fillId="0" borderId="12" xfId="38" applyFont="1" applyBorder="1" applyAlignment="1">
      <alignment vertical="center" wrapText="1"/>
    </xf>
    <xf numFmtId="0" fontId="28" fillId="0" borderId="13" xfId="38" applyFont="1" applyBorder="1" applyAlignment="1">
      <alignment vertical="center" wrapText="1"/>
    </xf>
    <xf numFmtId="167" fontId="28" fillId="0" borderId="12" xfId="38" applyNumberFormat="1" applyFont="1" applyBorder="1" applyAlignment="1">
      <alignment vertical="center" wrapText="1"/>
    </xf>
    <xf numFmtId="167" fontId="28" fillId="0" borderId="15" xfId="38" applyNumberFormat="1" applyFont="1" applyBorder="1" applyAlignment="1">
      <alignment vertical="center" wrapText="1"/>
    </xf>
    <xf numFmtId="10" fontId="25" fillId="0" borderId="0" xfId="0" applyNumberFormat="1" applyFont="1"/>
    <xf numFmtId="166" fontId="26" fillId="0" borderId="0" xfId="38" applyNumberFormat="1" applyFont="1" applyAlignment="1">
      <alignment horizontal="center" vertical="center" wrapText="1"/>
    </xf>
    <xf numFmtId="0" fontId="34" fillId="0" borderId="0" xfId="0" applyFont="1" applyAlignment="1">
      <alignment horizontal="left" vertical="center"/>
    </xf>
    <xf numFmtId="0" fontId="25" fillId="0" borderId="0" xfId="38" applyFont="1"/>
    <xf numFmtId="9" fontId="28" fillId="0" borderId="12" xfId="45" applyFont="1" applyBorder="1" applyAlignment="1">
      <alignment horizontal="center" vertical="center" wrapText="1"/>
    </xf>
    <xf numFmtId="9" fontId="20" fillId="0" borderId="12" xfId="45" applyFont="1" applyBorder="1" applyAlignment="1">
      <alignment horizontal="center" vertical="center" wrapText="1"/>
    </xf>
    <xf numFmtId="9" fontId="28" fillId="0" borderId="15" xfId="45" applyFont="1" applyBorder="1" applyAlignment="1">
      <alignment horizontal="center" vertical="center" wrapText="1"/>
    </xf>
    <xf numFmtId="0" fontId="28" fillId="0" borderId="12" xfId="38" applyFont="1" applyBorder="1" applyAlignment="1">
      <alignment horizontal="left" vertical="center" wrapText="1"/>
    </xf>
    <xf numFmtId="0" fontId="28" fillId="0" borderId="17" xfId="38" applyFont="1" applyBorder="1" applyAlignment="1">
      <alignment horizontal="left" vertical="center" wrapText="1"/>
    </xf>
    <xf numFmtId="0" fontId="20" fillId="0" borderId="17" xfId="38" applyFont="1" applyBorder="1" applyAlignment="1">
      <alignment horizontal="left" vertical="center" wrapText="1"/>
    </xf>
    <xf numFmtId="3" fontId="20" fillId="27" borderId="14" xfId="46" applyNumberFormat="1" applyFont="1" applyFill="1" applyBorder="1" applyAlignment="1" applyProtection="1">
      <alignment vertical="center" wrapText="1"/>
      <protection locked="0"/>
    </xf>
    <xf numFmtId="0" fontId="25" fillId="0" borderId="17" xfId="38" applyFont="1" applyBorder="1" applyAlignment="1">
      <alignment horizontal="left" vertical="center" wrapText="1"/>
    </xf>
    <xf numFmtId="3" fontId="28" fillId="0" borderId="14" xfId="46" applyNumberFormat="1" applyFont="1" applyBorder="1" applyAlignment="1" applyProtection="1">
      <alignment vertical="center" wrapText="1"/>
      <protection locked="0"/>
    </xf>
    <xf numFmtId="0" fontId="28" fillId="0" borderId="17" xfId="47" applyFont="1" applyBorder="1" applyAlignment="1">
      <alignment horizontal="left" vertical="center" wrapText="1"/>
    </xf>
    <xf numFmtId="3" fontId="28" fillId="28" borderId="14" xfId="46" applyNumberFormat="1" applyFont="1" applyFill="1" applyBorder="1" applyAlignment="1" applyProtection="1">
      <alignment vertical="center" wrapText="1"/>
      <protection locked="0"/>
    </xf>
    <xf numFmtId="0" fontId="20" fillId="0" borderId="17" xfId="47" applyFont="1" applyBorder="1" applyAlignment="1">
      <alignment horizontal="left" vertical="center" wrapText="1"/>
    </xf>
    <xf numFmtId="3" fontId="20" fillId="27" borderId="14" xfId="0" applyNumberFormat="1" applyFont="1" applyFill="1" applyBorder="1" applyAlignment="1" applyProtection="1">
      <alignment vertical="center" wrapText="1"/>
      <protection locked="0"/>
    </xf>
    <xf numFmtId="0" fontId="28" fillId="28" borderId="17" xfId="46" applyFont="1" applyFill="1" applyBorder="1" applyAlignment="1">
      <alignment horizontal="left" vertical="center" wrapText="1"/>
    </xf>
    <xf numFmtId="3" fontId="28" fillId="27" borderId="14" xfId="0" applyNumberFormat="1" applyFont="1" applyFill="1" applyBorder="1" applyAlignment="1">
      <alignment vertical="center" wrapText="1"/>
    </xf>
    <xf numFmtId="3" fontId="28" fillId="27" borderId="14" xfId="0" applyNumberFormat="1" applyFont="1" applyFill="1" applyBorder="1" applyAlignment="1" applyProtection="1">
      <alignment vertical="center" wrapText="1"/>
      <protection locked="0"/>
    </xf>
    <xf numFmtId="0" fontId="20" fillId="28" borderId="17" xfId="46" applyFont="1" applyFill="1" applyBorder="1" applyAlignment="1">
      <alignment horizontal="left" vertical="center" wrapText="1"/>
    </xf>
    <xf numFmtId="0" fontId="28" fillId="0" borderId="14" xfId="0" applyFont="1" applyBorder="1" applyAlignment="1">
      <alignment vertical="center" wrapText="1"/>
    </xf>
    <xf numFmtId="0" fontId="28" fillId="27" borderId="17" xfId="46" applyFont="1" applyFill="1" applyBorder="1" applyAlignment="1">
      <alignment horizontal="left" vertical="center" wrapText="1"/>
    </xf>
    <xf numFmtId="0" fontId="20" fillId="27" borderId="17" xfId="46" applyFont="1" applyFill="1" applyBorder="1" applyAlignment="1">
      <alignment horizontal="left" vertical="center" wrapText="1"/>
    </xf>
    <xf numFmtId="0" fontId="20" fillId="27" borderId="14" xfId="0" applyFont="1" applyFill="1" applyBorder="1" applyAlignment="1">
      <alignment horizontal="left" vertical="center" wrapText="1"/>
    </xf>
    <xf numFmtId="0" fontId="28" fillId="0" borderId="17" xfId="46" applyFont="1" applyBorder="1" applyAlignment="1">
      <alignment horizontal="left" vertical="center" wrapText="1"/>
    </xf>
    <xf numFmtId="0" fontId="28" fillId="27" borderId="14" xfId="0" applyFont="1" applyFill="1" applyBorder="1" applyAlignment="1">
      <alignment horizontal="left" vertical="center" wrapText="1"/>
    </xf>
    <xf numFmtId="0" fontId="20" fillId="0" borderId="17" xfId="46" applyFont="1" applyBorder="1" applyAlignment="1">
      <alignment horizontal="left" vertical="center" wrapText="1"/>
    </xf>
    <xf numFmtId="9" fontId="28" fillId="0" borderId="15" xfId="38" applyNumberFormat="1" applyFont="1" applyBorder="1" applyAlignment="1">
      <alignment horizontal="center" vertical="center" wrapText="1"/>
    </xf>
    <xf numFmtId="10" fontId="28" fillId="0" borderId="15" xfId="38" applyNumberFormat="1" applyFont="1" applyBorder="1" applyAlignment="1">
      <alignment vertical="center" wrapText="1"/>
    </xf>
    <xf numFmtId="0" fontId="20" fillId="0" borderId="28" xfId="47" applyFont="1" applyBorder="1" applyAlignment="1">
      <alignment vertical="center" wrapText="1"/>
    </xf>
    <xf numFmtId="0" fontId="26" fillId="0" borderId="0" xfId="0" applyFont="1" applyAlignment="1">
      <alignment horizontal="center" vertical="center"/>
    </xf>
    <xf numFmtId="4" fontId="21" fillId="24" borderId="29" xfId="38" applyNumberFormat="1" applyFont="1" applyFill="1" applyBorder="1" applyAlignment="1">
      <alignment horizontal="center" vertical="center" wrapText="1"/>
    </xf>
    <xf numFmtId="166" fontId="28" fillId="0" borderId="28" xfId="46" applyNumberFormat="1" applyFont="1" applyBorder="1" applyAlignment="1">
      <alignment horizontal="center" vertical="center" wrapText="1"/>
    </xf>
    <xf numFmtId="0" fontId="28" fillId="0" borderId="28" xfId="38" applyFont="1" applyBorder="1" applyAlignment="1">
      <alignment vertical="center" wrapText="1"/>
    </xf>
    <xf numFmtId="166" fontId="28" fillId="0" borderId="28" xfId="47" applyNumberFormat="1" applyFont="1" applyBorder="1" applyAlignment="1">
      <alignment horizontal="center" vertical="center" wrapText="1"/>
    </xf>
    <xf numFmtId="9" fontId="28" fillId="0" borderId="28" xfId="45" applyFont="1" applyBorder="1" applyAlignment="1">
      <alignment horizontal="center" vertical="center" wrapText="1"/>
    </xf>
    <xf numFmtId="167" fontId="28" fillId="0" borderId="28" xfId="38" applyNumberFormat="1" applyFont="1" applyBorder="1" applyAlignment="1">
      <alignment vertical="center" wrapText="1"/>
    </xf>
    <xf numFmtId="0" fontId="28" fillId="0" borderId="28" xfId="38" applyFont="1" applyBorder="1" applyAlignment="1">
      <alignment horizontal="left" vertical="center" wrapText="1"/>
    </xf>
    <xf numFmtId="4" fontId="21" fillId="24" borderId="28" xfId="38" applyNumberFormat="1" applyFont="1" applyFill="1" applyBorder="1" applyAlignment="1">
      <alignment horizontal="center" vertical="center" wrapText="1"/>
    </xf>
    <xf numFmtId="0" fontId="20" fillId="0" borderId="28" xfId="38" applyFont="1" applyBorder="1" applyAlignment="1">
      <alignment vertical="center" wrapText="1"/>
    </xf>
    <xf numFmtId="167" fontId="20" fillId="0" borderId="28" xfId="38" applyNumberFormat="1" applyFont="1" applyBorder="1" applyAlignment="1">
      <alignment vertical="center" wrapText="1"/>
    </xf>
    <xf numFmtId="0" fontId="20" fillId="0" borderId="28" xfId="38" applyFont="1" applyBorder="1" applyAlignment="1">
      <alignment horizontal="left" vertical="center" wrapText="1"/>
    </xf>
    <xf numFmtId="166" fontId="20" fillId="0" borderId="28" xfId="44" applyNumberFormat="1" applyFont="1" applyBorder="1" applyAlignment="1">
      <alignment horizontal="center" vertical="center" wrapText="1"/>
    </xf>
    <xf numFmtId="9" fontId="20" fillId="0" borderId="28" xfId="45" applyFont="1" applyBorder="1" applyAlignment="1">
      <alignment horizontal="center" vertical="center" wrapText="1"/>
    </xf>
    <xf numFmtId="166" fontId="28" fillId="0" borderId="28" xfId="44" applyNumberFormat="1" applyFont="1" applyBorder="1" applyAlignment="1">
      <alignment horizontal="center" vertical="center" wrapText="1"/>
    </xf>
    <xf numFmtId="0" fontId="31" fillId="0" borderId="28" xfId="38" applyFont="1" applyBorder="1" applyAlignment="1">
      <alignment horizontal="left" vertical="center" wrapText="1"/>
    </xf>
    <xf numFmtId="167" fontId="28" fillId="0" borderId="28" xfId="38" applyNumberFormat="1" applyFont="1" applyBorder="1" applyAlignment="1">
      <alignment horizontal="right" vertical="center" wrapText="1"/>
    </xf>
    <xf numFmtId="166" fontId="20" fillId="28" borderId="28" xfId="44" applyNumberFormat="1" applyFont="1" applyFill="1" applyBorder="1" applyAlignment="1">
      <alignment horizontal="center" vertical="center" wrapText="1"/>
    </xf>
    <xf numFmtId="167" fontId="20" fillId="0" borderId="28" xfId="38" applyNumberFormat="1" applyFont="1" applyBorder="1" applyAlignment="1">
      <alignment horizontal="right" vertical="center" wrapText="1"/>
    </xf>
    <xf numFmtId="166" fontId="28" fillId="27" borderId="28" xfId="44" applyNumberFormat="1" applyFont="1" applyFill="1" applyBorder="1" applyAlignment="1">
      <alignment horizontal="center" vertical="center" wrapText="1"/>
    </xf>
    <xf numFmtId="166" fontId="20" fillId="26" borderId="28" xfId="44" applyNumberFormat="1" applyFont="1" applyFill="1" applyBorder="1" applyAlignment="1">
      <alignment horizontal="center" vertical="center" wrapText="1"/>
    </xf>
    <xf numFmtId="166" fontId="28" fillId="28" borderId="28" xfId="44" applyNumberFormat="1" applyFont="1" applyFill="1" applyBorder="1" applyAlignment="1">
      <alignment horizontal="center" vertical="center" wrapText="1"/>
    </xf>
    <xf numFmtId="3" fontId="20" fillId="27" borderId="28" xfId="46" applyNumberFormat="1" applyFont="1" applyFill="1" applyBorder="1" applyAlignment="1" applyProtection="1">
      <alignment vertical="center" wrapText="1"/>
      <protection locked="0"/>
    </xf>
    <xf numFmtId="9" fontId="20" fillId="27" borderId="28" xfId="45" applyFont="1" applyFill="1" applyBorder="1" applyAlignment="1" applyProtection="1">
      <alignment horizontal="center" vertical="center" wrapText="1"/>
      <protection locked="0"/>
    </xf>
    <xf numFmtId="167" fontId="20" fillId="0" borderId="28" xfId="46" applyNumberFormat="1" applyFont="1" applyBorder="1" applyAlignment="1">
      <alignment horizontal="center" vertical="center" wrapText="1"/>
    </xf>
    <xf numFmtId="0" fontId="28" fillId="27" borderId="28" xfId="46" applyFont="1" applyFill="1" applyBorder="1" applyAlignment="1">
      <alignment horizontal="left" vertical="center" wrapText="1"/>
    </xf>
    <xf numFmtId="0" fontId="28" fillId="27" borderId="28" xfId="46" applyFont="1" applyFill="1" applyBorder="1" applyAlignment="1">
      <alignment horizontal="center" vertical="center" wrapText="1"/>
    </xf>
    <xf numFmtId="0" fontId="20" fillId="27" borderId="28" xfId="46" applyFont="1" applyFill="1" applyBorder="1" applyAlignment="1">
      <alignment horizontal="left" vertical="center" wrapText="1"/>
    </xf>
    <xf numFmtId="3" fontId="31" fillId="0" borderId="28" xfId="46" applyNumberFormat="1" applyFont="1" applyBorder="1" applyAlignment="1" applyProtection="1">
      <alignment vertical="center" wrapText="1"/>
      <protection locked="0"/>
    </xf>
    <xf numFmtId="167" fontId="35" fillId="0" borderId="28" xfId="46" applyNumberFormat="1" applyFont="1" applyBorder="1" applyAlignment="1">
      <alignment horizontal="center" vertical="center" wrapText="1"/>
    </xf>
    <xf numFmtId="3" fontId="28" fillId="0" borderId="28" xfId="46" applyNumberFormat="1" applyFont="1" applyBorder="1" applyAlignment="1" applyProtection="1">
      <alignment vertical="center" wrapText="1"/>
      <protection locked="0"/>
    </xf>
    <xf numFmtId="9" fontId="28" fillId="0" borderId="28" xfId="45" applyFont="1" applyBorder="1" applyAlignment="1" applyProtection="1">
      <alignment horizontal="center" vertical="center" wrapText="1"/>
      <protection locked="0"/>
    </xf>
    <xf numFmtId="167" fontId="28" fillId="0" borderId="28" xfId="46" applyNumberFormat="1" applyFont="1" applyBorder="1" applyAlignment="1">
      <alignment horizontal="center" vertical="center" wrapText="1"/>
    </xf>
    <xf numFmtId="0" fontId="28" fillId="0" borderId="28" xfId="46" applyFont="1" applyBorder="1" applyAlignment="1">
      <alignment horizontal="center" vertical="center" wrapText="1"/>
    </xf>
    <xf numFmtId="3" fontId="28" fillId="28" borderId="28" xfId="46" applyNumberFormat="1" applyFont="1" applyFill="1" applyBorder="1" applyAlignment="1" applyProtection="1">
      <alignment vertical="center" wrapText="1"/>
      <protection locked="0"/>
    </xf>
    <xf numFmtId="0" fontId="31" fillId="0" borderId="28" xfId="47" applyFont="1" applyBorder="1" applyAlignment="1">
      <alignment horizontal="left" vertical="center" wrapText="1"/>
    </xf>
    <xf numFmtId="9" fontId="28" fillId="28" borderId="28" xfId="45" applyFont="1" applyFill="1" applyBorder="1" applyAlignment="1" applyProtection="1">
      <alignment horizontal="center" vertical="center" wrapText="1"/>
      <protection locked="0"/>
    </xf>
    <xf numFmtId="167" fontId="28" fillId="26" borderId="28" xfId="46" applyNumberFormat="1" applyFont="1" applyFill="1" applyBorder="1" applyAlignment="1">
      <alignment horizontal="center" vertical="center" wrapText="1"/>
    </xf>
    <xf numFmtId="3" fontId="20" fillId="27" borderId="28" xfId="0" applyNumberFormat="1" applyFont="1" applyFill="1" applyBorder="1" applyAlignment="1" applyProtection="1">
      <alignment vertical="center" wrapText="1"/>
      <protection locked="0"/>
    </xf>
    <xf numFmtId="167" fontId="20" fillId="27" borderId="28" xfId="46" applyNumberFormat="1" applyFont="1" applyFill="1" applyBorder="1" applyAlignment="1">
      <alignment horizontal="center" vertical="center" wrapText="1"/>
    </xf>
    <xf numFmtId="167" fontId="20" fillId="0" borderId="28" xfId="0" applyNumberFormat="1" applyFont="1" applyBorder="1" applyAlignment="1" applyProtection="1">
      <alignment horizontal="center" vertical="center" wrapText="1"/>
      <protection locked="0"/>
    </xf>
    <xf numFmtId="0" fontId="28" fillId="28" borderId="28" xfId="46" applyFont="1" applyFill="1" applyBorder="1" applyAlignment="1">
      <alignment horizontal="left" vertical="center" wrapText="1"/>
    </xf>
    <xf numFmtId="3" fontId="28" fillId="27" borderId="28" xfId="0" applyNumberFormat="1" applyFont="1" applyFill="1" applyBorder="1" applyAlignment="1">
      <alignment vertical="center" wrapText="1"/>
    </xf>
    <xf numFmtId="0" fontId="28" fillId="28" borderId="28" xfId="46" applyFont="1" applyFill="1" applyBorder="1" applyAlignment="1">
      <alignment horizontal="center" vertical="center" wrapText="1"/>
    </xf>
    <xf numFmtId="9" fontId="28" fillId="27" borderId="28" xfId="45" applyFont="1" applyFill="1" applyBorder="1" applyAlignment="1">
      <alignment horizontal="center" vertical="center" wrapText="1"/>
    </xf>
    <xf numFmtId="167" fontId="28" fillId="27" borderId="28" xfId="46" applyNumberFormat="1" applyFont="1" applyFill="1" applyBorder="1" applyAlignment="1">
      <alignment horizontal="center" vertical="center" wrapText="1"/>
    </xf>
    <xf numFmtId="3" fontId="28" fillId="27" borderId="28" xfId="0" applyNumberFormat="1" applyFont="1" applyFill="1" applyBorder="1" applyAlignment="1" applyProtection="1">
      <alignment vertical="center" wrapText="1"/>
      <protection locked="0"/>
    </xf>
    <xf numFmtId="9" fontId="28" fillId="27" borderId="28" xfId="45" applyFont="1" applyFill="1" applyBorder="1" applyAlignment="1" applyProtection="1">
      <alignment horizontal="center" vertical="center" wrapText="1"/>
      <protection locked="0"/>
    </xf>
    <xf numFmtId="0" fontId="28" fillId="0" borderId="28" xfId="0" applyFont="1" applyBorder="1" applyAlignment="1">
      <alignment vertical="center" wrapText="1"/>
    </xf>
    <xf numFmtId="167" fontId="20" fillId="27" borderId="28" xfId="0" applyNumberFormat="1" applyFont="1" applyFill="1" applyBorder="1" applyAlignment="1" applyProtection="1">
      <alignment horizontal="center" vertical="center" wrapText="1"/>
      <protection locked="0"/>
    </xf>
    <xf numFmtId="0" fontId="20" fillId="27" borderId="28" xfId="46" applyFont="1" applyFill="1" applyBorder="1" applyAlignment="1">
      <alignment horizontal="center" vertical="center" wrapText="1"/>
    </xf>
    <xf numFmtId="167" fontId="28" fillId="0" borderId="28" xfId="0" applyNumberFormat="1" applyFont="1" applyBorder="1" applyAlignment="1" applyProtection="1">
      <alignment horizontal="center" vertical="center" wrapText="1"/>
      <protection locked="0"/>
    </xf>
    <xf numFmtId="0" fontId="20" fillId="27" borderId="28" xfId="0" applyFont="1" applyFill="1" applyBorder="1" applyAlignment="1">
      <alignment vertical="center" wrapText="1"/>
    </xf>
    <xf numFmtId="9" fontId="20" fillId="27" borderId="28" xfId="45" applyFont="1" applyFill="1" applyBorder="1" applyAlignment="1">
      <alignment horizontal="center" vertical="center" wrapText="1"/>
    </xf>
    <xf numFmtId="0" fontId="20" fillId="27" borderId="28" xfId="0" applyFont="1" applyFill="1" applyBorder="1" applyAlignment="1">
      <alignment horizontal="left" vertical="center" wrapText="1"/>
    </xf>
    <xf numFmtId="0" fontId="28" fillId="0" borderId="28" xfId="46" applyFont="1" applyBorder="1" applyAlignment="1">
      <alignment horizontal="left" vertical="center" wrapText="1"/>
    </xf>
    <xf numFmtId="0" fontId="28" fillId="27" borderId="28" xfId="0" applyFont="1" applyFill="1" applyBorder="1" applyAlignment="1">
      <alignment horizontal="left" vertical="center" wrapText="1"/>
    </xf>
    <xf numFmtId="0" fontId="20" fillId="0" borderId="28" xfId="46" applyFont="1" applyBorder="1" applyAlignment="1">
      <alignment horizontal="center" vertical="center" wrapText="1"/>
    </xf>
    <xf numFmtId="167" fontId="20" fillId="0" borderId="28" xfId="38" applyNumberFormat="1" applyFont="1" applyBorder="1" applyAlignment="1">
      <alignment horizontal="center" vertical="center" wrapText="1"/>
    </xf>
    <xf numFmtId="9" fontId="28" fillId="0" borderId="28" xfId="38" applyNumberFormat="1" applyFont="1" applyBorder="1" applyAlignment="1">
      <alignment horizontal="center" vertical="center" wrapText="1"/>
    </xf>
    <xf numFmtId="10" fontId="28" fillId="0" borderId="28" xfId="38" applyNumberFormat="1" applyFont="1" applyBorder="1" applyAlignment="1">
      <alignment vertical="center" wrapText="1"/>
    </xf>
    <xf numFmtId="4" fontId="20" fillId="0" borderId="28" xfId="38" applyNumberFormat="1" applyFont="1" applyBorder="1" applyAlignment="1">
      <alignment vertical="center" wrapText="1"/>
    </xf>
    <xf numFmtId="10" fontId="20" fillId="0" borderId="28" xfId="38" applyNumberFormat="1" applyFont="1" applyBorder="1" applyAlignment="1">
      <alignment vertical="center" wrapText="1"/>
    </xf>
    <xf numFmtId="166" fontId="28" fillId="0" borderId="12" xfId="46" applyNumberFormat="1" applyFont="1" applyBorder="1" applyAlignment="1">
      <alignment horizontal="center" vertical="center" wrapText="1"/>
    </xf>
    <xf numFmtId="0" fontId="28" fillId="0" borderId="34" xfId="38" applyFont="1" applyBorder="1" applyAlignment="1">
      <alignment vertical="center" wrapText="1"/>
    </xf>
    <xf numFmtId="0" fontId="28" fillId="0" borderId="35" xfId="38" applyFont="1" applyBorder="1" applyAlignment="1">
      <alignment vertical="center" wrapText="1"/>
    </xf>
    <xf numFmtId="0" fontId="20" fillId="0" borderId="34" xfId="38" applyFont="1" applyBorder="1" applyAlignment="1">
      <alignment vertical="center" wrapText="1"/>
    </xf>
    <xf numFmtId="0" fontId="20" fillId="0" borderId="35" xfId="38" applyFont="1" applyBorder="1" applyAlignment="1">
      <alignment vertical="center" wrapText="1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wrapText="1"/>
    </xf>
    <xf numFmtId="0" fontId="28" fillId="0" borderId="12" xfId="38" applyFont="1" applyBorder="1" applyAlignment="1">
      <alignment horizontal="center" vertical="center" wrapText="1"/>
    </xf>
    <xf numFmtId="0" fontId="25" fillId="0" borderId="0" xfId="0" applyFont="1" applyAlignment="1">
      <alignment wrapText="1"/>
    </xf>
    <xf numFmtId="2" fontId="23" fillId="0" borderId="0" xfId="0" applyNumberFormat="1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6" fillId="0" borderId="33" xfId="0" applyFont="1" applyBorder="1" applyAlignment="1">
      <alignment horizontal="center" vertical="center" wrapText="1"/>
    </xf>
    <xf numFmtId="10" fontId="25" fillId="0" borderId="0" xfId="0" applyNumberFormat="1" applyFont="1" applyAlignment="1">
      <alignment wrapText="1"/>
    </xf>
    <xf numFmtId="0" fontId="37" fillId="0" borderId="0" xfId="0" applyFont="1" applyAlignment="1">
      <alignment horizontal="center" vertical="center" wrapText="1"/>
    </xf>
    <xf numFmtId="2" fontId="26" fillId="0" borderId="0" xfId="0" applyNumberFormat="1" applyFont="1" applyAlignment="1">
      <alignment horizontal="center" vertical="center" wrapText="1"/>
    </xf>
    <xf numFmtId="0" fontId="24" fillId="26" borderId="0" xfId="0" applyFont="1" applyFill="1" applyAlignment="1">
      <alignment wrapText="1"/>
    </xf>
    <xf numFmtId="0" fontId="24" fillId="0" borderId="0" xfId="0" applyFont="1" applyAlignment="1">
      <alignment wrapText="1"/>
    </xf>
    <xf numFmtId="2" fontId="37" fillId="0" borderId="0" xfId="0" applyNumberFormat="1" applyFont="1" applyAlignment="1">
      <alignment horizontal="center" vertical="center" wrapText="1"/>
    </xf>
    <xf numFmtId="0" fontId="20" fillId="0" borderId="10" xfId="1" applyFont="1" applyBorder="1" applyAlignment="1">
      <alignment vertical="center"/>
    </xf>
    <xf numFmtId="0" fontId="20" fillId="0" borderId="10" xfId="0" applyFont="1" applyBorder="1"/>
    <xf numFmtId="0" fontId="20" fillId="0" borderId="0" xfId="38" applyFont="1" applyAlignment="1">
      <alignment horizontal="center" vertical="center" wrapText="1"/>
    </xf>
    <xf numFmtId="0" fontId="28" fillId="0" borderId="28" xfId="47" applyFont="1" applyBorder="1" applyAlignment="1">
      <alignment horizontal="center" vertical="center" wrapText="1"/>
    </xf>
    <xf numFmtId="0" fontId="31" fillId="0" borderId="28" xfId="47" applyFont="1" applyBorder="1" applyAlignment="1">
      <alignment horizontal="center" vertical="center" wrapText="1"/>
    </xf>
    <xf numFmtId="166" fontId="20" fillId="0" borderId="28" xfId="38" applyNumberFormat="1" applyFont="1" applyBorder="1" applyAlignment="1">
      <alignment horizontal="center" vertical="center" wrapText="1"/>
    </xf>
    <xf numFmtId="0" fontId="26" fillId="0" borderId="0" xfId="0" applyFont="1" applyAlignment="1">
      <alignment horizontal="center" wrapText="1"/>
    </xf>
    <xf numFmtId="0" fontId="26" fillId="26" borderId="0" xfId="0" applyFont="1" applyFill="1" applyAlignment="1">
      <alignment horizontal="center" vertical="center" wrapText="1"/>
    </xf>
    <xf numFmtId="166" fontId="28" fillId="0" borderId="28" xfId="38" applyNumberFormat="1" applyFont="1" applyBorder="1" applyAlignment="1">
      <alignment horizontal="center" vertical="center" wrapText="1"/>
    </xf>
    <xf numFmtId="0" fontId="20" fillId="26" borderId="28" xfId="38" applyFont="1" applyFill="1" applyBorder="1" applyAlignment="1">
      <alignment vertical="center" wrapText="1"/>
    </xf>
    <xf numFmtId="0" fontId="20" fillId="26" borderId="35" xfId="38" applyFont="1" applyFill="1" applyBorder="1" applyAlignment="1">
      <alignment vertical="center" wrapText="1"/>
    </xf>
    <xf numFmtId="0" fontId="20" fillId="26" borderId="14" xfId="38" applyFont="1" applyFill="1" applyBorder="1" applyAlignment="1">
      <alignment vertical="center" wrapText="1"/>
    </xf>
    <xf numFmtId="3" fontId="20" fillId="0" borderId="28" xfId="46" applyNumberFormat="1" applyFont="1" applyBorder="1" applyAlignment="1" applyProtection="1">
      <alignment vertical="center" wrapText="1"/>
      <protection locked="0"/>
    </xf>
    <xf numFmtId="9" fontId="20" fillId="0" borderId="28" xfId="45" applyFont="1" applyBorder="1" applyAlignment="1" applyProtection="1">
      <alignment horizontal="center" vertical="center" wrapText="1"/>
      <protection locked="0"/>
    </xf>
    <xf numFmtId="0" fontId="20" fillId="0" borderId="12" xfId="38" applyFont="1" applyBorder="1" applyAlignment="1">
      <alignment horizontal="center" vertical="center" wrapText="1"/>
    </xf>
    <xf numFmtId="4" fontId="25" fillId="0" borderId="0" xfId="0" applyNumberFormat="1" applyFont="1" applyAlignment="1">
      <alignment horizontal="center"/>
    </xf>
    <xf numFmtId="4" fontId="28" fillId="0" borderId="28" xfId="38" applyNumberFormat="1" applyFont="1" applyBorder="1" applyAlignment="1">
      <alignment horizontal="center" vertical="center" wrapText="1"/>
    </xf>
    <xf numFmtId="4" fontId="25" fillId="0" borderId="0" xfId="0" applyNumberFormat="1" applyFont="1" applyAlignment="1">
      <alignment horizontal="center" wrapText="1"/>
    </xf>
    <xf numFmtId="166" fontId="28" fillId="26" borderId="28" xfId="44" applyNumberFormat="1" applyFont="1" applyFill="1" applyBorder="1" applyAlignment="1">
      <alignment horizontal="center" vertical="center" wrapText="1"/>
    </xf>
    <xf numFmtId="166" fontId="28" fillId="27" borderId="28" xfId="46" applyNumberFormat="1" applyFont="1" applyFill="1" applyBorder="1" applyAlignment="1">
      <alignment horizontal="center" vertical="center" wrapText="1"/>
    </xf>
    <xf numFmtId="166" fontId="20" fillId="27" borderId="28" xfId="44" applyNumberFormat="1" applyFont="1" applyFill="1" applyBorder="1" applyAlignment="1">
      <alignment horizontal="center" vertical="center" wrapText="1"/>
    </xf>
    <xf numFmtId="166" fontId="28" fillId="0" borderId="28" xfId="0" applyNumberFormat="1" applyFont="1" applyBorder="1" applyAlignment="1">
      <alignment horizontal="center" wrapText="1"/>
    </xf>
    <xf numFmtId="166" fontId="28" fillId="0" borderId="15" xfId="38" applyNumberFormat="1" applyFont="1" applyBorder="1" applyAlignment="1">
      <alignment horizontal="center" vertical="center" wrapText="1"/>
    </xf>
    <xf numFmtId="164" fontId="20" fillId="0" borderId="0" xfId="49" applyFont="1" applyAlignment="1">
      <alignment horizontal="center" vertical="center" wrapText="1"/>
    </xf>
    <xf numFmtId="4" fontId="26" fillId="0" borderId="0" xfId="0" applyNumberFormat="1" applyFont="1" applyAlignment="1">
      <alignment horizontal="center" wrapText="1"/>
    </xf>
    <xf numFmtId="4" fontId="26" fillId="26" borderId="0" xfId="0" applyNumberFormat="1" applyFont="1" applyFill="1" applyAlignment="1">
      <alignment horizontal="center"/>
    </xf>
    <xf numFmtId="166" fontId="20" fillId="0" borderId="12" xfId="38" applyNumberFormat="1" applyFont="1" applyBorder="1" applyAlignment="1">
      <alignment horizontal="center" vertical="center" wrapText="1"/>
    </xf>
    <xf numFmtId="4" fontId="26" fillId="0" borderId="0" xfId="0" applyNumberFormat="1" applyFont="1" applyAlignment="1">
      <alignment horizontal="center"/>
    </xf>
    <xf numFmtId="10" fontId="26" fillId="0" borderId="0" xfId="0" applyNumberFormat="1" applyFont="1" applyAlignment="1">
      <alignment horizontal="center"/>
    </xf>
    <xf numFmtId="166" fontId="38" fillId="26" borderId="0" xfId="38" applyNumberFormat="1" applyFont="1" applyFill="1" applyAlignment="1">
      <alignment horizontal="center" vertical="center" wrapText="1"/>
    </xf>
    <xf numFmtId="0" fontId="36" fillId="0" borderId="0" xfId="46" applyFont="1" applyAlignment="1">
      <alignment horizontal="left" vertical="center" wrapText="1"/>
    </xf>
    <xf numFmtId="0" fontId="36" fillId="27" borderId="0" xfId="0" applyFont="1" applyFill="1" applyAlignment="1">
      <alignment horizontal="left" vertical="center" wrapText="1"/>
    </xf>
    <xf numFmtId="0" fontId="36" fillId="0" borderId="0" xfId="46" applyFont="1" applyAlignment="1">
      <alignment horizontal="center" vertical="center" wrapText="1"/>
    </xf>
    <xf numFmtId="166" fontId="36" fillId="28" borderId="0" xfId="44" applyNumberFormat="1" applyFont="1" applyFill="1" applyAlignment="1">
      <alignment horizontal="center" vertical="center" wrapText="1"/>
    </xf>
    <xf numFmtId="9" fontId="36" fillId="27" borderId="0" xfId="45" applyFont="1" applyFill="1" applyAlignment="1">
      <alignment horizontal="center" vertical="center" wrapText="1"/>
    </xf>
    <xf numFmtId="167" fontId="36" fillId="27" borderId="0" xfId="46" applyNumberFormat="1" applyFont="1" applyFill="1" applyAlignment="1">
      <alignment horizontal="center" vertical="center" wrapText="1"/>
    </xf>
    <xf numFmtId="166" fontId="20" fillId="0" borderId="28" xfId="47" applyNumberFormat="1" applyFont="1" applyBorder="1" applyAlignment="1">
      <alignment horizontal="center" vertical="center" wrapText="1"/>
    </xf>
    <xf numFmtId="0" fontId="20" fillId="26" borderId="28" xfId="38" applyFont="1" applyFill="1" applyBorder="1" applyAlignment="1">
      <alignment horizontal="center" vertical="center" wrapText="1"/>
    </xf>
    <xf numFmtId="17" fontId="20" fillId="26" borderId="28" xfId="38" applyNumberFormat="1" applyFont="1" applyFill="1" applyBorder="1" applyAlignment="1">
      <alignment vertical="center" wrapText="1"/>
    </xf>
    <xf numFmtId="167" fontId="20" fillId="26" borderId="28" xfId="38" applyNumberFormat="1" applyFont="1" applyFill="1" applyBorder="1" applyAlignment="1">
      <alignment horizontal="right" vertical="center" wrapText="1"/>
    </xf>
    <xf numFmtId="166" fontId="20" fillId="0" borderId="28" xfId="46" applyNumberFormat="1" applyFont="1" applyBorder="1" applyAlignment="1">
      <alignment horizontal="center" vertical="center" wrapText="1"/>
    </xf>
    <xf numFmtId="0" fontId="20" fillId="0" borderId="28" xfId="47" applyFont="1" applyBorder="1" applyAlignment="1">
      <alignment horizontal="left" vertical="center" wrapText="1"/>
    </xf>
    <xf numFmtId="0" fontId="20" fillId="28" borderId="28" xfId="46" applyFont="1" applyFill="1" applyBorder="1" applyAlignment="1">
      <alignment horizontal="left" vertical="center" wrapText="1"/>
    </xf>
    <xf numFmtId="0" fontId="20" fillId="27" borderId="14" xfId="0" applyFont="1" applyFill="1" applyBorder="1" applyAlignment="1">
      <alignment vertical="center" wrapText="1"/>
    </xf>
    <xf numFmtId="0" fontId="20" fillId="0" borderId="28" xfId="46" applyFont="1" applyBorder="1" applyAlignment="1">
      <alignment horizontal="left" vertical="center" wrapText="1"/>
    </xf>
    <xf numFmtId="0" fontId="20" fillId="0" borderId="34" xfId="46" applyFont="1" applyBorder="1" applyAlignment="1">
      <alignment horizontal="left" vertical="center" wrapText="1"/>
    </xf>
    <xf numFmtId="0" fontId="20" fillId="0" borderId="13" xfId="38" applyFont="1" applyBorder="1" applyAlignment="1">
      <alignment vertical="center" wrapText="1"/>
    </xf>
    <xf numFmtId="0" fontId="35" fillId="0" borderId="35" xfId="38" applyFont="1" applyBorder="1" applyAlignment="1">
      <alignment vertical="center" wrapText="1"/>
    </xf>
    <xf numFmtId="166" fontId="35" fillId="0" borderId="28" xfId="44" applyNumberFormat="1" applyFont="1" applyBorder="1" applyAlignment="1">
      <alignment horizontal="center" vertical="center" wrapText="1"/>
    </xf>
    <xf numFmtId="10" fontId="20" fillId="0" borderId="28" xfId="38" applyNumberFormat="1" applyFont="1" applyBorder="1" applyAlignment="1">
      <alignment horizontal="center" vertical="center" wrapText="1"/>
    </xf>
    <xf numFmtId="167" fontId="35" fillId="26" borderId="28" xfId="38" applyNumberFormat="1" applyFont="1" applyFill="1" applyBorder="1" applyAlignment="1">
      <alignment vertical="center" wrapText="1"/>
    </xf>
    <xf numFmtId="167" fontId="35" fillId="26" borderId="28" xfId="38" applyNumberFormat="1" applyFont="1" applyFill="1" applyBorder="1" applyAlignment="1">
      <alignment horizontal="right" vertical="center" wrapText="1"/>
    </xf>
    <xf numFmtId="166" fontId="35" fillId="28" borderId="28" xfId="44" applyNumberFormat="1" applyFont="1" applyFill="1" applyBorder="1" applyAlignment="1">
      <alignment horizontal="center" vertical="center" wrapText="1"/>
    </xf>
    <xf numFmtId="169" fontId="20" fillId="0" borderId="28" xfId="38" applyNumberFormat="1" applyFont="1" applyBorder="1" applyAlignment="1">
      <alignment horizontal="center" vertical="center" wrapText="1"/>
    </xf>
    <xf numFmtId="0" fontId="28" fillId="26" borderId="35" xfId="38" applyFont="1" applyFill="1" applyBorder="1" applyAlignment="1">
      <alignment vertical="center" wrapText="1"/>
    </xf>
    <xf numFmtId="167" fontId="28" fillId="26" borderId="28" xfId="38" applyNumberFormat="1" applyFont="1" applyFill="1" applyBorder="1" applyAlignment="1">
      <alignment vertical="center" wrapText="1"/>
    </xf>
    <xf numFmtId="0" fontId="28" fillId="26" borderId="28" xfId="38" applyFont="1" applyFill="1" applyBorder="1" applyAlignment="1">
      <alignment vertical="center" wrapText="1"/>
    </xf>
    <xf numFmtId="0" fontId="28" fillId="0" borderId="0" xfId="0" applyFont="1" applyAlignment="1">
      <alignment wrapText="1"/>
    </xf>
    <xf numFmtId="0" fontId="28" fillId="26" borderId="28" xfId="38" applyFont="1" applyFill="1" applyBorder="1" applyAlignment="1">
      <alignment horizontal="left" vertical="center" wrapText="1"/>
    </xf>
    <xf numFmtId="0" fontId="28" fillId="26" borderId="28" xfId="38" applyFont="1" applyFill="1" applyBorder="1" applyAlignment="1">
      <alignment horizontal="center" vertical="center" wrapText="1"/>
    </xf>
    <xf numFmtId="9" fontId="28" fillId="26" borderId="28" xfId="45" applyFont="1" applyFill="1" applyBorder="1" applyAlignment="1">
      <alignment horizontal="center" vertical="center" wrapText="1"/>
    </xf>
    <xf numFmtId="17" fontId="28" fillId="26" borderId="28" xfId="38" applyNumberFormat="1" applyFont="1" applyFill="1" applyBorder="1" applyAlignment="1">
      <alignment vertical="center" wrapText="1"/>
    </xf>
    <xf numFmtId="0" fontId="25" fillId="0" borderId="28" xfId="38" applyFont="1" applyBorder="1" applyAlignment="1">
      <alignment vertical="center" wrapText="1"/>
    </xf>
    <xf numFmtId="166" fontId="25" fillId="0" borderId="28" xfId="44" applyNumberFormat="1" applyFont="1" applyBorder="1" applyAlignment="1">
      <alignment horizontal="center" vertical="center" wrapText="1"/>
    </xf>
    <xf numFmtId="168" fontId="28" fillId="0" borderId="28" xfId="38" applyNumberFormat="1" applyFont="1" applyBorder="1" applyAlignment="1">
      <alignment horizontal="center" vertical="center" wrapText="1"/>
    </xf>
    <xf numFmtId="164" fontId="20" fillId="0" borderId="28" xfId="49" applyFont="1" applyBorder="1" applyAlignment="1">
      <alignment horizontal="center" vertical="center" wrapText="1"/>
    </xf>
    <xf numFmtId="0" fontId="28" fillId="26" borderId="34" xfId="38" applyFont="1" applyFill="1" applyBorder="1" applyAlignment="1">
      <alignment vertical="center" wrapText="1"/>
    </xf>
    <xf numFmtId="0" fontId="21" fillId="24" borderId="29" xfId="38" applyFont="1" applyFill="1" applyBorder="1" applyAlignment="1">
      <alignment horizontal="center" vertical="center" wrapText="1"/>
    </xf>
    <xf numFmtId="0" fontId="21" fillId="24" borderId="28" xfId="38" applyFont="1" applyFill="1" applyBorder="1" applyAlignment="1">
      <alignment horizontal="center" vertical="center" wrapText="1"/>
    </xf>
    <xf numFmtId="10" fontId="21" fillId="24" borderId="29" xfId="38" applyNumberFormat="1" applyFont="1" applyFill="1" applyBorder="1" applyAlignment="1">
      <alignment horizontal="center" vertical="center" wrapText="1"/>
    </xf>
    <xf numFmtId="0" fontId="28" fillId="0" borderId="28" xfId="38" applyFont="1" applyBorder="1" applyAlignment="1">
      <alignment horizontal="center" vertical="center" wrapText="1"/>
    </xf>
    <xf numFmtId="0" fontId="20" fillId="0" borderId="28" xfId="38" applyFont="1" applyBorder="1" applyAlignment="1">
      <alignment horizontal="center" vertical="center" wrapText="1"/>
    </xf>
    <xf numFmtId="10" fontId="21" fillId="24" borderId="28" xfId="38" applyNumberFormat="1" applyFont="1" applyFill="1" applyBorder="1" applyAlignment="1">
      <alignment horizontal="center" vertical="center" wrapText="1"/>
    </xf>
    <xf numFmtId="0" fontId="20" fillId="0" borderId="15" xfId="38" applyFont="1" applyBorder="1" applyAlignment="1">
      <alignment horizontal="center" vertical="center" wrapText="1"/>
    </xf>
    <xf numFmtId="0" fontId="35" fillId="0" borderId="28" xfId="38" applyFont="1" applyBorder="1" applyAlignment="1">
      <alignment horizontal="left" vertical="center" wrapText="1"/>
    </xf>
    <xf numFmtId="0" fontId="35" fillId="0" borderId="28" xfId="38" applyFont="1" applyBorder="1" applyAlignment="1">
      <alignment horizontal="center" vertical="center" wrapText="1"/>
    </xf>
    <xf numFmtId="0" fontId="36" fillId="0" borderId="37" xfId="38" applyFont="1" applyBorder="1" applyAlignment="1">
      <alignment vertical="center" wrapText="1"/>
    </xf>
    <xf numFmtId="0" fontId="36" fillId="0" borderId="25" xfId="38" applyFont="1" applyBorder="1" applyAlignment="1">
      <alignment vertical="center" wrapText="1"/>
    </xf>
    <xf numFmtId="9" fontId="36" fillId="0" borderId="25" xfId="45" applyFont="1" applyBorder="1" applyAlignment="1">
      <alignment horizontal="center" vertical="center" wrapText="1"/>
    </xf>
    <xf numFmtId="166" fontId="31" fillId="27" borderId="28" xfId="46" applyNumberFormat="1" applyFont="1" applyFill="1" applyBorder="1" applyAlignment="1">
      <alignment horizontal="center" vertical="center" wrapText="1"/>
    </xf>
    <xf numFmtId="167" fontId="28" fillId="0" borderId="28" xfId="38" applyNumberFormat="1" applyFont="1" applyBorder="1" applyAlignment="1">
      <alignment horizontal="center" vertical="center" wrapText="1"/>
    </xf>
    <xf numFmtId="0" fontId="28" fillId="0" borderId="28" xfId="38" applyFont="1" applyBorder="1" applyAlignment="1">
      <alignment horizontal="justify" vertical="justify" wrapText="1"/>
    </xf>
    <xf numFmtId="0" fontId="28" fillId="0" borderId="34" xfId="47" applyFont="1" applyBorder="1" applyAlignment="1">
      <alignment vertical="center" wrapText="1"/>
    </xf>
    <xf numFmtId="0" fontId="28" fillId="0" borderId="28" xfId="47" applyFont="1" applyBorder="1" applyAlignment="1">
      <alignment vertical="center" wrapText="1"/>
    </xf>
    <xf numFmtId="10" fontId="28" fillId="0" borderId="28" xfId="38" applyNumberFormat="1" applyFont="1" applyBorder="1" applyAlignment="1">
      <alignment horizontal="center" vertical="center" wrapText="1"/>
    </xf>
    <xf numFmtId="0" fontId="36" fillId="0" borderId="17" xfId="38" applyFont="1" applyBorder="1" applyAlignment="1">
      <alignment vertical="center" wrapText="1"/>
    </xf>
    <xf numFmtId="167" fontId="28" fillId="26" borderId="28" xfId="38" applyNumberFormat="1" applyFont="1" applyFill="1" applyBorder="1" applyAlignment="1">
      <alignment horizontal="right" vertical="center" wrapText="1"/>
    </xf>
    <xf numFmtId="0" fontId="28" fillId="26" borderId="14" xfId="38" applyFont="1" applyFill="1" applyBorder="1" applyAlignment="1">
      <alignment vertical="center" wrapText="1"/>
    </xf>
    <xf numFmtId="0" fontId="37" fillId="0" borderId="33" xfId="0" applyFont="1" applyBorder="1" applyAlignment="1">
      <alignment horizontal="center" vertical="center" wrapText="1"/>
    </xf>
    <xf numFmtId="0" fontId="25" fillId="0" borderId="34" xfId="38" applyFont="1" applyBorder="1" applyAlignment="1">
      <alignment vertical="center" wrapText="1"/>
    </xf>
    <xf numFmtId="166" fontId="25" fillId="0" borderId="28" xfId="38" applyNumberFormat="1" applyFont="1" applyBorder="1" applyAlignment="1">
      <alignment horizontal="center" vertical="center" wrapText="1"/>
    </xf>
    <xf numFmtId="9" fontId="25" fillId="0" borderId="28" xfId="45" applyFont="1" applyBorder="1" applyAlignment="1">
      <alignment horizontal="center" vertical="center" wrapText="1"/>
    </xf>
    <xf numFmtId="167" fontId="25" fillId="0" borderId="28" xfId="38" applyNumberFormat="1" applyFont="1" applyBorder="1" applyAlignment="1">
      <alignment horizontal="center" vertical="center" wrapText="1"/>
    </xf>
    <xf numFmtId="0" fontId="25" fillId="0" borderId="35" xfId="38" applyFont="1" applyBorder="1" applyAlignment="1">
      <alignment vertical="center" wrapText="1"/>
    </xf>
    <xf numFmtId="0" fontId="20" fillId="0" borderId="0" xfId="0" applyFont="1" applyAlignment="1">
      <alignment wrapText="1"/>
    </xf>
    <xf numFmtId="0" fontId="24" fillId="0" borderId="0" xfId="0" applyFont="1"/>
    <xf numFmtId="166" fontId="36" fillId="0" borderId="25" xfId="38" applyNumberFormat="1" applyFont="1" applyBorder="1" applyAlignment="1">
      <alignment horizontal="center" vertical="center" wrapText="1"/>
    </xf>
    <xf numFmtId="0" fontId="36" fillId="0" borderId="40" xfId="38" applyFont="1" applyBorder="1" applyAlignment="1">
      <alignment vertical="center" wrapText="1"/>
    </xf>
    <xf numFmtId="167" fontId="20" fillId="26" borderId="28" xfId="38" applyNumberFormat="1" applyFont="1" applyFill="1" applyBorder="1" applyAlignment="1">
      <alignment vertical="center" wrapText="1"/>
    </xf>
    <xf numFmtId="168" fontId="20" fillId="0" borderId="28" xfId="38" applyNumberFormat="1" applyFont="1" applyBorder="1" applyAlignment="1">
      <alignment horizontal="center" vertical="center" wrapText="1"/>
    </xf>
    <xf numFmtId="164" fontId="28" fillId="0" borderId="28" xfId="49" applyFont="1" applyBorder="1" applyAlignment="1">
      <alignment horizontal="center" vertical="center" wrapText="1"/>
    </xf>
    <xf numFmtId="0" fontId="28" fillId="0" borderId="28" xfId="47" applyFont="1" applyBorder="1" applyAlignment="1">
      <alignment horizontal="left" vertical="center" wrapText="1"/>
    </xf>
    <xf numFmtId="166" fontId="38" fillId="0" borderId="0" xfId="38" applyNumberFormat="1" applyFont="1" applyAlignment="1">
      <alignment horizontal="center" vertical="center" wrapText="1"/>
    </xf>
    <xf numFmtId="14" fontId="24" fillId="0" borderId="0" xfId="0" applyNumberFormat="1" applyFont="1" applyAlignment="1">
      <alignment horizontal="center"/>
    </xf>
    <xf numFmtId="14" fontId="26" fillId="0" borderId="0" xfId="0" applyNumberFormat="1" applyFont="1" applyAlignment="1">
      <alignment horizontal="center"/>
    </xf>
    <xf numFmtId="167" fontId="25" fillId="0" borderId="28" xfId="38" applyNumberFormat="1" applyFont="1" applyBorder="1" applyAlignment="1">
      <alignment vertical="center" wrapText="1"/>
    </xf>
    <xf numFmtId="166" fontId="25" fillId="0" borderId="25" xfId="38" applyNumberFormat="1" applyFont="1" applyBorder="1" applyAlignment="1">
      <alignment horizontal="center" vertical="center" wrapText="1"/>
    </xf>
    <xf numFmtId="0" fontId="39" fillId="0" borderId="37" xfId="38" applyFont="1" applyBorder="1" applyAlignment="1">
      <alignment vertical="center" wrapText="1"/>
    </xf>
    <xf numFmtId="0" fontId="39" fillId="0" borderId="25" xfId="38" applyFont="1" applyBorder="1" applyAlignment="1">
      <alignment vertical="center" wrapText="1"/>
    </xf>
    <xf numFmtId="0" fontId="39" fillId="0" borderId="25" xfId="38" applyFont="1" applyBorder="1" applyAlignment="1">
      <alignment horizontal="center" vertical="center" wrapText="1"/>
    </xf>
    <xf numFmtId="9" fontId="39" fillId="0" borderId="25" xfId="45" applyFont="1" applyBorder="1" applyAlignment="1">
      <alignment horizontal="center" vertical="center" wrapText="1"/>
    </xf>
    <xf numFmtId="167" fontId="39" fillId="0" borderId="25" xfId="38" applyNumberFormat="1" applyFont="1" applyBorder="1" applyAlignment="1">
      <alignment vertical="center" wrapText="1"/>
    </xf>
    <xf numFmtId="0" fontId="39" fillId="0" borderId="43" xfId="38" applyFont="1" applyBorder="1" applyAlignment="1">
      <alignment horizontal="left" vertical="center" wrapText="1"/>
    </xf>
    <xf numFmtId="0" fontId="35" fillId="26" borderId="35" xfId="38" applyFont="1" applyFill="1" applyBorder="1" applyAlignment="1">
      <alignment vertical="center" wrapText="1"/>
    </xf>
    <xf numFmtId="0" fontId="39" fillId="0" borderId="28" xfId="38" applyFont="1" applyBorder="1" applyAlignment="1">
      <alignment vertical="center" wrapText="1"/>
    </xf>
    <xf numFmtId="0" fontId="39" fillId="0" borderId="28" xfId="38" applyFont="1" applyBorder="1" applyAlignment="1">
      <alignment horizontal="center" vertical="center" wrapText="1"/>
    </xf>
    <xf numFmtId="0" fontId="28" fillId="28" borderId="28" xfId="38" applyFont="1" applyFill="1" applyBorder="1" applyAlignment="1">
      <alignment vertical="center" wrapText="1"/>
    </xf>
    <xf numFmtId="166" fontId="35" fillId="27" borderId="28" xfId="44" applyNumberFormat="1" applyFont="1" applyFill="1" applyBorder="1" applyAlignment="1">
      <alignment horizontal="center" vertical="center" wrapText="1"/>
    </xf>
    <xf numFmtId="0" fontId="25" fillId="27" borderId="17" xfId="46" applyFont="1" applyFill="1" applyBorder="1" applyAlignment="1">
      <alignment horizontal="left" vertical="center" wrapText="1"/>
    </xf>
    <xf numFmtId="3" fontId="25" fillId="0" borderId="28" xfId="0" applyNumberFormat="1" applyFont="1" applyBorder="1" applyAlignment="1">
      <alignment vertical="center" wrapText="1"/>
    </xf>
    <xf numFmtId="0" fontId="25" fillId="27" borderId="28" xfId="46" applyFont="1" applyFill="1" applyBorder="1" applyAlignment="1">
      <alignment horizontal="left" vertical="center" wrapText="1"/>
    </xf>
    <xf numFmtId="0" fontId="25" fillId="27" borderId="28" xfId="46" applyFont="1" applyFill="1" applyBorder="1" applyAlignment="1">
      <alignment horizontal="center" vertical="center" wrapText="1"/>
    </xf>
    <xf numFmtId="167" fontId="25" fillId="0" borderId="28" xfId="46" applyNumberFormat="1" applyFont="1" applyBorder="1" applyAlignment="1">
      <alignment horizontal="center" vertical="center" wrapText="1"/>
    </xf>
    <xf numFmtId="167" fontId="25" fillId="27" borderId="28" xfId="46" applyNumberFormat="1" applyFont="1" applyFill="1" applyBorder="1" applyAlignment="1">
      <alignment horizontal="center" vertical="center" wrapText="1"/>
    </xf>
    <xf numFmtId="0" fontId="28" fillId="0" borderId="34" xfId="46" applyFont="1" applyBorder="1" applyAlignment="1">
      <alignment horizontal="left" vertical="center" wrapText="1"/>
    </xf>
    <xf numFmtId="0" fontId="28" fillId="27" borderId="35" xfId="0" applyFont="1" applyFill="1" applyBorder="1" applyAlignment="1">
      <alignment horizontal="left" vertical="center" wrapText="1"/>
    </xf>
    <xf numFmtId="0" fontId="28" fillId="0" borderId="38" xfId="46" applyFont="1" applyBorder="1" applyAlignment="1">
      <alignment horizontal="left" vertical="center" wrapText="1"/>
    </xf>
    <xf numFmtId="0" fontId="28" fillId="27" borderId="19" xfId="0" applyFont="1" applyFill="1" applyBorder="1" applyAlignment="1">
      <alignment horizontal="left" vertical="center" wrapText="1"/>
    </xf>
    <xf numFmtId="0" fontId="28" fillId="0" borderId="19" xfId="46" applyFont="1" applyBorder="1" applyAlignment="1">
      <alignment horizontal="left" vertical="center" wrapText="1"/>
    </xf>
    <xf numFmtId="0" fontId="28" fillId="0" borderId="19" xfId="46" applyFont="1" applyBorder="1" applyAlignment="1">
      <alignment horizontal="center" vertical="center" wrapText="1"/>
    </xf>
    <xf numFmtId="166" fontId="28" fillId="28" borderId="19" xfId="44" applyNumberFormat="1" applyFont="1" applyFill="1" applyBorder="1" applyAlignment="1">
      <alignment horizontal="center" vertical="center" wrapText="1"/>
    </xf>
    <xf numFmtId="9" fontId="28" fillId="27" borderId="19" xfId="45" applyFont="1" applyFill="1" applyBorder="1" applyAlignment="1">
      <alignment horizontal="center" vertical="center" wrapText="1"/>
    </xf>
    <xf numFmtId="0" fontId="28" fillId="27" borderId="39" xfId="0" applyFont="1" applyFill="1" applyBorder="1" applyAlignment="1">
      <alignment horizontal="left" vertical="center" wrapText="1"/>
    </xf>
    <xf numFmtId="167" fontId="20" fillId="26" borderId="28" xfId="38" applyNumberFormat="1" applyFont="1" applyFill="1" applyBorder="1" applyAlignment="1">
      <alignment horizontal="center" vertical="center" wrapText="1"/>
    </xf>
    <xf numFmtId="167" fontId="35" fillId="26" borderId="28" xfId="38" applyNumberFormat="1" applyFont="1" applyFill="1" applyBorder="1" applyAlignment="1">
      <alignment horizontal="center" vertical="center" wrapText="1"/>
    </xf>
    <xf numFmtId="166" fontId="28" fillId="0" borderId="28" xfId="38" applyNumberFormat="1" applyFont="1" applyBorder="1" applyAlignment="1">
      <alignment vertical="center" wrapText="1"/>
    </xf>
    <xf numFmtId="0" fontId="25" fillId="0" borderId="28" xfId="38" applyFont="1" applyBorder="1" applyAlignment="1">
      <alignment horizontal="justify" vertical="center" wrapText="1"/>
    </xf>
    <xf numFmtId="0" fontId="25" fillId="0" borderId="26" xfId="38" applyFont="1" applyBorder="1" applyAlignment="1">
      <alignment vertical="center" wrapText="1"/>
    </xf>
    <xf numFmtId="0" fontId="25" fillId="0" borderId="23" xfId="38" applyFont="1" applyBorder="1" applyAlignment="1">
      <alignment horizontal="justify" vertical="center" wrapText="1"/>
    </xf>
    <xf numFmtId="0" fontId="25" fillId="0" borderId="23" xfId="38" applyFont="1" applyBorder="1" applyAlignment="1">
      <alignment vertical="center" wrapText="1"/>
    </xf>
    <xf numFmtId="166" fontId="25" fillId="0" borderId="23" xfId="38" applyNumberFormat="1" applyFont="1" applyBorder="1" applyAlignment="1">
      <alignment vertical="center" wrapText="1"/>
    </xf>
    <xf numFmtId="166" fontId="25" fillId="0" borderId="23" xfId="38" applyNumberFormat="1" applyFont="1" applyBorder="1" applyAlignment="1">
      <alignment horizontal="center" vertical="center" wrapText="1"/>
    </xf>
    <xf numFmtId="9" fontId="25" fillId="0" borderId="23" xfId="45" applyFont="1" applyBorder="1" applyAlignment="1">
      <alignment horizontal="center" vertical="center" wrapText="1"/>
    </xf>
    <xf numFmtId="167" fontId="25" fillId="0" borderId="23" xfId="38" applyNumberFormat="1" applyFont="1" applyBorder="1" applyAlignment="1">
      <alignment horizontal="center" vertical="center" wrapText="1"/>
    </xf>
    <xf numFmtId="167" fontId="28" fillId="26" borderId="28" xfId="38" applyNumberFormat="1" applyFont="1" applyFill="1" applyBorder="1" applyAlignment="1">
      <alignment horizontal="center" vertical="center" wrapText="1"/>
    </xf>
    <xf numFmtId="0" fontId="28" fillId="0" borderId="28" xfId="38" applyFont="1" applyBorder="1" applyAlignment="1">
      <alignment horizontal="center" vertical="center" wrapText="1"/>
    </xf>
    <xf numFmtId="0" fontId="20" fillId="0" borderId="28" xfId="38" applyFont="1" applyBorder="1" applyAlignment="1">
      <alignment horizontal="center" vertical="center" wrapText="1"/>
    </xf>
    <xf numFmtId="0" fontId="28" fillId="0" borderId="45" xfId="38" applyFont="1" applyBorder="1" applyAlignment="1">
      <alignment horizontal="left" vertical="center" wrapText="1"/>
    </xf>
    <xf numFmtId="0" fontId="28" fillId="0" borderId="42" xfId="38" applyFont="1" applyBorder="1" applyAlignment="1">
      <alignment vertical="center" wrapText="1"/>
    </xf>
    <xf numFmtId="0" fontId="35" fillId="0" borderId="25" xfId="38" applyFont="1" applyBorder="1" applyAlignment="1">
      <alignment vertical="center" wrapText="1"/>
    </xf>
    <xf numFmtId="166" fontId="35" fillId="0" borderId="25" xfId="47" applyNumberFormat="1" applyFont="1" applyBorder="1" applyAlignment="1">
      <alignment horizontal="center" vertical="center" wrapText="1"/>
    </xf>
    <xf numFmtId="0" fontId="35" fillId="0" borderId="44" xfId="38" applyFont="1" applyBorder="1" applyAlignment="1">
      <alignment vertical="center" wrapText="1"/>
    </xf>
    <xf numFmtId="0" fontId="25" fillId="0" borderId="28" xfId="38" applyFont="1" applyBorder="1" applyAlignment="1">
      <alignment horizontal="left" vertical="center" wrapText="1"/>
    </xf>
    <xf numFmtId="0" fontId="25" fillId="26" borderId="28" xfId="38" applyFont="1" applyFill="1" applyBorder="1" applyAlignment="1">
      <alignment horizontal="left" vertical="center" wrapText="1"/>
    </xf>
    <xf numFmtId="0" fontId="25" fillId="26" borderId="35" xfId="38" applyFont="1" applyFill="1" applyBorder="1" applyAlignment="1">
      <alignment vertical="center" wrapText="1"/>
    </xf>
    <xf numFmtId="17" fontId="25" fillId="26" borderId="28" xfId="38" applyNumberFormat="1" applyFont="1" applyFill="1" applyBorder="1" applyAlignment="1">
      <alignment vertical="center" wrapText="1"/>
    </xf>
    <xf numFmtId="0" fontId="20" fillId="0" borderId="37" xfId="38" applyFont="1" applyBorder="1" applyAlignment="1">
      <alignment vertical="center" wrapText="1"/>
    </xf>
    <xf numFmtId="0" fontId="20" fillId="0" borderId="25" xfId="38" applyFont="1" applyBorder="1" applyAlignment="1">
      <alignment vertical="center" wrapText="1"/>
    </xf>
    <xf numFmtId="9" fontId="20" fillId="0" borderId="25" xfId="45" applyFont="1" applyBorder="1" applyAlignment="1">
      <alignment horizontal="center" vertical="center" wrapText="1"/>
    </xf>
    <xf numFmtId="0" fontId="20" fillId="26" borderId="25" xfId="38" applyFont="1" applyFill="1" applyBorder="1" applyAlignment="1">
      <alignment vertical="center" wrapText="1"/>
    </xf>
    <xf numFmtId="17" fontId="20" fillId="26" borderId="25" xfId="38" applyNumberFormat="1" applyFont="1" applyFill="1" applyBorder="1" applyAlignment="1">
      <alignment vertical="center" wrapText="1"/>
    </xf>
    <xf numFmtId="0" fontId="20" fillId="26" borderId="40" xfId="38" applyFont="1" applyFill="1" applyBorder="1" applyAlignment="1">
      <alignment vertical="center" wrapText="1"/>
    </xf>
    <xf numFmtId="166" fontId="35" fillId="0" borderId="25" xfId="44" applyNumberFormat="1" applyFont="1" applyBorder="1" applyAlignment="1">
      <alignment horizontal="center" vertical="center" wrapText="1"/>
    </xf>
    <xf numFmtId="0" fontId="35" fillId="26" borderId="25" xfId="38" applyFont="1" applyFill="1" applyBorder="1" applyAlignment="1">
      <alignment vertical="center" wrapText="1"/>
    </xf>
    <xf numFmtId="168" fontId="35" fillId="0" borderId="28" xfId="38" applyNumberFormat="1" applyFont="1" applyBorder="1" applyAlignment="1">
      <alignment horizontal="center" vertical="center" wrapText="1"/>
    </xf>
    <xf numFmtId="0" fontId="25" fillId="0" borderId="28" xfId="38" applyFont="1" applyBorder="1" applyAlignment="1">
      <alignment horizontal="center" vertical="center" wrapText="1"/>
    </xf>
    <xf numFmtId="3" fontId="25" fillId="0" borderId="14" xfId="46" applyNumberFormat="1" applyFont="1" applyBorder="1" applyAlignment="1" applyProtection="1">
      <alignment vertical="center" wrapText="1"/>
      <protection locked="0"/>
    </xf>
    <xf numFmtId="3" fontId="35" fillId="27" borderId="14" xfId="0" applyNumberFormat="1" applyFont="1" applyFill="1" applyBorder="1" applyAlignment="1" applyProtection="1">
      <alignment vertical="center" wrapText="1"/>
      <protection locked="0"/>
    </xf>
    <xf numFmtId="3" fontId="28" fillId="28" borderId="28" xfId="0" applyNumberFormat="1" applyFont="1" applyFill="1" applyBorder="1" applyAlignment="1" applyProtection="1">
      <alignment vertical="center" wrapText="1"/>
      <protection locked="0"/>
    </xf>
    <xf numFmtId="166" fontId="28" fillId="28" borderId="28" xfId="46" applyNumberFormat="1" applyFont="1" applyFill="1" applyBorder="1" applyAlignment="1">
      <alignment horizontal="center" vertical="center" wrapText="1"/>
    </xf>
    <xf numFmtId="3" fontId="28" fillId="28" borderId="14" xfId="0" applyNumberFormat="1" applyFont="1" applyFill="1" applyBorder="1" applyAlignment="1" applyProtection="1">
      <alignment vertical="center" wrapText="1"/>
      <protection locked="0"/>
    </xf>
    <xf numFmtId="3" fontId="25" fillId="27" borderId="28" xfId="0" applyNumberFormat="1" applyFont="1" applyFill="1" applyBorder="1" applyAlignment="1" applyProtection="1">
      <alignment vertical="center" wrapText="1"/>
      <protection locked="0"/>
    </xf>
    <xf numFmtId="3" fontId="35" fillId="0" borderId="14" xfId="0" applyNumberFormat="1" applyFont="1" applyBorder="1" applyAlignment="1">
      <alignment vertical="center" wrapText="1"/>
    </xf>
    <xf numFmtId="166" fontId="25" fillId="28" borderId="28" xfId="44" applyNumberFormat="1" applyFont="1" applyFill="1" applyBorder="1" applyAlignment="1">
      <alignment horizontal="center" vertical="center" wrapText="1"/>
    </xf>
    <xf numFmtId="0" fontId="25" fillId="27" borderId="35" xfId="0" applyFont="1" applyFill="1" applyBorder="1" applyAlignment="1">
      <alignment horizontal="left" vertical="center" wrapText="1"/>
    </xf>
    <xf numFmtId="0" fontId="25" fillId="27" borderId="14" xfId="0" applyFont="1" applyFill="1" applyBorder="1" applyAlignment="1">
      <alignment horizontal="left" vertical="center" wrapText="1"/>
    </xf>
    <xf numFmtId="0" fontId="25" fillId="26" borderId="14" xfId="38" applyFont="1" applyFill="1" applyBorder="1" applyAlignment="1">
      <alignment vertical="center" wrapText="1"/>
    </xf>
    <xf numFmtId="167" fontId="25" fillId="26" borderId="28" xfId="38" applyNumberFormat="1" applyFont="1" applyFill="1" applyBorder="1" applyAlignment="1">
      <alignment horizontal="center" vertical="center" wrapText="1"/>
    </xf>
    <xf numFmtId="164" fontId="25" fillId="0" borderId="28" xfId="49" applyFont="1" applyBorder="1" applyAlignment="1">
      <alignment horizontal="center" vertical="center" wrapText="1"/>
    </xf>
    <xf numFmtId="168" fontId="25" fillId="0" borderId="28" xfId="38" applyNumberFormat="1" applyFont="1" applyBorder="1" applyAlignment="1">
      <alignment horizontal="center" vertical="center" wrapText="1"/>
    </xf>
    <xf numFmtId="0" fontId="25" fillId="26" borderId="28" xfId="38" applyFont="1" applyFill="1" applyBorder="1" applyAlignment="1">
      <alignment vertical="center" wrapText="1"/>
    </xf>
    <xf numFmtId="0" fontId="25" fillId="0" borderId="37" xfId="38" applyFont="1" applyBorder="1" applyAlignment="1">
      <alignment vertical="center" wrapText="1"/>
    </xf>
    <xf numFmtId="0" fontId="25" fillId="0" borderId="25" xfId="38" applyFont="1" applyBorder="1" applyAlignment="1">
      <alignment vertical="center" wrapText="1"/>
    </xf>
    <xf numFmtId="0" fontId="25" fillId="0" borderId="25" xfId="38" applyFont="1" applyBorder="1" applyAlignment="1">
      <alignment horizontal="left" vertical="center" wrapText="1"/>
    </xf>
    <xf numFmtId="0" fontId="25" fillId="27" borderId="36" xfId="0" applyFont="1" applyFill="1" applyBorder="1" applyAlignment="1">
      <alignment vertical="center" wrapText="1"/>
    </xf>
    <xf numFmtId="164" fontId="25" fillId="0" borderId="25" xfId="49" applyFont="1" applyBorder="1" applyAlignment="1">
      <alignment horizontal="center" vertical="center" wrapText="1"/>
    </xf>
    <xf numFmtId="9" fontId="25" fillId="0" borderId="25" xfId="45" applyFont="1" applyBorder="1" applyAlignment="1">
      <alignment horizontal="center" vertical="center" wrapText="1"/>
    </xf>
    <xf numFmtId="167" fontId="25" fillId="26" borderId="25" xfId="38" applyNumberFormat="1" applyFont="1" applyFill="1" applyBorder="1" applyAlignment="1">
      <alignment horizontal="center" vertical="center" wrapText="1"/>
    </xf>
    <xf numFmtId="0" fontId="25" fillId="26" borderId="25" xfId="38" applyFont="1" applyFill="1" applyBorder="1" applyAlignment="1">
      <alignment vertical="center" wrapText="1"/>
    </xf>
    <xf numFmtId="0" fontId="25" fillId="26" borderId="40" xfId="38" applyFont="1" applyFill="1" applyBorder="1" applyAlignment="1">
      <alignment vertical="center" wrapText="1"/>
    </xf>
    <xf numFmtId="168" fontId="35" fillId="0" borderId="25" xfId="38" applyNumberFormat="1" applyFont="1" applyBorder="1" applyAlignment="1">
      <alignment horizontal="center" vertical="center" wrapText="1"/>
    </xf>
    <xf numFmtId="0" fontId="20" fillId="0" borderId="24" xfId="38" applyFont="1" applyBorder="1" applyAlignment="1">
      <alignment vertical="center" wrapText="1"/>
    </xf>
    <xf numFmtId="167" fontId="35" fillId="0" borderId="25" xfId="38" applyNumberFormat="1" applyFont="1" applyBorder="1" applyAlignment="1">
      <alignment horizontal="center" vertical="center" wrapText="1"/>
    </xf>
    <xf numFmtId="0" fontId="20" fillId="28" borderId="28" xfId="46" applyFont="1" applyFill="1" applyBorder="1" applyAlignment="1">
      <alignment horizontal="center" vertical="center" wrapText="1"/>
    </xf>
    <xf numFmtId="0" fontId="24" fillId="25" borderId="20" xfId="0" applyFont="1" applyFill="1" applyBorder="1" applyAlignment="1">
      <alignment horizontal="center" vertical="center"/>
    </xf>
    <xf numFmtId="0" fontId="24" fillId="25" borderId="19" xfId="0" applyFont="1" applyFill="1" applyBorder="1" applyAlignment="1">
      <alignment horizontal="center" vertical="center"/>
    </xf>
    <xf numFmtId="0" fontId="24" fillId="25" borderId="23" xfId="0" applyFont="1" applyFill="1" applyBorder="1" applyAlignment="1">
      <alignment horizontal="center" vertical="center"/>
    </xf>
    <xf numFmtId="0" fontId="24" fillId="25" borderId="10" xfId="0" applyFont="1" applyFill="1" applyBorder="1" applyAlignment="1">
      <alignment horizontal="center" vertical="center"/>
    </xf>
    <xf numFmtId="0" fontId="20" fillId="0" borderId="10" xfId="1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0" fontId="20" fillId="0" borderId="28" xfId="38" applyFont="1" applyBorder="1" applyAlignment="1">
      <alignment horizontal="center" vertical="center" wrapText="1"/>
    </xf>
    <xf numFmtId="0" fontId="20" fillId="0" borderId="15" xfId="38" applyFont="1" applyBorder="1" applyAlignment="1">
      <alignment horizontal="center" vertical="center" wrapText="1"/>
    </xf>
    <xf numFmtId="0" fontId="21" fillId="24" borderId="12" xfId="38" applyFont="1" applyFill="1" applyBorder="1" applyAlignment="1">
      <alignment horizontal="center" vertical="center" wrapText="1"/>
    </xf>
    <xf numFmtId="0" fontId="21" fillId="24" borderId="28" xfId="38" applyFont="1" applyFill="1" applyBorder="1" applyAlignment="1">
      <alignment horizontal="center" vertical="center" wrapText="1"/>
    </xf>
    <xf numFmtId="0" fontId="21" fillId="24" borderId="13" xfId="38" applyFont="1" applyFill="1" applyBorder="1" applyAlignment="1">
      <alignment horizontal="center" vertical="center" wrapText="1"/>
    </xf>
    <xf numFmtId="0" fontId="21" fillId="24" borderId="14" xfId="38" applyFont="1" applyFill="1" applyBorder="1" applyAlignment="1">
      <alignment horizontal="center" vertical="center" wrapText="1"/>
    </xf>
    <xf numFmtId="0" fontId="28" fillId="0" borderId="15" xfId="38" applyFont="1" applyBorder="1" applyAlignment="1">
      <alignment horizontal="center" vertical="center" wrapText="1"/>
    </xf>
    <xf numFmtId="0" fontId="22" fillId="24" borderId="29" xfId="38" applyFont="1" applyFill="1" applyBorder="1" applyAlignment="1">
      <alignment horizontal="left" vertical="center" wrapText="1"/>
    </xf>
    <xf numFmtId="0" fontId="21" fillId="24" borderId="11" xfId="38" applyFont="1" applyFill="1" applyBorder="1" applyAlignment="1">
      <alignment horizontal="center" vertical="center" wrapText="1"/>
    </xf>
    <xf numFmtId="0" fontId="21" fillId="24" borderId="17" xfId="38" applyFont="1" applyFill="1" applyBorder="1" applyAlignment="1">
      <alignment horizontal="center" vertical="center" wrapText="1"/>
    </xf>
    <xf numFmtId="10" fontId="21" fillId="24" borderId="12" xfId="38" applyNumberFormat="1" applyFont="1" applyFill="1" applyBorder="1" applyAlignment="1">
      <alignment horizontal="center" vertical="center" wrapText="1"/>
    </xf>
    <xf numFmtId="10" fontId="21" fillId="24" borderId="28" xfId="38" applyNumberFormat="1" applyFont="1" applyFill="1" applyBorder="1" applyAlignment="1">
      <alignment horizontal="center" vertical="center" wrapText="1"/>
    </xf>
    <xf numFmtId="0" fontId="28" fillId="0" borderId="28" xfId="38" applyFont="1" applyBorder="1" applyAlignment="1">
      <alignment horizontal="center" vertical="center" wrapText="1"/>
    </xf>
    <xf numFmtId="0" fontId="21" fillId="24" borderId="32" xfId="38" applyFont="1" applyFill="1" applyBorder="1" applyAlignment="1">
      <alignment horizontal="center" vertical="center" wrapText="1"/>
    </xf>
    <xf numFmtId="10" fontId="21" fillId="24" borderId="29" xfId="38" applyNumberFormat="1" applyFont="1" applyFill="1" applyBorder="1" applyAlignment="1">
      <alignment horizontal="center" vertical="center" wrapText="1"/>
    </xf>
    <xf numFmtId="0" fontId="21" fillId="24" borderId="29" xfId="38" applyFont="1" applyFill="1" applyBorder="1" applyAlignment="1">
      <alignment horizontal="center" vertical="center" wrapText="1"/>
    </xf>
    <xf numFmtId="0" fontId="21" fillId="24" borderId="30" xfId="38" applyFont="1" applyFill="1" applyBorder="1" applyAlignment="1">
      <alignment horizontal="center" vertical="center" wrapText="1"/>
    </xf>
    <xf numFmtId="0" fontId="21" fillId="24" borderId="21" xfId="38" applyFont="1" applyFill="1" applyBorder="1" applyAlignment="1">
      <alignment horizontal="center" vertical="center" wrapText="1"/>
    </xf>
    <xf numFmtId="0" fontId="21" fillId="24" borderId="48" xfId="38" applyFont="1" applyFill="1" applyBorder="1" applyAlignment="1">
      <alignment horizontal="center" vertical="center" wrapText="1"/>
    </xf>
    <xf numFmtId="0" fontId="21" fillId="24" borderId="47" xfId="38" applyFont="1" applyFill="1" applyBorder="1" applyAlignment="1">
      <alignment horizontal="center" vertical="center" wrapText="1"/>
    </xf>
    <xf numFmtId="0" fontId="21" fillId="24" borderId="23" xfId="38" applyFont="1" applyFill="1" applyBorder="1" applyAlignment="1">
      <alignment horizontal="center" vertical="center" wrapText="1"/>
    </xf>
    <xf numFmtId="0" fontId="21" fillId="24" borderId="46" xfId="38" applyFont="1" applyFill="1" applyBorder="1" applyAlignment="1">
      <alignment horizontal="center" vertical="center" wrapText="1"/>
    </xf>
    <xf numFmtId="0" fontId="21" fillId="24" borderId="24" xfId="38" applyFont="1" applyFill="1" applyBorder="1" applyAlignment="1">
      <alignment horizontal="center" vertical="center" wrapText="1"/>
    </xf>
    <xf numFmtId="0" fontId="21" fillId="24" borderId="45" xfId="38" applyFont="1" applyFill="1" applyBorder="1" applyAlignment="1">
      <alignment horizontal="center" vertical="center" wrapText="1"/>
    </xf>
    <xf numFmtId="0" fontId="21" fillId="24" borderId="53" xfId="38" applyFont="1" applyFill="1" applyBorder="1" applyAlignment="1">
      <alignment horizontal="center" vertical="center" wrapText="1"/>
    </xf>
    <xf numFmtId="0" fontId="22" fillId="24" borderId="41" xfId="38" applyFont="1" applyFill="1" applyBorder="1" applyAlignment="1">
      <alignment horizontal="left" vertical="center" wrapText="1"/>
    </xf>
    <xf numFmtId="0" fontId="22" fillId="24" borderId="51" xfId="38" applyFont="1" applyFill="1" applyBorder="1" applyAlignment="1">
      <alignment horizontal="left" vertical="center" wrapText="1"/>
    </xf>
    <xf numFmtId="0" fontId="22" fillId="24" borderId="52" xfId="38" applyFont="1" applyFill="1" applyBorder="1" applyAlignment="1">
      <alignment horizontal="left" vertical="center" wrapText="1"/>
    </xf>
    <xf numFmtId="0" fontId="21" fillId="24" borderId="50" xfId="38" applyFont="1" applyFill="1" applyBorder="1" applyAlignment="1">
      <alignment horizontal="center" vertical="center" wrapText="1"/>
    </xf>
    <xf numFmtId="0" fontId="21" fillId="24" borderId="26" xfId="38" applyFont="1" applyFill="1" applyBorder="1" applyAlignment="1">
      <alignment horizontal="center" vertical="center" wrapText="1"/>
    </xf>
    <xf numFmtId="0" fontId="22" fillId="24" borderId="21" xfId="38" applyFont="1" applyFill="1" applyBorder="1" applyAlignment="1">
      <alignment horizontal="left" vertical="center" wrapText="1"/>
    </xf>
    <xf numFmtId="0" fontId="22" fillId="24" borderId="48" xfId="38" applyFont="1" applyFill="1" applyBorder="1" applyAlignment="1">
      <alignment horizontal="left" vertical="center" wrapText="1"/>
    </xf>
    <xf numFmtId="0" fontId="21" fillId="24" borderId="49" xfId="38" applyFont="1" applyFill="1" applyBorder="1" applyAlignment="1">
      <alignment horizontal="center" vertical="center" wrapText="1"/>
    </xf>
    <xf numFmtId="0" fontId="21" fillId="24" borderId="31" xfId="38" applyFont="1" applyFill="1" applyBorder="1" applyAlignment="1">
      <alignment horizontal="center" vertical="center" wrapText="1"/>
    </xf>
    <xf numFmtId="0" fontId="23" fillId="0" borderId="22" xfId="38" applyFont="1" applyBorder="1" applyAlignment="1">
      <alignment horizontal="left" vertical="center" wrapText="1"/>
    </xf>
    <xf numFmtId="0" fontId="23" fillId="0" borderId="0" xfId="38" applyFont="1" applyAlignment="1">
      <alignment horizontal="left" vertical="center" wrapText="1"/>
    </xf>
    <xf numFmtId="0" fontId="26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166" fontId="38" fillId="0" borderId="0" xfId="38" applyNumberFormat="1" applyFont="1" applyAlignment="1">
      <alignment horizontal="center" vertical="center"/>
    </xf>
    <xf numFmtId="166" fontId="38" fillId="26" borderId="0" xfId="38" applyNumberFormat="1" applyFont="1" applyFill="1" applyAlignment="1">
      <alignment horizontal="center" vertical="center"/>
    </xf>
  </cellXfs>
  <cellStyles count="50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Calculation 2" xfId="27" xr:uid="{00000000-0005-0000-0000-000019000000}"/>
    <cellStyle name="Check Cell 2" xfId="28" xr:uid="{00000000-0005-0000-0000-00001A000000}"/>
    <cellStyle name="Comma" xfId="49" builtinId="3"/>
    <cellStyle name="Currency" xfId="44" builtinId="4"/>
    <cellStyle name="Explanatory Text 2" xfId="29" xr:uid="{00000000-0005-0000-0000-00001B000000}"/>
    <cellStyle name="Good 2" xfId="30" xr:uid="{00000000-0005-0000-0000-00001C000000}"/>
    <cellStyle name="Heading 1 2" xfId="31" xr:uid="{00000000-0005-0000-0000-00001D000000}"/>
    <cellStyle name="Heading 2 2" xfId="32" xr:uid="{00000000-0005-0000-0000-00001E000000}"/>
    <cellStyle name="Heading 3 2" xfId="33" xr:uid="{00000000-0005-0000-0000-00001F000000}"/>
    <cellStyle name="Heading 4 2" xfId="34" xr:uid="{00000000-0005-0000-0000-000020000000}"/>
    <cellStyle name="Input 2" xfId="35" xr:uid="{00000000-0005-0000-0000-000021000000}"/>
    <cellStyle name="Linked Cell 2" xfId="36" xr:uid="{00000000-0005-0000-0000-000022000000}"/>
    <cellStyle name="Neutral 2" xfId="37" xr:uid="{00000000-0005-0000-0000-000024000000}"/>
    <cellStyle name="Normal" xfId="0" builtinId="0"/>
    <cellStyle name="Normal 2" xfId="38" xr:uid="{00000000-0005-0000-0000-000026000000}"/>
    <cellStyle name="Normal 2 2" xfId="47" xr:uid="{00000000-0005-0000-0000-000027000000}"/>
    <cellStyle name="Normal 3" xfId="1" xr:uid="{00000000-0005-0000-0000-000028000000}"/>
    <cellStyle name="Note 2" xfId="39" xr:uid="{00000000-0005-0000-0000-000029000000}"/>
    <cellStyle name="Note 2 2" xfId="48" xr:uid="{00000000-0005-0000-0000-00002A000000}"/>
    <cellStyle name="Output 2" xfId="40" xr:uid="{00000000-0005-0000-0000-00002B000000}"/>
    <cellStyle name="Percent" xfId="45" builtinId="5"/>
    <cellStyle name="TableStyleLight1" xfId="46" xr:uid="{00000000-0005-0000-0000-00002D000000}"/>
    <cellStyle name="Title 2" xfId="41" xr:uid="{00000000-0005-0000-0000-00002E000000}"/>
    <cellStyle name="Total 2" xfId="42" xr:uid="{00000000-0005-0000-0000-00002F000000}"/>
    <cellStyle name="Warning Text 2" xfId="43" xr:uid="{00000000-0005-0000-0000-00003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13" Type="http://schemas.openxmlformats.org/officeDocument/2006/relationships/customXml" Target="../customXml/item7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12" Type="http://schemas.openxmlformats.org/officeDocument/2006/relationships/customXml" Target="../customXml/item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eonardo\Downloads\Documentos%20de%20Aquisi&#231;&#227;o%20-%20Novembro_2015%20(Marcos%20Texeira)\Geral\(4G)%20PA%20Julho%202015%20(+%20Instru&#231;&#245;es%20+%20Coment&#225;rios)Rev.%2008.2015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ções"/>
      <sheetName val="Detalhes Plano de Aquisições"/>
      <sheetName val="Sheet1"/>
      <sheetName val="Folha de Comentários"/>
    </sheetNames>
    <sheetDataSet>
      <sheetData sheetId="0"/>
      <sheetData sheetId="1">
        <row r="99">
          <cell r="E99" t="str">
            <v>Seleção Baseada na Qualidade e Custo (SBQC)</v>
          </cell>
        </row>
        <row r="100">
          <cell r="E100" t="str">
            <v>Seleção Baseada na Qualidade (SBQ)</v>
          </cell>
        </row>
        <row r="101">
          <cell r="E101" t="str">
            <v>Seleção Baseada nas Qualificações do Consultor (SQC)</v>
          </cell>
        </row>
        <row r="102">
          <cell r="E102" t="str">
            <v>Contratação Direta (CD)</v>
          </cell>
        </row>
        <row r="103">
          <cell r="E103" t="str">
            <v>Sistema Nacional (SN)</v>
          </cell>
        </row>
        <row r="104">
          <cell r="E104" t="str">
            <v>Seleção Baseada no Menor Custo (SBMC) </v>
          </cell>
        </row>
        <row r="105">
          <cell r="E105" t="str">
            <v>Seleção Baseada em Orçamento Fixo (SBOF)</v>
          </cell>
        </row>
        <row r="106">
          <cell r="E106" t="str">
            <v>Licitação Pública Nacional (LPN)</v>
          </cell>
        </row>
        <row r="107">
          <cell r="E107" t="str">
            <v>Comparação de Preços (CP)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34"/>
  <sheetViews>
    <sheetView tabSelected="1" view="pageBreakPreview" zoomScale="59" zoomScaleNormal="59" zoomScaleSheetLayoutView="59" workbookViewId="0">
      <pane xSplit="4" ySplit="12" topLeftCell="E13" activePane="bottomRight" state="frozen"/>
      <selection pane="topRight" activeCell="E1" sqref="E1"/>
      <selection pane="bottomLeft" activeCell="A13" sqref="A13"/>
      <selection pane="bottomRight" activeCell="H217" sqref="H217"/>
    </sheetView>
  </sheetViews>
  <sheetFormatPr defaultColWidth="7.54296875" defaultRowHeight="13" x14ac:dyDescent="0.3"/>
  <cols>
    <col min="1" max="1" width="5" style="55" bestFit="1" customWidth="1"/>
    <col min="2" max="2" width="20.54296875" style="13" customWidth="1"/>
    <col min="3" max="3" width="63.54296875" style="13" customWidth="1"/>
    <col min="4" max="4" width="25.453125" style="13" customWidth="1"/>
    <col min="5" max="5" width="30.7265625" style="13" customWidth="1"/>
    <col min="6" max="6" width="12.1796875" style="13" customWidth="1"/>
    <col min="7" max="7" width="18.54296875" style="123" customWidth="1"/>
    <col min="8" max="8" width="15.08984375" style="152" customWidth="1"/>
    <col min="9" max="9" width="16" style="24" customWidth="1"/>
    <col min="10" max="10" width="17" style="24" customWidth="1"/>
    <col min="11" max="11" width="18" style="13" customWidth="1"/>
    <col min="12" max="12" width="17" style="13" customWidth="1"/>
    <col min="13" max="13" width="16.81640625" style="13" customWidth="1"/>
    <col min="14" max="14" width="14.26953125" style="13" customWidth="1"/>
    <col min="15" max="15" width="20.36328125" style="13" customWidth="1"/>
    <col min="16" max="16" width="26.1796875" style="13" customWidth="1"/>
    <col min="17" max="17" width="20.7265625" style="13" customWidth="1"/>
    <col min="18" max="16384" width="7.54296875" style="13"/>
  </cols>
  <sheetData>
    <row r="1" spans="1:17" x14ac:dyDescent="0.3">
      <c r="B1" s="376" t="s">
        <v>60</v>
      </c>
      <c r="C1" s="376"/>
      <c r="D1" s="376"/>
    </row>
    <row r="2" spans="1:17" x14ac:dyDescent="0.3">
      <c r="B2" s="377" t="s">
        <v>81</v>
      </c>
      <c r="C2" s="377"/>
      <c r="D2" s="377"/>
    </row>
    <row r="3" spans="1:17" x14ac:dyDescent="0.3">
      <c r="B3" s="378" t="s">
        <v>82</v>
      </c>
      <c r="C3" s="378"/>
      <c r="D3" s="378"/>
    </row>
    <row r="4" spans="1:17" x14ac:dyDescent="0.3">
      <c r="B4" s="377" t="s">
        <v>61</v>
      </c>
      <c r="C4" s="377"/>
      <c r="D4" s="377"/>
    </row>
    <row r="5" spans="1:17" x14ac:dyDescent="0.3">
      <c r="B5" s="377" t="s">
        <v>492</v>
      </c>
      <c r="C5" s="377"/>
      <c r="D5" s="239" t="s">
        <v>100</v>
      </c>
      <c r="E5" s="239">
        <v>3.28</v>
      </c>
      <c r="F5" s="240">
        <v>43241</v>
      </c>
      <c r="G5" s="166" t="s">
        <v>100</v>
      </c>
      <c r="H5" s="166">
        <v>3.54</v>
      </c>
      <c r="J5" s="13"/>
    </row>
    <row r="6" spans="1:17" x14ac:dyDescent="0.3">
      <c r="B6" s="377" t="s">
        <v>514</v>
      </c>
      <c r="C6" s="377"/>
      <c r="D6" s="379" t="s">
        <v>417</v>
      </c>
      <c r="E6" s="379"/>
      <c r="F6" s="232">
        <v>3.2883</v>
      </c>
      <c r="G6" s="380" t="s">
        <v>217</v>
      </c>
      <c r="H6" s="380"/>
      <c r="J6" s="13"/>
    </row>
    <row r="7" spans="1:17" x14ac:dyDescent="0.3">
      <c r="B7" s="377" t="s">
        <v>83</v>
      </c>
      <c r="C7" s="377"/>
      <c r="D7" s="25" t="s">
        <v>100</v>
      </c>
      <c r="E7" s="25">
        <v>3.9</v>
      </c>
      <c r="F7" s="241">
        <v>43630</v>
      </c>
    </row>
    <row r="8" spans="1:17" x14ac:dyDescent="0.3">
      <c r="B8" s="26" t="s">
        <v>70</v>
      </c>
      <c r="D8" s="25"/>
      <c r="E8" s="25"/>
      <c r="F8" s="241"/>
    </row>
    <row r="9" spans="1:17" x14ac:dyDescent="0.3">
      <c r="B9" s="374" t="s">
        <v>44</v>
      </c>
      <c r="C9" s="375"/>
      <c r="D9" s="375"/>
      <c r="E9" s="375"/>
      <c r="F9" s="375"/>
      <c r="G9" s="375"/>
      <c r="H9" s="375"/>
      <c r="I9" s="375"/>
      <c r="J9" s="375"/>
      <c r="K9" s="375"/>
      <c r="L9" s="375"/>
      <c r="M9" s="375"/>
      <c r="N9" s="375"/>
      <c r="O9" s="375"/>
      <c r="P9" s="375"/>
      <c r="Q9" s="375"/>
    </row>
    <row r="10" spans="1:17" ht="13.5" thickBot="1" x14ac:dyDescent="0.35">
      <c r="A10" s="55">
        <v>1</v>
      </c>
      <c r="B10" s="347" t="s">
        <v>0</v>
      </c>
      <c r="C10" s="347"/>
      <c r="D10" s="347"/>
      <c r="E10" s="347"/>
      <c r="F10" s="347"/>
      <c r="G10" s="347"/>
      <c r="H10" s="347"/>
      <c r="I10" s="347"/>
      <c r="J10" s="347"/>
      <c r="K10" s="347"/>
      <c r="L10" s="347"/>
      <c r="M10" s="347"/>
      <c r="N10" s="347"/>
      <c r="O10" s="347"/>
      <c r="P10" s="347"/>
      <c r="Q10" s="347"/>
    </row>
    <row r="11" spans="1:17" ht="12.75" customHeight="1" x14ac:dyDescent="0.3">
      <c r="B11" s="348" t="s">
        <v>65</v>
      </c>
      <c r="C11" s="342" t="s">
        <v>66</v>
      </c>
      <c r="D11" s="342" t="s">
        <v>11</v>
      </c>
      <c r="E11" s="342" t="s">
        <v>117</v>
      </c>
      <c r="F11" s="342" t="s">
        <v>20</v>
      </c>
      <c r="G11" s="342" t="s">
        <v>21</v>
      </c>
      <c r="H11" s="342" t="s">
        <v>67</v>
      </c>
      <c r="I11" s="342"/>
      <c r="J11" s="342"/>
      <c r="K11" s="342" t="s">
        <v>327</v>
      </c>
      <c r="L11" s="342" t="s">
        <v>68</v>
      </c>
      <c r="M11" s="342" t="s">
        <v>69</v>
      </c>
      <c r="N11" s="342"/>
      <c r="O11" s="357" t="s">
        <v>56</v>
      </c>
      <c r="P11" s="342" t="s">
        <v>49</v>
      </c>
      <c r="Q11" s="344" t="s">
        <v>50</v>
      </c>
    </row>
    <row r="12" spans="1:17" ht="36.75" customHeight="1" thickBot="1" x14ac:dyDescent="0.35">
      <c r="B12" s="356"/>
      <c r="C12" s="355"/>
      <c r="D12" s="355"/>
      <c r="E12" s="355"/>
      <c r="F12" s="355"/>
      <c r="G12" s="355"/>
      <c r="H12" s="56" t="s">
        <v>24</v>
      </c>
      <c r="I12" s="206" t="s">
        <v>23</v>
      </c>
      <c r="J12" s="206" t="s">
        <v>25</v>
      </c>
      <c r="K12" s="355"/>
      <c r="L12" s="355"/>
      <c r="M12" s="204" t="s">
        <v>71</v>
      </c>
      <c r="N12" s="204" t="s">
        <v>28</v>
      </c>
      <c r="O12" s="373"/>
      <c r="P12" s="355"/>
      <c r="Q12" s="353"/>
    </row>
    <row r="13" spans="1:17" s="127" customFormat="1" ht="28" customHeight="1" x14ac:dyDescent="0.3">
      <c r="A13" s="124"/>
      <c r="B13" s="19" t="s">
        <v>88</v>
      </c>
      <c r="C13" s="20" t="s">
        <v>89</v>
      </c>
      <c r="D13" s="31"/>
      <c r="E13" s="20" t="s">
        <v>12</v>
      </c>
      <c r="F13" s="20"/>
      <c r="G13" s="126"/>
      <c r="H13" s="118"/>
      <c r="I13" s="28">
        <v>1</v>
      </c>
      <c r="J13" s="28">
        <v>0</v>
      </c>
      <c r="K13" s="20" t="s">
        <v>4</v>
      </c>
      <c r="L13" s="20" t="s">
        <v>9</v>
      </c>
      <c r="M13" s="22"/>
      <c r="N13" s="22"/>
      <c r="O13" s="20"/>
      <c r="P13" s="20"/>
      <c r="Q13" s="21" t="s">
        <v>14</v>
      </c>
    </row>
    <row r="14" spans="1:17" s="127" customFormat="1" ht="28" customHeight="1" x14ac:dyDescent="0.3">
      <c r="A14" s="124"/>
      <c r="B14" s="119" t="s">
        <v>88</v>
      </c>
      <c r="C14" s="58" t="s">
        <v>90</v>
      </c>
      <c r="D14" s="62"/>
      <c r="E14" s="58" t="s">
        <v>12</v>
      </c>
      <c r="F14" s="58"/>
      <c r="G14" s="207"/>
      <c r="H14" s="57"/>
      <c r="I14" s="60">
        <v>1</v>
      </c>
      <c r="J14" s="60">
        <v>0</v>
      </c>
      <c r="K14" s="58" t="s">
        <v>4</v>
      </c>
      <c r="L14" s="58" t="s">
        <v>9</v>
      </c>
      <c r="M14" s="61"/>
      <c r="N14" s="61"/>
      <c r="O14" s="58"/>
      <c r="P14" s="58"/>
      <c r="Q14" s="120" t="s">
        <v>14</v>
      </c>
    </row>
    <row r="15" spans="1:17" s="127" customFormat="1" ht="28" customHeight="1" x14ac:dyDescent="0.3">
      <c r="A15" s="124"/>
      <c r="B15" s="119" t="s">
        <v>88</v>
      </c>
      <c r="C15" s="58" t="s">
        <v>91</v>
      </c>
      <c r="D15" s="62"/>
      <c r="E15" s="58" t="s">
        <v>12</v>
      </c>
      <c r="F15" s="58"/>
      <c r="G15" s="207"/>
      <c r="H15" s="57"/>
      <c r="I15" s="60">
        <v>1</v>
      </c>
      <c r="J15" s="60">
        <v>0</v>
      </c>
      <c r="K15" s="58" t="s">
        <v>4</v>
      </c>
      <c r="L15" s="58" t="s">
        <v>9</v>
      </c>
      <c r="M15" s="61"/>
      <c r="N15" s="61"/>
      <c r="O15" s="58"/>
      <c r="P15" s="58"/>
      <c r="Q15" s="120" t="s">
        <v>14</v>
      </c>
    </row>
    <row r="16" spans="1:17" s="127" customFormat="1" ht="28" customHeight="1" x14ac:dyDescent="0.3">
      <c r="A16" s="124"/>
      <c r="B16" s="119" t="s">
        <v>88</v>
      </c>
      <c r="C16" s="58" t="s">
        <v>92</v>
      </c>
      <c r="D16" s="62"/>
      <c r="E16" s="58" t="s">
        <v>12</v>
      </c>
      <c r="F16" s="58"/>
      <c r="G16" s="207"/>
      <c r="H16" s="57"/>
      <c r="I16" s="60">
        <v>1</v>
      </c>
      <c r="J16" s="60">
        <v>0</v>
      </c>
      <c r="K16" s="58" t="s">
        <v>4</v>
      </c>
      <c r="L16" s="58" t="s">
        <v>9</v>
      </c>
      <c r="M16" s="61"/>
      <c r="N16" s="61"/>
      <c r="O16" s="58"/>
      <c r="P16" s="58"/>
      <c r="Q16" s="120" t="s">
        <v>14</v>
      </c>
    </row>
    <row r="17" spans="1:17" s="127" customFormat="1" ht="28" customHeight="1" x14ac:dyDescent="0.3">
      <c r="A17" s="124"/>
      <c r="B17" s="119" t="s">
        <v>88</v>
      </c>
      <c r="C17" s="58" t="s">
        <v>93</v>
      </c>
      <c r="D17" s="62"/>
      <c r="E17" s="58" t="s">
        <v>12</v>
      </c>
      <c r="F17" s="58"/>
      <c r="G17" s="207"/>
      <c r="H17" s="57"/>
      <c r="I17" s="60">
        <v>1</v>
      </c>
      <c r="J17" s="60">
        <v>0</v>
      </c>
      <c r="K17" s="58" t="s">
        <v>4</v>
      </c>
      <c r="L17" s="58" t="s">
        <v>9</v>
      </c>
      <c r="M17" s="61"/>
      <c r="N17" s="61"/>
      <c r="O17" s="58"/>
      <c r="P17" s="199"/>
      <c r="Q17" s="120" t="s">
        <v>14</v>
      </c>
    </row>
    <row r="18" spans="1:17" s="127" customFormat="1" ht="28" customHeight="1" x14ac:dyDescent="0.3">
      <c r="A18" s="124"/>
      <c r="B18" s="119" t="s">
        <v>88</v>
      </c>
      <c r="C18" s="58" t="s">
        <v>94</v>
      </c>
      <c r="D18" s="62"/>
      <c r="E18" s="58" t="s">
        <v>12</v>
      </c>
      <c r="F18" s="58"/>
      <c r="G18" s="207"/>
      <c r="H18" s="57"/>
      <c r="I18" s="60">
        <v>1</v>
      </c>
      <c r="J18" s="60">
        <v>0</v>
      </c>
      <c r="K18" s="58" t="s">
        <v>4</v>
      </c>
      <c r="L18" s="58" t="s">
        <v>9</v>
      </c>
      <c r="M18" s="61"/>
      <c r="N18" s="61"/>
      <c r="O18" s="58"/>
      <c r="P18" s="289"/>
      <c r="Q18" s="120" t="s">
        <v>14</v>
      </c>
    </row>
    <row r="19" spans="1:17" s="127" customFormat="1" ht="28" customHeight="1" x14ac:dyDescent="0.3">
      <c r="A19" s="124" t="s">
        <v>231</v>
      </c>
      <c r="B19" s="121" t="s">
        <v>88</v>
      </c>
      <c r="C19" s="64" t="s">
        <v>241</v>
      </c>
      <c r="D19" s="66" t="s">
        <v>240</v>
      </c>
      <c r="E19" s="64" t="s">
        <v>12</v>
      </c>
      <c r="F19" s="208">
        <v>2</v>
      </c>
      <c r="G19" s="208" t="s">
        <v>239</v>
      </c>
      <c r="H19" s="173">
        <v>5120528.8231707318</v>
      </c>
      <c r="I19" s="68">
        <v>1</v>
      </c>
      <c r="J19" s="68">
        <v>0</v>
      </c>
      <c r="K19" s="64" t="s">
        <v>4</v>
      </c>
      <c r="L19" s="64" t="s">
        <v>9</v>
      </c>
      <c r="M19" s="65">
        <v>42628</v>
      </c>
      <c r="N19" s="65">
        <v>42718</v>
      </c>
      <c r="O19" s="64"/>
      <c r="P19" s="290" t="s">
        <v>475</v>
      </c>
      <c r="Q19" s="122" t="s">
        <v>55</v>
      </c>
    </row>
    <row r="20" spans="1:17" s="127" customFormat="1" ht="28" customHeight="1" x14ac:dyDescent="0.3">
      <c r="A20" s="124" t="s">
        <v>232</v>
      </c>
      <c r="B20" s="121" t="s">
        <v>88</v>
      </c>
      <c r="C20" s="64" t="s">
        <v>95</v>
      </c>
      <c r="D20" s="66" t="s">
        <v>247</v>
      </c>
      <c r="E20" s="64" t="s">
        <v>12</v>
      </c>
      <c r="F20" s="208">
        <v>5</v>
      </c>
      <c r="G20" s="208" t="s">
        <v>246</v>
      </c>
      <c r="H20" s="173">
        <v>12002594.121951221</v>
      </c>
      <c r="I20" s="68">
        <v>1</v>
      </c>
      <c r="J20" s="68">
        <v>0</v>
      </c>
      <c r="K20" s="64" t="s">
        <v>4</v>
      </c>
      <c r="L20" s="64" t="s">
        <v>9</v>
      </c>
      <c r="M20" s="65">
        <v>42702</v>
      </c>
      <c r="N20" s="65">
        <v>42767</v>
      </c>
      <c r="O20" s="64"/>
      <c r="P20" s="290" t="s">
        <v>476</v>
      </c>
      <c r="Q20" s="147" t="s">
        <v>55</v>
      </c>
    </row>
    <row r="21" spans="1:17" s="127" customFormat="1" ht="28" customHeight="1" x14ac:dyDescent="0.3">
      <c r="A21" s="124" t="s">
        <v>233</v>
      </c>
      <c r="B21" s="121" t="s">
        <v>88</v>
      </c>
      <c r="C21" s="64" t="s">
        <v>380</v>
      </c>
      <c r="D21" s="66" t="s">
        <v>242</v>
      </c>
      <c r="E21" s="64" t="s">
        <v>12</v>
      </c>
      <c r="F21" s="208">
        <v>6</v>
      </c>
      <c r="G21" s="208" t="s">
        <v>425</v>
      </c>
      <c r="H21" s="173">
        <v>12002594.121951221</v>
      </c>
      <c r="I21" s="68">
        <v>1</v>
      </c>
      <c r="J21" s="68">
        <v>0</v>
      </c>
      <c r="K21" s="64" t="s">
        <v>4</v>
      </c>
      <c r="L21" s="64" t="s">
        <v>9</v>
      </c>
      <c r="M21" s="65">
        <v>42767</v>
      </c>
      <c r="N21" s="65">
        <v>42887</v>
      </c>
      <c r="O21" s="64"/>
      <c r="P21" s="289" t="s">
        <v>477</v>
      </c>
      <c r="Q21" s="122" t="s">
        <v>55</v>
      </c>
    </row>
    <row r="22" spans="1:17" s="127" customFormat="1" ht="28" customHeight="1" x14ac:dyDescent="0.3">
      <c r="A22" s="124" t="s">
        <v>234</v>
      </c>
      <c r="B22" s="121" t="s">
        <v>88</v>
      </c>
      <c r="C22" s="64" t="s">
        <v>383</v>
      </c>
      <c r="D22" s="66" t="s">
        <v>243</v>
      </c>
      <c r="E22" s="64" t="s">
        <v>12</v>
      </c>
      <c r="F22" s="208">
        <v>1</v>
      </c>
      <c r="G22" s="208" t="s">
        <v>426</v>
      </c>
      <c r="H22" s="173">
        <v>8605043.2378048785</v>
      </c>
      <c r="I22" s="68">
        <v>1</v>
      </c>
      <c r="J22" s="68">
        <v>0</v>
      </c>
      <c r="K22" s="64" t="s">
        <v>4</v>
      </c>
      <c r="L22" s="64" t="s">
        <v>9</v>
      </c>
      <c r="M22" s="65">
        <v>42856</v>
      </c>
      <c r="N22" s="65">
        <v>42979</v>
      </c>
      <c r="O22" s="64"/>
      <c r="P22" s="211"/>
      <c r="Q22" s="122" t="s">
        <v>55</v>
      </c>
    </row>
    <row r="23" spans="1:17" s="127" customFormat="1" ht="28" customHeight="1" x14ac:dyDescent="0.3">
      <c r="A23" s="124" t="s">
        <v>235</v>
      </c>
      <c r="B23" s="121" t="s">
        <v>88</v>
      </c>
      <c r="C23" s="64" t="s">
        <v>420</v>
      </c>
      <c r="D23" s="66" t="s">
        <v>244</v>
      </c>
      <c r="E23" s="64" t="s">
        <v>12</v>
      </c>
      <c r="F23" s="208">
        <v>9</v>
      </c>
      <c r="G23" s="208" t="s">
        <v>427</v>
      </c>
      <c r="H23" s="173">
        <v>8274895.3018292692</v>
      </c>
      <c r="I23" s="68">
        <v>1</v>
      </c>
      <c r="J23" s="68">
        <v>0</v>
      </c>
      <c r="K23" s="64" t="s">
        <v>4</v>
      </c>
      <c r="L23" s="64" t="s">
        <v>9</v>
      </c>
      <c r="M23" s="65">
        <v>42856</v>
      </c>
      <c r="N23" s="65">
        <v>43009</v>
      </c>
      <c r="O23" s="64"/>
      <c r="P23" s="289" t="s">
        <v>481</v>
      </c>
      <c r="Q23" s="122" t="s">
        <v>55</v>
      </c>
    </row>
    <row r="24" spans="1:17" s="127" customFormat="1" ht="28" customHeight="1" x14ac:dyDescent="0.3">
      <c r="A24" s="124" t="s">
        <v>236</v>
      </c>
      <c r="B24" s="121" t="s">
        <v>88</v>
      </c>
      <c r="C24" s="64" t="s">
        <v>408</v>
      </c>
      <c r="D24" s="66" t="s">
        <v>245</v>
      </c>
      <c r="E24" s="64" t="s">
        <v>12</v>
      </c>
      <c r="F24" s="208">
        <v>8</v>
      </c>
      <c r="G24" s="208" t="s">
        <v>428</v>
      </c>
      <c r="H24" s="173">
        <v>13646221.972560976</v>
      </c>
      <c r="I24" s="68">
        <v>1</v>
      </c>
      <c r="J24" s="68">
        <v>0</v>
      </c>
      <c r="K24" s="64" t="s">
        <v>4</v>
      </c>
      <c r="L24" s="64" t="s">
        <v>9</v>
      </c>
      <c r="M24" s="65">
        <v>42948</v>
      </c>
      <c r="N24" s="65">
        <v>43070</v>
      </c>
      <c r="O24" s="64"/>
      <c r="P24" s="66"/>
      <c r="Q24" s="122" t="s">
        <v>55</v>
      </c>
    </row>
    <row r="25" spans="1:17" s="127" customFormat="1" ht="28" customHeight="1" x14ac:dyDescent="0.3">
      <c r="A25" s="124" t="s">
        <v>237</v>
      </c>
      <c r="B25" s="121" t="s">
        <v>88</v>
      </c>
      <c r="C25" s="64" t="s">
        <v>421</v>
      </c>
      <c r="D25" s="66" t="s">
        <v>423</v>
      </c>
      <c r="E25" s="64" t="s">
        <v>12</v>
      </c>
      <c r="F25" s="208">
        <v>7</v>
      </c>
      <c r="G25" s="208" t="s">
        <v>452</v>
      </c>
      <c r="H25" s="173">
        <v>14588751.779503103</v>
      </c>
      <c r="I25" s="68">
        <v>1</v>
      </c>
      <c r="J25" s="68">
        <v>0</v>
      </c>
      <c r="K25" s="64" t="s">
        <v>4</v>
      </c>
      <c r="L25" s="64" t="s">
        <v>9</v>
      </c>
      <c r="M25" s="65">
        <v>43132</v>
      </c>
      <c r="N25" s="65">
        <v>43221</v>
      </c>
      <c r="O25" s="64"/>
      <c r="P25" s="66"/>
      <c r="Q25" s="122" t="s">
        <v>55</v>
      </c>
    </row>
    <row r="26" spans="1:17" s="127" customFormat="1" ht="28" customHeight="1" x14ac:dyDescent="0.3">
      <c r="A26" s="132" t="s">
        <v>238</v>
      </c>
      <c r="B26" s="119" t="s">
        <v>88</v>
      </c>
      <c r="C26" s="58" t="s">
        <v>96</v>
      </c>
      <c r="D26" s="62" t="s">
        <v>389</v>
      </c>
      <c r="E26" s="58" t="s">
        <v>12</v>
      </c>
      <c r="F26" s="207"/>
      <c r="G26" s="207"/>
      <c r="H26" s="59"/>
      <c r="I26" s="60">
        <v>1</v>
      </c>
      <c r="J26" s="60">
        <v>0</v>
      </c>
      <c r="K26" s="58" t="s">
        <v>4</v>
      </c>
      <c r="L26" s="58" t="s">
        <v>9</v>
      </c>
      <c r="M26" s="61"/>
      <c r="N26" s="61"/>
      <c r="O26" s="58"/>
      <c r="P26" s="62"/>
      <c r="Q26" s="120" t="s">
        <v>14</v>
      </c>
    </row>
    <row r="27" spans="1:17" s="127" customFormat="1" ht="28" customHeight="1" x14ac:dyDescent="0.3">
      <c r="A27" s="124"/>
      <c r="B27" s="119" t="s">
        <v>88</v>
      </c>
      <c r="C27" s="58" t="s">
        <v>97</v>
      </c>
      <c r="D27" s="62"/>
      <c r="E27" s="58" t="s">
        <v>12</v>
      </c>
      <c r="F27" s="207"/>
      <c r="G27" s="207"/>
      <c r="H27" s="153"/>
      <c r="I27" s="60">
        <v>1</v>
      </c>
      <c r="J27" s="60">
        <v>0</v>
      </c>
      <c r="K27" s="58" t="s">
        <v>4</v>
      </c>
      <c r="L27" s="58" t="s">
        <v>9</v>
      </c>
      <c r="M27" s="61"/>
      <c r="N27" s="61"/>
      <c r="O27" s="58"/>
      <c r="P27" s="62"/>
      <c r="Q27" s="120" t="s">
        <v>14</v>
      </c>
    </row>
    <row r="28" spans="1:17" s="127" customFormat="1" ht="28" customHeight="1" x14ac:dyDescent="0.3">
      <c r="A28" s="133"/>
      <c r="B28" s="119" t="s">
        <v>88</v>
      </c>
      <c r="C28" s="58" t="s">
        <v>98</v>
      </c>
      <c r="D28" s="62"/>
      <c r="E28" s="58" t="s">
        <v>12</v>
      </c>
      <c r="F28" s="207"/>
      <c r="G28" s="207"/>
      <c r="H28" s="153"/>
      <c r="I28" s="60">
        <v>1</v>
      </c>
      <c r="J28" s="60">
        <v>0</v>
      </c>
      <c r="K28" s="58" t="s">
        <v>4</v>
      </c>
      <c r="L28" s="58" t="s">
        <v>9</v>
      </c>
      <c r="M28" s="61"/>
      <c r="N28" s="61"/>
      <c r="O28" s="58"/>
      <c r="P28" s="62"/>
      <c r="Q28" s="120" t="s">
        <v>14</v>
      </c>
    </row>
    <row r="29" spans="1:17" s="127" customFormat="1" ht="28" customHeight="1" x14ac:dyDescent="0.3">
      <c r="A29" s="124"/>
      <c r="B29" s="119" t="s">
        <v>88</v>
      </c>
      <c r="C29" s="58" t="s">
        <v>99</v>
      </c>
      <c r="D29" s="62"/>
      <c r="E29" s="58" t="s">
        <v>12</v>
      </c>
      <c r="F29" s="207"/>
      <c r="G29" s="145"/>
      <c r="H29" s="153"/>
      <c r="I29" s="60">
        <v>1</v>
      </c>
      <c r="J29" s="60">
        <v>0</v>
      </c>
      <c r="K29" s="58" t="s">
        <v>4</v>
      </c>
      <c r="L29" s="58" t="s">
        <v>9</v>
      </c>
      <c r="M29" s="61"/>
      <c r="N29" s="61"/>
      <c r="O29" s="58"/>
      <c r="P29" s="62"/>
      <c r="Q29" s="120" t="s">
        <v>14</v>
      </c>
    </row>
    <row r="30" spans="1:17" s="127" customFormat="1" ht="28" customHeight="1" x14ac:dyDescent="0.3">
      <c r="A30" s="124" t="s">
        <v>384</v>
      </c>
      <c r="B30" s="121" t="s">
        <v>88</v>
      </c>
      <c r="C30" s="64" t="s">
        <v>487</v>
      </c>
      <c r="D30" s="66" t="s">
        <v>424</v>
      </c>
      <c r="E30" s="64" t="s">
        <v>12</v>
      </c>
      <c r="F30" s="283">
        <v>4</v>
      </c>
      <c r="G30" s="142" t="s">
        <v>485</v>
      </c>
      <c r="H30" s="173">
        <f>27974520.13/E7</f>
        <v>7172953.8794871792</v>
      </c>
      <c r="I30" s="68">
        <v>1</v>
      </c>
      <c r="J30" s="68">
        <v>0</v>
      </c>
      <c r="K30" s="64" t="s">
        <v>4</v>
      </c>
      <c r="L30" s="64" t="s">
        <v>8</v>
      </c>
      <c r="M30" s="65">
        <v>43221</v>
      </c>
      <c r="N30" s="65">
        <v>43313</v>
      </c>
      <c r="O30" s="64"/>
      <c r="P30" s="66"/>
      <c r="Q30" s="122" t="s">
        <v>55</v>
      </c>
    </row>
    <row r="31" spans="1:17" s="127" customFormat="1" ht="28" customHeight="1" x14ac:dyDescent="0.3">
      <c r="A31" s="124" t="s">
        <v>453</v>
      </c>
      <c r="B31" s="119" t="s">
        <v>88</v>
      </c>
      <c r="C31" s="58" t="s">
        <v>488</v>
      </c>
      <c r="D31" s="58" t="s">
        <v>489</v>
      </c>
      <c r="E31" s="58" t="s">
        <v>12</v>
      </c>
      <c r="F31" s="282">
        <v>1</v>
      </c>
      <c r="G31" s="145"/>
      <c r="H31" s="59">
        <v>1859193.26</v>
      </c>
      <c r="I31" s="60">
        <v>1</v>
      </c>
      <c r="J31" s="60">
        <v>0</v>
      </c>
      <c r="K31" s="58" t="s">
        <v>4</v>
      </c>
      <c r="L31" s="58" t="s">
        <v>8</v>
      </c>
      <c r="M31" s="61">
        <v>43586</v>
      </c>
      <c r="N31" s="61">
        <v>43647</v>
      </c>
      <c r="O31" s="58"/>
      <c r="P31" s="284"/>
      <c r="Q31" s="285" t="s">
        <v>1</v>
      </c>
    </row>
    <row r="32" spans="1:17" s="127" customFormat="1" ht="28" customHeight="1" thickBot="1" x14ac:dyDescent="0.35">
      <c r="A32" s="144" t="s">
        <v>490</v>
      </c>
      <c r="B32" s="244" t="s">
        <v>88</v>
      </c>
      <c r="C32" s="286" t="s">
        <v>510</v>
      </c>
      <c r="D32" s="245" t="s">
        <v>491</v>
      </c>
      <c r="E32" s="245" t="s">
        <v>75</v>
      </c>
      <c r="F32" s="246">
        <v>50</v>
      </c>
      <c r="G32" s="243"/>
      <c r="H32" s="287">
        <v>7000000</v>
      </c>
      <c r="I32" s="247">
        <v>1</v>
      </c>
      <c r="J32" s="247">
        <v>0</v>
      </c>
      <c r="K32" s="245" t="s">
        <v>4</v>
      </c>
      <c r="L32" s="245" t="s">
        <v>8</v>
      </c>
      <c r="M32" s="248">
        <v>43586</v>
      </c>
      <c r="N32" s="248">
        <v>43800</v>
      </c>
      <c r="O32" s="245"/>
      <c r="P32" s="249"/>
      <c r="Q32" s="288" t="s">
        <v>17</v>
      </c>
    </row>
    <row r="33" spans="1:17" s="127" customFormat="1" x14ac:dyDescent="0.3">
      <c r="A33" s="124"/>
      <c r="G33" s="125"/>
      <c r="H33" s="154"/>
      <c r="I33" s="131"/>
      <c r="J33" s="131"/>
    </row>
    <row r="34" spans="1:17" s="127" customFormat="1" ht="13.5" thickBot="1" x14ac:dyDescent="0.35">
      <c r="A34" s="124">
        <v>2</v>
      </c>
      <c r="B34" s="365" t="s">
        <v>29</v>
      </c>
      <c r="C34" s="366"/>
      <c r="D34" s="366"/>
      <c r="E34" s="366"/>
      <c r="F34" s="366"/>
      <c r="G34" s="366"/>
      <c r="H34" s="366"/>
      <c r="I34" s="366"/>
      <c r="J34" s="366"/>
      <c r="K34" s="366"/>
      <c r="L34" s="366"/>
      <c r="M34" s="366"/>
      <c r="N34" s="366"/>
      <c r="O34" s="366"/>
      <c r="P34" s="366"/>
      <c r="Q34" s="367"/>
    </row>
    <row r="35" spans="1:17" s="127" customFormat="1" ht="12.75" customHeight="1" x14ac:dyDescent="0.3">
      <c r="A35" s="124"/>
      <c r="B35" s="368" t="s">
        <v>30</v>
      </c>
      <c r="C35" s="359" t="s">
        <v>63</v>
      </c>
      <c r="D35" s="359" t="s">
        <v>11</v>
      </c>
      <c r="E35" s="359" t="s">
        <v>117</v>
      </c>
      <c r="F35" s="359" t="s">
        <v>20</v>
      </c>
      <c r="G35" s="359" t="s">
        <v>21</v>
      </c>
      <c r="H35" s="357" t="s">
        <v>22</v>
      </c>
      <c r="I35" s="372"/>
      <c r="J35" s="358"/>
      <c r="K35" s="359" t="s">
        <v>26</v>
      </c>
      <c r="L35" s="359" t="s">
        <v>27</v>
      </c>
      <c r="M35" s="357" t="s">
        <v>64</v>
      </c>
      <c r="N35" s="358"/>
      <c r="O35" s="359" t="s">
        <v>56</v>
      </c>
      <c r="P35" s="359" t="s">
        <v>49</v>
      </c>
      <c r="Q35" s="361" t="s">
        <v>50</v>
      </c>
    </row>
    <row r="36" spans="1:17" s="127" customFormat="1" ht="26" x14ac:dyDescent="0.3">
      <c r="A36" s="124"/>
      <c r="B36" s="369"/>
      <c r="C36" s="360"/>
      <c r="D36" s="360"/>
      <c r="E36" s="360"/>
      <c r="F36" s="360"/>
      <c r="G36" s="360"/>
      <c r="H36" s="63" t="s">
        <v>24</v>
      </c>
      <c r="I36" s="209" t="s">
        <v>23</v>
      </c>
      <c r="J36" s="209" t="s">
        <v>25</v>
      </c>
      <c r="K36" s="360"/>
      <c r="L36" s="360"/>
      <c r="M36" s="205" t="s">
        <v>71</v>
      </c>
      <c r="N36" s="205" t="s">
        <v>28</v>
      </c>
      <c r="O36" s="360"/>
      <c r="P36" s="360"/>
      <c r="Q36" s="362"/>
    </row>
    <row r="37" spans="1:17" s="127" customFormat="1" ht="30" customHeight="1" x14ac:dyDescent="0.3">
      <c r="A37" s="124"/>
      <c r="B37" s="119" t="s">
        <v>84</v>
      </c>
      <c r="C37" s="58" t="s">
        <v>101</v>
      </c>
      <c r="D37" s="62"/>
      <c r="E37" s="58" t="s">
        <v>73</v>
      </c>
      <c r="F37" s="58"/>
      <c r="G37" s="207"/>
      <c r="H37" s="155"/>
      <c r="I37" s="60">
        <v>1</v>
      </c>
      <c r="J37" s="60">
        <v>0</v>
      </c>
      <c r="K37" s="58" t="s">
        <v>4</v>
      </c>
      <c r="L37" s="58" t="s">
        <v>10</v>
      </c>
      <c r="M37" s="61"/>
      <c r="N37" s="61"/>
      <c r="O37" s="58"/>
      <c r="P37" s="58"/>
      <c r="Q37" s="120" t="s">
        <v>14</v>
      </c>
    </row>
    <row r="38" spans="1:17" s="127" customFormat="1" ht="30" customHeight="1" x14ac:dyDescent="0.3">
      <c r="A38" s="124" t="s">
        <v>248</v>
      </c>
      <c r="B38" s="121" t="s">
        <v>84</v>
      </c>
      <c r="C38" s="64" t="s">
        <v>102</v>
      </c>
      <c r="D38" s="66" t="s">
        <v>257</v>
      </c>
      <c r="E38" s="64" t="s">
        <v>12</v>
      </c>
      <c r="F38" s="208" t="s">
        <v>280</v>
      </c>
      <c r="G38" s="174" t="s">
        <v>258</v>
      </c>
      <c r="H38" s="75">
        <f>(8605439.33+2166800)/$E$5</f>
        <v>3284219.3079268294</v>
      </c>
      <c r="I38" s="68">
        <v>1</v>
      </c>
      <c r="J38" s="68">
        <v>0</v>
      </c>
      <c r="K38" s="64" t="s">
        <v>4</v>
      </c>
      <c r="L38" s="64" t="s">
        <v>9</v>
      </c>
      <c r="M38" s="65">
        <v>43160</v>
      </c>
      <c r="N38" s="242">
        <v>43344</v>
      </c>
      <c r="O38" s="199"/>
      <c r="P38" s="199"/>
      <c r="Q38" s="230" t="s">
        <v>55</v>
      </c>
    </row>
    <row r="39" spans="1:17" s="127" customFormat="1" ht="30" customHeight="1" x14ac:dyDescent="0.3">
      <c r="A39" s="144" t="s">
        <v>249</v>
      </c>
      <c r="B39" s="119" t="s">
        <v>84</v>
      </c>
      <c r="C39" s="58" t="s">
        <v>103</v>
      </c>
      <c r="D39" s="62"/>
      <c r="E39" s="58" t="s">
        <v>73</v>
      </c>
      <c r="F39" s="58"/>
      <c r="G39" s="207"/>
      <c r="H39" s="69"/>
      <c r="I39" s="60">
        <v>1</v>
      </c>
      <c r="J39" s="60">
        <v>0</v>
      </c>
      <c r="K39" s="58" t="s">
        <v>4</v>
      </c>
      <c r="L39" s="58" t="s">
        <v>10</v>
      </c>
      <c r="M39" s="61">
        <v>42795</v>
      </c>
      <c r="N39" s="61">
        <v>42887</v>
      </c>
      <c r="O39" s="58" t="s">
        <v>133</v>
      </c>
      <c r="P39" s="58"/>
      <c r="Q39" s="120" t="s">
        <v>14</v>
      </c>
    </row>
    <row r="40" spans="1:17" s="127" customFormat="1" ht="30" customHeight="1" x14ac:dyDescent="0.3">
      <c r="A40" s="144" t="s">
        <v>250</v>
      </c>
      <c r="B40" s="119" t="s">
        <v>84</v>
      </c>
      <c r="C40" s="58" t="s">
        <v>104</v>
      </c>
      <c r="D40" s="62"/>
      <c r="E40" s="58" t="s">
        <v>73</v>
      </c>
      <c r="F40" s="58"/>
      <c r="G40" s="207"/>
      <c r="H40" s="156"/>
      <c r="I40" s="60">
        <v>1</v>
      </c>
      <c r="J40" s="60">
        <v>0</v>
      </c>
      <c r="K40" s="58" t="s">
        <v>4</v>
      </c>
      <c r="L40" s="58" t="s">
        <v>10</v>
      </c>
      <c r="M40" s="61">
        <v>42795</v>
      </c>
      <c r="N40" s="61">
        <v>42887</v>
      </c>
      <c r="O40" s="58" t="s">
        <v>133</v>
      </c>
      <c r="P40" s="58"/>
      <c r="Q40" s="120" t="s">
        <v>14</v>
      </c>
    </row>
    <row r="41" spans="1:17" s="127" customFormat="1" ht="30" customHeight="1" x14ac:dyDescent="0.3">
      <c r="A41" s="144" t="s">
        <v>251</v>
      </c>
      <c r="B41" s="119" t="s">
        <v>84</v>
      </c>
      <c r="C41" s="58" t="s">
        <v>105</v>
      </c>
      <c r="D41" s="62"/>
      <c r="E41" s="58" t="s">
        <v>73</v>
      </c>
      <c r="F41" s="58"/>
      <c r="G41" s="207"/>
      <c r="H41" s="69"/>
      <c r="I41" s="60">
        <v>1</v>
      </c>
      <c r="J41" s="60">
        <v>0</v>
      </c>
      <c r="K41" s="58" t="s">
        <v>4</v>
      </c>
      <c r="L41" s="58" t="s">
        <v>10</v>
      </c>
      <c r="M41" s="61">
        <v>42795</v>
      </c>
      <c r="N41" s="61">
        <v>42887</v>
      </c>
      <c r="O41" s="58" t="s">
        <v>133</v>
      </c>
      <c r="P41" s="58"/>
      <c r="Q41" s="120" t="s">
        <v>14</v>
      </c>
    </row>
    <row r="42" spans="1:17" s="127" customFormat="1" ht="30" customHeight="1" x14ac:dyDescent="0.3">
      <c r="A42" s="144" t="s">
        <v>252</v>
      </c>
      <c r="B42" s="119" t="s">
        <v>84</v>
      </c>
      <c r="C42" s="58" t="s">
        <v>106</v>
      </c>
      <c r="D42" s="62"/>
      <c r="E42" s="58" t="s">
        <v>73</v>
      </c>
      <c r="F42" s="58"/>
      <c r="G42" s="207"/>
      <c r="H42" s="156"/>
      <c r="I42" s="60">
        <v>1</v>
      </c>
      <c r="J42" s="60">
        <v>0</v>
      </c>
      <c r="K42" s="58" t="s">
        <v>4</v>
      </c>
      <c r="L42" s="58" t="s">
        <v>10</v>
      </c>
      <c r="M42" s="61">
        <v>42795</v>
      </c>
      <c r="N42" s="61">
        <v>42887</v>
      </c>
      <c r="O42" s="58" t="s">
        <v>133</v>
      </c>
      <c r="P42" s="58"/>
      <c r="Q42" s="120" t="s">
        <v>14</v>
      </c>
    </row>
    <row r="43" spans="1:17" s="127" customFormat="1" ht="30" customHeight="1" x14ac:dyDescent="0.3">
      <c r="A43" s="144" t="s">
        <v>253</v>
      </c>
      <c r="B43" s="119" t="s">
        <v>84</v>
      </c>
      <c r="C43" s="58" t="s">
        <v>107</v>
      </c>
      <c r="D43" s="62"/>
      <c r="E43" s="58" t="s">
        <v>73</v>
      </c>
      <c r="F43" s="58"/>
      <c r="G43" s="207"/>
      <c r="H43" s="156"/>
      <c r="I43" s="60">
        <v>1</v>
      </c>
      <c r="J43" s="60">
        <v>0</v>
      </c>
      <c r="K43" s="58" t="s">
        <v>4</v>
      </c>
      <c r="L43" s="58" t="s">
        <v>10</v>
      </c>
      <c r="M43" s="61">
        <v>42795</v>
      </c>
      <c r="N43" s="61">
        <v>42887</v>
      </c>
      <c r="O43" s="58" t="s">
        <v>133</v>
      </c>
      <c r="P43" s="58"/>
      <c r="Q43" s="120" t="s">
        <v>14</v>
      </c>
    </row>
    <row r="44" spans="1:17" s="127" customFormat="1" ht="30" customHeight="1" x14ac:dyDescent="0.3">
      <c r="A44" s="144" t="s">
        <v>254</v>
      </c>
      <c r="B44" s="119" t="s">
        <v>84</v>
      </c>
      <c r="C44" s="58" t="s">
        <v>108</v>
      </c>
      <c r="D44" s="62"/>
      <c r="E44" s="58" t="s">
        <v>73</v>
      </c>
      <c r="F44" s="58"/>
      <c r="G44" s="207"/>
      <c r="H44" s="156"/>
      <c r="I44" s="60">
        <v>1</v>
      </c>
      <c r="J44" s="60">
        <v>0</v>
      </c>
      <c r="K44" s="58" t="s">
        <v>4</v>
      </c>
      <c r="L44" s="58" t="s">
        <v>10</v>
      </c>
      <c r="M44" s="61">
        <v>42795</v>
      </c>
      <c r="N44" s="61">
        <v>42887</v>
      </c>
      <c r="O44" s="58" t="s">
        <v>133</v>
      </c>
      <c r="P44" s="58"/>
      <c r="Q44" s="120" t="s">
        <v>14</v>
      </c>
    </row>
    <row r="45" spans="1:17" s="127" customFormat="1" ht="37.5" customHeight="1" x14ac:dyDescent="0.3">
      <c r="A45" s="124" t="s">
        <v>255</v>
      </c>
      <c r="B45" s="121" t="s">
        <v>84</v>
      </c>
      <c r="C45" s="64" t="s">
        <v>109</v>
      </c>
      <c r="D45" s="66"/>
      <c r="E45" s="64" t="s">
        <v>73</v>
      </c>
      <c r="F45" s="208">
        <v>1</v>
      </c>
      <c r="G45" s="208" t="s">
        <v>267</v>
      </c>
      <c r="H45" s="157">
        <v>1691630.92</v>
      </c>
      <c r="I45" s="68">
        <v>1</v>
      </c>
      <c r="J45" s="68">
        <v>0</v>
      </c>
      <c r="K45" s="64" t="s">
        <v>5</v>
      </c>
      <c r="L45" s="64" t="s">
        <v>10</v>
      </c>
      <c r="M45" s="65">
        <v>41944</v>
      </c>
      <c r="N45" s="65">
        <v>42064</v>
      </c>
      <c r="O45" s="64" t="s">
        <v>76</v>
      </c>
      <c r="P45" s="64" t="s">
        <v>118</v>
      </c>
      <c r="Q45" s="122" t="s">
        <v>3</v>
      </c>
    </row>
    <row r="46" spans="1:17" s="127" customFormat="1" ht="30" customHeight="1" x14ac:dyDescent="0.3">
      <c r="A46" s="124" t="s">
        <v>256</v>
      </c>
      <c r="B46" s="121" t="s">
        <v>84</v>
      </c>
      <c r="C46" s="64" t="s">
        <v>110</v>
      </c>
      <c r="D46" s="66"/>
      <c r="E46" s="64" t="s">
        <v>73</v>
      </c>
      <c r="F46" s="208">
        <v>1</v>
      </c>
      <c r="G46" s="208" t="s">
        <v>115</v>
      </c>
      <c r="H46" s="157">
        <f>(653165/2.695)</f>
        <v>242361.78107606681</v>
      </c>
      <c r="I46" s="68">
        <v>1</v>
      </c>
      <c r="J46" s="68">
        <v>0</v>
      </c>
      <c r="K46" s="64" t="s">
        <v>5</v>
      </c>
      <c r="L46" s="64" t="s">
        <v>10</v>
      </c>
      <c r="M46" s="65">
        <v>41791</v>
      </c>
      <c r="N46" s="65">
        <v>41913</v>
      </c>
      <c r="O46" s="64" t="s">
        <v>133</v>
      </c>
      <c r="P46" s="64" t="s">
        <v>119</v>
      </c>
      <c r="Q46" s="122" t="s">
        <v>3</v>
      </c>
    </row>
    <row r="47" spans="1:17" s="127" customFormat="1" ht="30" customHeight="1" x14ac:dyDescent="0.3">
      <c r="A47" s="132"/>
      <c r="B47" s="119" t="s">
        <v>84</v>
      </c>
      <c r="C47" s="58" t="s">
        <v>111</v>
      </c>
      <c r="D47" s="62"/>
      <c r="E47" s="58" t="s">
        <v>73</v>
      </c>
      <c r="F47" s="64"/>
      <c r="G47" s="208" t="s">
        <v>114</v>
      </c>
      <c r="H47" s="67"/>
      <c r="I47" s="60">
        <v>1</v>
      </c>
      <c r="J47" s="60">
        <v>0</v>
      </c>
      <c r="K47" s="58" t="s">
        <v>6</v>
      </c>
      <c r="L47" s="58" t="s">
        <v>10</v>
      </c>
      <c r="M47" s="61">
        <v>42736</v>
      </c>
      <c r="N47" s="61">
        <v>42826</v>
      </c>
      <c r="O47" s="58" t="s">
        <v>133</v>
      </c>
      <c r="P47" s="58"/>
      <c r="Q47" s="120" t="s">
        <v>14</v>
      </c>
    </row>
    <row r="48" spans="1:17" s="127" customFormat="1" ht="30" customHeight="1" x14ac:dyDescent="0.3">
      <c r="A48" s="128" t="s">
        <v>260</v>
      </c>
      <c r="B48" s="121" t="s">
        <v>84</v>
      </c>
      <c r="C48" s="64" t="s">
        <v>112</v>
      </c>
      <c r="D48" s="70"/>
      <c r="E48" s="64" t="s">
        <v>73</v>
      </c>
      <c r="F48" s="64"/>
      <c r="G48" s="208" t="s">
        <v>114</v>
      </c>
      <c r="H48" s="67">
        <f>(5500*60)/$E$5</f>
        <v>100609.75609756098</v>
      </c>
      <c r="I48" s="68">
        <v>1</v>
      </c>
      <c r="J48" s="68">
        <v>0</v>
      </c>
      <c r="K48" s="64" t="s">
        <v>5</v>
      </c>
      <c r="L48" s="146" t="s">
        <v>10</v>
      </c>
      <c r="M48" s="235">
        <v>43040</v>
      </c>
      <c r="N48" s="187">
        <v>43647</v>
      </c>
      <c r="O48" s="146" t="s">
        <v>133</v>
      </c>
      <c r="P48" s="146"/>
      <c r="Q48" s="147" t="s">
        <v>17</v>
      </c>
    </row>
    <row r="49" spans="1:18" s="127" customFormat="1" ht="30" customHeight="1" x14ac:dyDescent="0.3">
      <c r="A49" s="128" t="s">
        <v>261</v>
      </c>
      <c r="B49" s="121" t="s">
        <v>84</v>
      </c>
      <c r="C49" s="64" t="s">
        <v>113</v>
      </c>
      <c r="D49" s="66"/>
      <c r="E49" s="64" t="s">
        <v>75</v>
      </c>
      <c r="F49" s="208">
        <v>1</v>
      </c>
      <c r="G49" s="208" t="s">
        <v>116</v>
      </c>
      <c r="H49" s="67">
        <f>((1306+1168)/3.743)</f>
        <v>660.96713865882987</v>
      </c>
      <c r="I49" s="68">
        <v>1</v>
      </c>
      <c r="J49" s="68">
        <v>0</v>
      </c>
      <c r="K49" s="64" t="s">
        <v>7</v>
      </c>
      <c r="L49" s="64" t="s">
        <v>9</v>
      </c>
      <c r="M49" s="65">
        <v>42248</v>
      </c>
      <c r="N49" s="65">
        <v>42309</v>
      </c>
      <c r="O49" s="64"/>
      <c r="P49" s="146"/>
      <c r="Q49" s="122" t="s">
        <v>3</v>
      </c>
    </row>
    <row r="50" spans="1:18" s="194" customFormat="1" ht="30" customHeight="1" x14ac:dyDescent="0.3">
      <c r="A50" s="128" t="s">
        <v>262</v>
      </c>
      <c r="B50" s="119" t="s">
        <v>84</v>
      </c>
      <c r="C50" s="58" t="s">
        <v>370</v>
      </c>
      <c r="D50" s="62"/>
      <c r="E50" s="58" t="s">
        <v>75</v>
      </c>
      <c r="F50" s="58"/>
      <c r="G50" s="207" t="s">
        <v>264</v>
      </c>
      <c r="H50" s="69"/>
      <c r="I50" s="60">
        <v>1</v>
      </c>
      <c r="J50" s="60">
        <v>0</v>
      </c>
      <c r="K50" s="193" t="s">
        <v>7</v>
      </c>
      <c r="L50" s="193" t="s">
        <v>9</v>
      </c>
      <c r="M50" s="192">
        <v>42809</v>
      </c>
      <c r="N50" s="192">
        <v>42887</v>
      </c>
      <c r="O50" s="193"/>
      <c r="P50" s="193"/>
      <c r="Q50" s="191" t="s">
        <v>14</v>
      </c>
    </row>
    <row r="51" spans="1:18" s="127" customFormat="1" ht="30" customHeight="1" x14ac:dyDescent="0.3">
      <c r="A51" s="128" t="s">
        <v>263</v>
      </c>
      <c r="B51" s="119" t="s">
        <v>84</v>
      </c>
      <c r="C51" s="58" t="s">
        <v>379</v>
      </c>
      <c r="D51" s="62"/>
      <c r="E51" s="58" t="s">
        <v>12</v>
      </c>
      <c r="F51" s="207">
        <v>1</v>
      </c>
      <c r="G51" s="207" t="s">
        <v>281</v>
      </c>
      <c r="H51" s="69"/>
      <c r="I51" s="60">
        <v>1</v>
      </c>
      <c r="J51" s="60">
        <v>0</v>
      </c>
      <c r="K51" s="58" t="s">
        <v>4</v>
      </c>
      <c r="L51" s="58" t="s">
        <v>9</v>
      </c>
      <c r="M51" s="71">
        <v>42399</v>
      </c>
      <c r="N51" s="71">
        <v>42856</v>
      </c>
      <c r="O51" s="58"/>
      <c r="P51" s="58"/>
      <c r="Q51" s="120" t="s">
        <v>14</v>
      </c>
    </row>
    <row r="52" spans="1:18" s="127" customFormat="1" ht="30" customHeight="1" x14ac:dyDescent="0.3">
      <c r="A52" s="129" t="s">
        <v>222</v>
      </c>
      <c r="B52" s="121" t="s">
        <v>84</v>
      </c>
      <c r="C52" s="199" t="s">
        <v>509</v>
      </c>
      <c r="D52" s="66"/>
      <c r="E52" s="64" t="s">
        <v>73</v>
      </c>
      <c r="F52" s="64"/>
      <c r="G52" s="142"/>
      <c r="H52" s="75">
        <f>2898233.97+610499.62</f>
        <v>3508733.5900000003</v>
      </c>
      <c r="I52" s="68">
        <f>2898233.97/H52</f>
        <v>0.82600570709046051</v>
      </c>
      <c r="J52" s="68">
        <f>610499.62/H52</f>
        <v>0.17399429290953947</v>
      </c>
      <c r="K52" s="64" t="s">
        <v>5</v>
      </c>
      <c r="L52" s="146" t="s">
        <v>10</v>
      </c>
      <c r="M52" s="235">
        <v>43040</v>
      </c>
      <c r="N52" s="187">
        <v>43617</v>
      </c>
      <c r="O52" s="146" t="s">
        <v>133</v>
      </c>
      <c r="P52" s="146"/>
      <c r="Q52" s="147" t="s">
        <v>17</v>
      </c>
    </row>
    <row r="53" spans="1:18" s="127" customFormat="1" ht="30" customHeight="1" x14ac:dyDescent="0.3">
      <c r="A53" s="129" t="s">
        <v>223</v>
      </c>
      <c r="B53" s="121" t="s">
        <v>84</v>
      </c>
      <c r="C53" s="199" t="s">
        <v>471</v>
      </c>
      <c r="D53" s="66"/>
      <c r="E53" s="64" t="s">
        <v>73</v>
      </c>
      <c r="F53" s="64"/>
      <c r="G53" s="142"/>
      <c r="H53" s="75">
        <v>1383284.869386503</v>
      </c>
      <c r="I53" s="68">
        <v>0.66736952773106617</v>
      </c>
      <c r="J53" s="68">
        <v>0.33263047226893394</v>
      </c>
      <c r="K53" s="64" t="s">
        <v>5</v>
      </c>
      <c r="L53" s="146" t="s">
        <v>10</v>
      </c>
      <c r="M53" s="235">
        <v>43040</v>
      </c>
      <c r="N53" s="187">
        <v>43617</v>
      </c>
      <c r="O53" s="146" t="s">
        <v>133</v>
      </c>
      <c r="P53" s="146"/>
      <c r="Q53" s="147" t="s">
        <v>17</v>
      </c>
    </row>
    <row r="54" spans="1:18" s="127" customFormat="1" ht="30" customHeight="1" x14ac:dyDescent="0.3">
      <c r="A54" s="129" t="s">
        <v>259</v>
      </c>
      <c r="B54" s="121" t="s">
        <v>84</v>
      </c>
      <c r="C54" s="64" t="s">
        <v>229</v>
      </c>
      <c r="D54" s="66"/>
      <c r="E54" s="64" t="s">
        <v>75</v>
      </c>
      <c r="F54" s="64"/>
      <c r="G54" s="142"/>
      <c r="H54" s="75">
        <f>16634000/E5</f>
        <v>5071341.4634146346</v>
      </c>
      <c r="I54" s="68">
        <v>1</v>
      </c>
      <c r="J54" s="68">
        <v>0</v>
      </c>
      <c r="K54" s="64" t="s">
        <v>5</v>
      </c>
      <c r="L54" s="146" t="s">
        <v>10</v>
      </c>
      <c r="M54" s="235">
        <v>42856</v>
      </c>
      <c r="N54" s="235">
        <v>43040</v>
      </c>
      <c r="O54" s="146"/>
      <c r="P54" s="146"/>
      <c r="Q54" s="291" t="s">
        <v>3</v>
      </c>
      <c r="R54" s="125"/>
    </row>
    <row r="55" spans="1:18" s="127" customFormat="1" ht="30" customHeight="1" x14ac:dyDescent="0.3">
      <c r="A55" s="129" t="s">
        <v>373</v>
      </c>
      <c r="B55" s="203" t="s">
        <v>84</v>
      </c>
      <c r="C55" s="193" t="s">
        <v>265</v>
      </c>
      <c r="D55" s="195"/>
      <c r="E55" s="193" t="s">
        <v>73</v>
      </c>
      <c r="F55" s="196">
        <v>8</v>
      </c>
      <c r="G55" s="196" t="s">
        <v>266</v>
      </c>
      <c r="H55" s="155"/>
      <c r="I55" s="197">
        <v>0</v>
      </c>
      <c r="J55" s="197">
        <v>1</v>
      </c>
      <c r="K55" s="193" t="s">
        <v>4</v>
      </c>
      <c r="L55" s="193" t="s">
        <v>10</v>
      </c>
      <c r="M55" s="192">
        <v>42781</v>
      </c>
      <c r="N55" s="192">
        <v>42979</v>
      </c>
      <c r="O55" s="193" t="s">
        <v>76</v>
      </c>
      <c r="P55" s="193"/>
      <c r="Q55" s="191" t="s">
        <v>14</v>
      </c>
    </row>
    <row r="56" spans="1:18" s="127" customFormat="1" ht="30" customHeight="1" x14ac:dyDescent="0.3">
      <c r="A56" s="124" t="s">
        <v>385</v>
      </c>
      <c r="B56" s="203" t="s">
        <v>84</v>
      </c>
      <c r="C56" s="58" t="s">
        <v>374</v>
      </c>
      <c r="D56" s="58" t="s">
        <v>375</v>
      </c>
      <c r="E56" s="58" t="s">
        <v>75</v>
      </c>
      <c r="F56" s="58"/>
      <c r="G56" s="207"/>
      <c r="H56" s="69"/>
      <c r="I56" s="60">
        <v>1</v>
      </c>
      <c r="J56" s="60">
        <v>0</v>
      </c>
      <c r="K56" s="58" t="s">
        <v>5</v>
      </c>
      <c r="L56" s="193" t="s">
        <v>9</v>
      </c>
      <c r="M56" s="198">
        <v>42795</v>
      </c>
      <c r="N56" s="198">
        <v>42887</v>
      </c>
      <c r="O56" s="193"/>
      <c r="P56" s="193"/>
      <c r="Q56" s="191" t="s">
        <v>14</v>
      </c>
    </row>
    <row r="57" spans="1:18" s="127" customFormat="1" ht="30" customHeight="1" x14ac:dyDescent="0.3">
      <c r="A57" s="144" t="s">
        <v>386</v>
      </c>
      <c r="B57" s="121" t="s">
        <v>84</v>
      </c>
      <c r="C57" s="199" t="s">
        <v>409</v>
      </c>
      <c r="D57" s="64"/>
      <c r="E57" s="199" t="s">
        <v>12</v>
      </c>
      <c r="F57" s="64"/>
      <c r="G57" s="190"/>
      <c r="H57" s="67">
        <v>4014722.1512635709</v>
      </c>
      <c r="I57" s="68">
        <v>1</v>
      </c>
      <c r="J57" s="68">
        <v>0</v>
      </c>
      <c r="K57" s="64" t="s">
        <v>4</v>
      </c>
      <c r="L57" s="146" t="s">
        <v>9</v>
      </c>
      <c r="M57" s="175">
        <v>42887</v>
      </c>
      <c r="N57" s="175">
        <v>43040</v>
      </c>
      <c r="O57" s="146"/>
      <c r="P57" s="146"/>
      <c r="Q57" s="147" t="s">
        <v>55</v>
      </c>
    </row>
    <row r="58" spans="1:18" s="127" customFormat="1" ht="30" customHeight="1" x14ac:dyDescent="0.3">
      <c r="A58" s="144" t="s">
        <v>387</v>
      </c>
      <c r="B58" s="121" t="s">
        <v>84</v>
      </c>
      <c r="C58" s="199" t="s">
        <v>410</v>
      </c>
      <c r="D58" s="64" t="s">
        <v>429</v>
      </c>
      <c r="E58" s="199" t="s">
        <v>73</v>
      </c>
      <c r="F58" s="64"/>
      <c r="G58" s="174" t="s">
        <v>431</v>
      </c>
      <c r="H58" s="67">
        <v>1870227.15</v>
      </c>
      <c r="I58" s="68">
        <v>1</v>
      </c>
      <c r="J58" s="68">
        <v>0</v>
      </c>
      <c r="K58" s="64" t="s">
        <v>4</v>
      </c>
      <c r="L58" s="146" t="s">
        <v>10</v>
      </c>
      <c r="M58" s="175">
        <v>42887</v>
      </c>
      <c r="N58" s="175">
        <v>43070</v>
      </c>
      <c r="O58" s="146" t="s">
        <v>133</v>
      </c>
      <c r="P58" s="146"/>
      <c r="Q58" s="250" t="s">
        <v>3</v>
      </c>
    </row>
    <row r="59" spans="1:18" s="127" customFormat="1" ht="30" customHeight="1" x14ac:dyDescent="0.3">
      <c r="A59" s="144" t="s">
        <v>391</v>
      </c>
      <c r="B59" s="121" t="s">
        <v>84</v>
      </c>
      <c r="C59" s="199" t="s">
        <v>414</v>
      </c>
      <c r="D59" s="64" t="s">
        <v>434</v>
      </c>
      <c r="E59" s="199" t="s">
        <v>73</v>
      </c>
      <c r="F59" s="64"/>
      <c r="G59" s="174" t="s">
        <v>433</v>
      </c>
      <c r="H59" s="75">
        <v>2451468.4517835965</v>
      </c>
      <c r="I59" s="68">
        <v>1</v>
      </c>
      <c r="J59" s="68">
        <v>0</v>
      </c>
      <c r="K59" s="64" t="s">
        <v>4</v>
      </c>
      <c r="L59" s="146" t="s">
        <v>10</v>
      </c>
      <c r="M59" s="175">
        <v>42887</v>
      </c>
      <c r="N59" s="175">
        <v>43070</v>
      </c>
      <c r="O59" s="146" t="s">
        <v>133</v>
      </c>
      <c r="P59" s="146"/>
      <c r="Q59" s="291" t="s">
        <v>3</v>
      </c>
    </row>
    <row r="60" spans="1:18" s="127" customFormat="1" ht="30" customHeight="1" x14ac:dyDescent="0.3">
      <c r="A60" s="124" t="s">
        <v>392</v>
      </c>
      <c r="B60" s="121" t="s">
        <v>84</v>
      </c>
      <c r="C60" s="199" t="s">
        <v>403</v>
      </c>
      <c r="D60" s="64"/>
      <c r="E60" s="199" t="s">
        <v>12</v>
      </c>
      <c r="F60" s="64"/>
      <c r="G60" s="208"/>
      <c r="H60" s="67">
        <f>(4753872.14+4137416.07)/E7</f>
        <v>2279817.4897435894</v>
      </c>
      <c r="I60" s="68">
        <v>1</v>
      </c>
      <c r="J60" s="68">
        <v>0</v>
      </c>
      <c r="K60" s="64" t="s">
        <v>4</v>
      </c>
      <c r="L60" s="146" t="s">
        <v>8</v>
      </c>
      <c r="M60" s="175">
        <v>43252</v>
      </c>
      <c r="N60" s="292">
        <v>43405</v>
      </c>
      <c r="O60" s="146"/>
      <c r="P60" s="146"/>
      <c r="Q60" s="250" t="s">
        <v>55</v>
      </c>
    </row>
    <row r="61" spans="1:18" s="127" customFormat="1" ht="30" customHeight="1" x14ac:dyDescent="0.3">
      <c r="A61" s="129" t="s">
        <v>430</v>
      </c>
      <c r="B61" s="119" t="s">
        <v>84</v>
      </c>
      <c r="C61" s="58" t="s">
        <v>414</v>
      </c>
      <c r="D61" s="58"/>
      <c r="E61" s="58" t="s">
        <v>73</v>
      </c>
      <c r="F61" s="58"/>
      <c r="G61" s="207"/>
      <c r="H61" s="69">
        <v>1048531.55</v>
      </c>
      <c r="I61" s="60">
        <v>1</v>
      </c>
      <c r="J61" s="60">
        <v>0</v>
      </c>
      <c r="K61" s="58" t="s">
        <v>4</v>
      </c>
      <c r="L61" s="193" t="s">
        <v>8</v>
      </c>
      <c r="M61" s="198">
        <v>43252</v>
      </c>
      <c r="N61" s="198">
        <v>43344</v>
      </c>
      <c r="O61" s="193" t="s">
        <v>133</v>
      </c>
      <c r="P61" s="193"/>
      <c r="Q61" s="191" t="s">
        <v>14</v>
      </c>
    </row>
    <row r="62" spans="1:18" s="127" customFormat="1" ht="30" customHeight="1" x14ac:dyDescent="0.3">
      <c r="A62" s="129" t="s">
        <v>432</v>
      </c>
      <c r="B62" s="121" t="s">
        <v>84</v>
      </c>
      <c r="C62" s="64" t="s">
        <v>449</v>
      </c>
      <c r="D62" s="199" t="s">
        <v>456</v>
      </c>
      <c r="E62" s="64" t="s">
        <v>12</v>
      </c>
      <c r="F62" s="64"/>
      <c r="G62" s="208"/>
      <c r="H62" s="185">
        <v>5500000</v>
      </c>
      <c r="I62" s="68">
        <v>1</v>
      </c>
      <c r="J62" s="68">
        <v>0</v>
      </c>
      <c r="K62" s="64" t="s">
        <v>4</v>
      </c>
      <c r="L62" s="146" t="s">
        <v>8</v>
      </c>
      <c r="M62" s="292">
        <v>43252</v>
      </c>
      <c r="N62" s="292">
        <v>43435</v>
      </c>
      <c r="O62" s="146"/>
      <c r="P62" s="146"/>
      <c r="Q62" s="147" t="s">
        <v>1</v>
      </c>
    </row>
    <row r="63" spans="1:18" s="127" customFormat="1" ht="30" customHeight="1" x14ac:dyDescent="0.3">
      <c r="A63" s="129" t="s">
        <v>454</v>
      </c>
      <c r="B63" s="121" t="s">
        <v>84</v>
      </c>
      <c r="C63" s="64" t="s">
        <v>455</v>
      </c>
      <c r="D63" s="64"/>
      <c r="E63" s="64" t="s">
        <v>73</v>
      </c>
      <c r="F63" s="64"/>
      <c r="G63" s="208"/>
      <c r="H63" s="200">
        <f>471637/E7</f>
        <v>120932.56410256411</v>
      </c>
      <c r="I63" s="68">
        <v>1</v>
      </c>
      <c r="J63" s="68">
        <v>0</v>
      </c>
      <c r="K63" s="64" t="s">
        <v>4</v>
      </c>
      <c r="L63" s="146" t="s">
        <v>8</v>
      </c>
      <c r="M63" s="175">
        <v>43191</v>
      </c>
      <c r="N63" s="175">
        <v>43282</v>
      </c>
      <c r="O63" s="146" t="s">
        <v>457</v>
      </c>
      <c r="P63" s="146"/>
      <c r="Q63" s="291" t="s">
        <v>3</v>
      </c>
    </row>
    <row r="64" spans="1:18" s="127" customFormat="1" ht="30" customHeight="1" x14ac:dyDescent="0.3">
      <c r="A64" s="129" t="s">
        <v>493</v>
      </c>
      <c r="B64" s="121" t="s">
        <v>84</v>
      </c>
      <c r="C64" s="64" t="s">
        <v>455</v>
      </c>
      <c r="D64" s="64"/>
      <c r="E64" s="64" t="s">
        <v>73</v>
      </c>
      <c r="F64" s="251"/>
      <c r="G64" s="252"/>
      <c r="H64" s="67">
        <v>1000000</v>
      </c>
      <c r="I64" s="68">
        <v>1</v>
      </c>
      <c r="J64" s="68">
        <v>0</v>
      </c>
      <c r="K64" s="64" t="s">
        <v>4</v>
      </c>
      <c r="L64" s="146" t="s">
        <v>8</v>
      </c>
      <c r="M64" s="175">
        <v>43586</v>
      </c>
      <c r="N64" s="175">
        <v>43678</v>
      </c>
      <c r="O64" s="146" t="s">
        <v>133</v>
      </c>
      <c r="P64" s="146"/>
      <c r="Q64" s="147" t="s">
        <v>1</v>
      </c>
    </row>
    <row r="65" spans="1:17" s="127" customFormat="1" ht="30" customHeight="1" x14ac:dyDescent="0.3">
      <c r="A65" s="129" t="s">
        <v>494</v>
      </c>
      <c r="B65" s="121" t="s">
        <v>84</v>
      </c>
      <c r="C65" s="64" t="s">
        <v>449</v>
      </c>
      <c r="D65" s="64" t="s">
        <v>456</v>
      </c>
      <c r="E65" s="64" t="s">
        <v>73</v>
      </c>
      <c r="F65" s="251"/>
      <c r="G65" s="252"/>
      <c r="H65" s="185">
        <v>3600000</v>
      </c>
      <c r="I65" s="68">
        <v>1</v>
      </c>
      <c r="J65" s="68">
        <v>0</v>
      </c>
      <c r="K65" s="64" t="s">
        <v>4</v>
      </c>
      <c r="L65" s="146" t="s">
        <v>8</v>
      </c>
      <c r="M65" s="175">
        <v>43586</v>
      </c>
      <c r="N65" s="175">
        <v>43282</v>
      </c>
      <c r="O65" s="146" t="s">
        <v>133</v>
      </c>
      <c r="P65" s="146"/>
      <c r="Q65" s="147" t="s">
        <v>1</v>
      </c>
    </row>
    <row r="66" spans="1:17" s="127" customFormat="1" ht="30" customHeight="1" thickBot="1" x14ac:dyDescent="0.35">
      <c r="A66" s="129" t="s">
        <v>502</v>
      </c>
      <c r="B66" s="293" t="s">
        <v>84</v>
      </c>
      <c r="C66" s="294" t="s">
        <v>511</v>
      </c>
      <c r="D66" s="294" t="s">
        <v>503</v>
      </c>
      <c r="E66" s="286" t="s">
        <v>72</v>
      </c>
      <c r="F66" s="245"/>
      <c r="G66" s="246"/>
      <c r="H66" s="299">
        <v>6000000</v>
      </c>
      <c r="I66" s="295">
        <v>1</v>
      </c>
      <c r="J66" s="295">
        <v>0</v>
      </c>
      <c r="K66" s="294" t="s">
        <v>5</v>
      </c>
      <c r="L66" s="300" t="s">
        <v>9</v>
      </c>
      <c r="M66" s="297">
        <v>43556</v>
      </c>
      <c r="N66" s="297">
        <v>43647</v>
      </c>
      <c r="O66" s="296"/>
      <c r="P66" s="296"/>
      <c r="Q66" s="298" t="s">
        <v>1</v>
      </c>
    </row>
    <row r="67" spans="1:17" s="127" customFormat="1" x14ac:dyDescent="0.3">
      <c r="A67" s="124"/>
      <c r="E67" s="134">
        <f>18509.29</f>
        <v>18509.29</v>
      </c>
      <c r="F67" s="135">
        <v>519994.17</v>
      </c>
      <c r="G67" s="125"/>
      <c r="H67" s="154"/>
      <c r="I67" s="131"/>
      <c r="J67" s="131"/>
    </row>
    <row r="68" spans="1:17" s="127" customFormat="1" ht="13.5" customHeight="1" thickBot="1" x14ac:dyDescent="0.35">
      <c r="A68" s="124">
        <v>3</v>
      </c>
      <c r="B68" s="365" t="s">
        <v>31</v>
      </c>
      <c r="C68" s="366"/>
      <c r="D68" s="366"/>
      <c r="E68" s="366"/>
      <c r="F68" s="366"/>
      <c r="G68" s="366"/>
      <c r="H68" s="366"/>
      <c r="I68" s="366"/>
      <c r="J68" s="366"/>
      <c r="K68" s="366"/>
      <c r="L68" s="366"/>
      <c r="M68" s="366"/>
      <c r="N68" s="366"/>
      <c r="O68" s="366"/>
      <c r="P68" s="366"/>
      <c r="Q68" s="367"/>
    </row>
    <row r="69" spans="1:17" s="127" customFormat="1" ht="12.75" customHeight="1" x14ac:dyDescent="0.3">
      <c r="A69" s="124"/>
      <c r="B69" s="368" t="s">
        <v>30</v>
      </c>
      <c r="C69" s="359" t="s">
        <v>63</v>
      </c>
      <c r="D69" s="359" t="s">
        <v>11</v>
      </c>
      <c r="E69" s="359" t="s">
        <v>117</v>
      </c>
      <c r="F69" s="359" t="s">
        <v>20</v>
      </c>
      <c r="G69" s="359" t="s">
        <v>21</v>
      </c>
      <c r="H69" s="357" t="s">
        <v>22</v>
      </c>
      <c r="I69" s="372"/>
      <c r="J69" s="358"/>
      <c r="K69" s="359" t="s">
        <v>26</v>
      </c>
      <c r="L69" s="359" t="s">
        <v>27</v>
      </c>
      <c r="M69" s="357" t="s">
        <v>64</v>
      </c>
      <c r="N69" s="358"/>
      <c r="O69" s="359" t="s">
        <v>56</v>
      </c>
      <c r="P69" s="359" t="s">
        <v>49</v>
      </c>
      <c r="Q69" s="361" t="s">
        <v>50</v>
      </c>
    </row>
    <row r="70" spans="1:17" s="127" customFormat="1" ht="26" x14ac:dyDescent="0.3">
      <c r="A70" s="124"/>
      <c r="B70" s="369"/>
      <c r="C70" s="360"/>
      <c r="D70" s="360"/>
      <c r="E70" s="360"/>
      <c r="F70" s="360"/>
      <c r="G70" s="360"/>
      <c r="H70" s="63" t="s">
        <v>24</v>
      </c>
      <c r="I70" s="209" t="s">
        <v>23</v>
      </c>
      <c r="J70" s="209" t="s">
        <v>25</v>
      </c>
      <c r="K70" s="360"/>
      <c r="L70" s="360"/>
      <c r="M70" s="205" t="s">
        <v>71</v>
      </c>
      <c r="N70" s="205" t="s">
        <v>28</v>
      </c>
      <c r="O70" s="360"/>
      <c r="P70" s="360"/>
      <c r="Q70" s="362"/>
    </row>
    <row r="71" spans="1:17" s="127" customFormat="1" ht="30" customHeight="1" x14ac:dyDescent="0.3">
      <c r="A71" s="124"/>
      <c r="B71" s="14" t="s">
        <v>84</v>
      </c>
      <c r="C71" s="58" t="s">
        <v>120</v>
      </c>
      <c r="D71" s="62"/>
      <c r="E71" s="58" t="s">
        <v>73</v>
      </c>
      <c r="F71" s="58"/>
      <c r="G71" s="207"/>
      <c r="H71" s="153"/>
      <c r="I71" s="60">
        <v>1</v>
      </c>
      <c r="J71" s="60">
        <v>0</v>
      </c>
      <c r="K71" s="58"/>
      <c r="L71" s="58" t="s">
        <v>10</v>
      </c>
      <c r="M71" s="71"/>
      <c r="N71" s="71"/>
      <c r="O71" s="58" t="s">
        <v>133</v>
      </c>
      <c r="P71" s="58"/>
      <c r="Q71" s="15" t="s">
        <v>14</v>
      </c>
    </row>
    <row r="72" spans="1:17" s="127" customFormat="1" ht="30" customHeight="1" x14ac:dyDescent="0.3">
      <c r="A72" s="124"/>
      <c r="B72" s="14" t="s">
        <v>84</v>
      </c>
      <c r="C72" s="58" t="s">
        <v>121</v>
      </c>
      <c r="D72" s="62"/>
      <c r="E72" s="58" t="s">
        <v>73</v>
      </c>
      <c r="F72" s="58"/>
      <c r="G72" s="207"/>
      <c r="H72" s="153"/>
      <c r="I72" s="60">
        <v>1</v>
      </c>
      <c r="J72" s="60">
        <v>0</v>
      </c>
      <c r="K72" s="58"/>
      <c r="L72" s="58" t="s">
        <v>10</v>
      </c>
      <c r="M72" s="71"/>
      <c r="N72" s="71"/>
      <c r="O72" s="58" t="s">
        <v>133</v>
      </c>
      <c r="P72" s="58"/>
      <c r="Q72" s="15" t="s">
        <v>14</v>
      </c>
    </row>
    <row r="73" spans="1:17" s="127" customFormat="1" ht="36" customHeight="1" x14ac:dyDescent="0.3">
      <c r="A73" s="124" t="s">
        <v>268</v>
      </c>
      <c r="B73" s="1" t="s">
        <v>84</v>
      </c>
      <c r="C73" s="64" t="s">
        <v>122</v>
      </c>
      <c r="D73" s="66"/>
      <c r="E73" s="64" t="s">
        <v>73</v>
      </c>
      <c r="F73" s="64"/>
      <c r="G73" s="208" t="s">
        <v>134</v>
      </c>
      <c r="H73" s="72">
        <f>(22324800.96)/2.695</f>
        <v>8283785.1428571437</v>
      </c>
      <c r="I73" s="68">
        <v>1</v>
      </c>
      <c r="J73" s="68">
        <v>0</v>
      </c>
      <c r="K73" s="64" t="s">
        <v>5</v>
      </c>
      <c r="L73" s="64" t="s">
        <v>10</v>
      </c>
      <c r="M73" s="73">
        <v>41821</v>
      </c>
      <c r="N73" s="73">
        <v>42036</v>
      </c>
      <c r="O73" s="64" t="s">
        <v>76</v>
      </c>
      <c r="P73" s="64" t="s">
        <v>293</v>
      </c>
      <c r="Q73" s="2" t="s">
        <v>3</v>
      </c>
    </row>
    <row r="74" spans="1:17" s="127" customFormat="1" ht="30" customHeight="1" x14ac:dyDescent="0.3">
      <c r="A74" s="124" t="s">
        <v>269</v>
      </c>
      <c r="B74" s="1" t="s">
        <v>84</v>
      </c>
      <c r="C74" s="64" t="s">
        <v>123</v>
      </c>
      <c r="D74" s="66"/>
      <c r="E74" s="64" t="s">
        <v>73</v>
      </c>
      <c r="F74" s="64"/>
      <c r="G74" s="208" t="s">
        <v>135</v>
      </c>
      <c r="H74" s="72">
        <f>((519994.17/2.695)+(18509.29/3.743))</f>
        <v>197892.7853809486</v>
      </c>
      <c r="I74" s="68">
        <v>1</v>
      </c>
      <c r="J74" s="68">
        <v>0</v>
      </c>
      <c r="K74" s="64" t="s">
        <v>5</v>
      </c>
      <c r="L74" s="64" t="s">
        <v>10</v>
      </c>
      <c r="M74" s="73">
        <v>41760</v>
      </c>
      <c r="N74" s="73">
        <v>41883</v>
      </c>
      <c r="O74" s="64" t="s">
        <v>76</v>
      </c>
      <c r="P74" s="64" t="s">
        <v>294</v>
      </c>
      <c r="Q74" s="2" t="s">
        <v>3</v>
      </c>
    </row>
    <row r="75" spans="1:17" s="127" customFormat="1" ht="30" customHeight="1" x14ac:dyDescent="0.3">
      <c r="A75" s="124"/>
      <c r="B75" s="14" t="s">
        <v>84</v>
      </c>
      <c r="C75" s="58" t="s">
        <v>124</v>
      </c>
      <c r="D75" s="62"/>
      <c r="E75" s="58" t="s">
        <v>73</v>
      </c>
      <c r="F75" s="58"/>
      <c r="G75" s="207"/>
      <c r="H75" s="74"/>
      <c r="I75" s="60">
        <v>1</v>
      </c>
      <c r="J75" s="60">
        <v>0</v>
      </c>
      <c r="K75" s="58" t="s">
        <v>114</v>
      </c>
      <c r="L75" s="58" t="s">
        <v>10</v>
      </c>
      <c r="M75" s="71"/>
      <c r="N75" s="71"/>
      <c r="O75" s="58" t="s">
        <v>133</v>
      </c>
      <c r="P75" s="58"/>
      <c r="Q75" s="15" t="s">
        <v>14</v>
      </c>
    </row>
    <row r="76" spans="1:17" s="127" customFormat="1" ht="30" customHeight="1" x14ac:dyDescent="0.3">
      <c r="A76" s="124"/>
      <c r="B76" s="14" t="s">
        <v>84</v>
      </c>
      <c r="C76" s="58" t="s">
        <v>125</v>
      </c>
      <c r="D76" s="62"/>
      <c r="E76" s="58" t="s">
        <v>73</v>
      </c>
      <c r="F76" s="58"/>
      <c r="G76" s="207"/>
      <c r="H76" s="74"/>
      <c r="I76" s="60">
        <v>1</v>
      </c>
      <c r="J76" s="60">
        <v>0</v>
      </c>
      <c r="K76" s="58" t="s">
        <v>114</v>
      </c>
      <c r="L76" s="58" t="s">
        <v>10</v>
      </c>
      <c r="M76" s="71"/>
      <c r="N76" s="71"/>
      <c r="O76" s="58" t="s">
        <v>133</v>
      </c>
      <c r="P76" s="58"/>
      <c r="Q76" s="15" t="s">
        <v>14</v>
      </c>
    </row>
    <row r="77" spans="1:17" s="127" customFormat="1" ht="30" customHeight="1" x14ac:dyDescent="0.3">
      <c r="A77" s="124" t="s">
        <v>270</v>
      </c>
      <c r="B77" s="1" t="s">
        <v>84</v>
      </c>
      <c r="C77" s="64" t="s">
        <v>214</v>
      </c>
      <c r="D77" s="66" t="s">
        <v>283</v>
      </c>
      <c r="E77" s="64" t="s">
        <v>73</v>
      </c>
      <c r="F77" s="64"/>
      <c r="G77" s="208" t="s">
        <v>213</v>
      </c>
      <c r="H77" s="67">
        <f>(4548229.5+1320000)/$H$5</f>
        <v>1657691.9491525423</v>
      </c>
      <c r="I77" s="68">
        <v>1</v>
      </c>
      <c r="J77" s="68">
        <v>0</v>
      </c>
      <c r="K77" s="64" t="s">
        <v>292</v>
      </c>
      <c r="L77" s="64" t="s">
        <v>10</v>
      </c>
      <c r="M77" s="73" t="s">
        <v>114</v>
      </c>
      <c r="N77" s="73">
        <v>42552</v>
      </c>
      <c r="O77" s="64" t="s">
        <v>76</v>
      </c>
      <c r="P77" s="146"/>
      <c r="Q77" s="2" t="s">
        <v>55</v>
      </c>
    </row>
    <row r="78" spans="1:17" s="127" customFormat="1" ht="30" customHeight="1" x14ac:dyDescent="0.3">
      <c r="A78" s="124" t="s">
        <v>271</v>
      </c>
      <c r="B78" s="1" t="s">
        <v>84</v>
      </c>
      <c r="C78" s="64" t="s">
        <v>126</v>
      </c>
      <c r="D78" s="66"/>
      <c r="E78" s="64" t="s">
        <v>73</v>
      </c>
      <c r="F78" s="64"/>
      <c r="G78" s="208" t="s">
        <v>136</v>
      </c>
      <c r="H78" s="75">
        <f>(5309487.6-1553578.9-319880.66-1597187.04)/$H$5+(1553578.9/2.695)+(319880.66/3.743)+(1597187.04/3.743)</f>
        <v>1608087.8461488853</v>
      </c>
      <c r="I78" s="68">
        <v>1</v>
      </c>
      <c r="J78" s="68">
        <v>0</v>
      </c>
      <c r="K78" s="64" t="s">
        <v>5</v>
      </c>
      <c r="L78" s="64" t="s">
        <v>10</v>
      </c>
      <c r="M78" s="73">
        <v>42217</v>
      </c>
      <c r="N78" s="73">
        <v>42644</v>
      </c>
      <c r="O78" s="64" t="s">
        <v>133</v>
      </c>
      <c r="P78" s="64" t="s">
        <v>139</v>
      </c>
      <c r="Q78" s="2" t="s">
        <v>3</v>
      </c>
    </row>
    <row r="79" spans="1:17" s="127" customFormat="1" ht="29.25" customHeight="1" x14ac:dyDescent="0.3">
      <c r="A79" s="124" t="s">
        <v>272</v>
      </c>
      <c r="B79" s="14" t="s">
        <v>84</v>
      </c>
      <c r="C79" s="58" t="s">
        <v>127</v>
      </c>
      <c r="D79" s="62"/>
      <c r="E79" s="58" t="s">
        <v>73</v>
      </c>
      <c r="F79" s="58"/>
      <c r="G79" s="207"/>
      <c r="H79" s="155">
        <v>481869.91</v>
      </c>
      <c r="I79" s="60">
        <v>1</v>
      </c>
      <c r="J79" s="60">
        <v>0</v>
      </c>
      <c r="K79" s="58" t="s">
        <v>5</v>
      </c>
      <c r="L79" s="58" t="s">
        <v>8</v>
      </c>
      <c r="M79" s="223">
        <v>43252</v>
      </c>
      <c r="N79" s="223">
        <v>43405</v>
      </c>
      <c r="O79" s="193" t="s">
        <v>133</v>
      </c>
      <c r="P79" s="193"/>
      <c r="Q79" s="224" t="s">
        <v>14</v>
      </c>
    </row>
    <row r="80" spans="1:17" s="127" customFormat="1" ht="30" customHeight="1" x14ac:dyDescent="0.3">
      <c r="A80" s="124" t="s">
        <v>273</v>
      </c>
      <c r="B80" s="1" t="s">
        <v>84</v>
      </c>
      <c r="C80" s="64" t="s">
        <v>128</v>
      </c>
      <c r="D80" s="66"/>
      <c r="E80" s="64" t="s">
        <v>73</v>
      </c>
      <c r="F80" s="64"/>
      <c r="G80" s="208" t="s">
        <v>137</v>
      </c>
      <c r="H80" s="72">
        <v>2870921.12</v>
      </c>
      <c r="I80" s="68">
        <v>1</v>
      </c>
      <c r="J80" s="68">
        <v>0</v>
      </c>
      <c r="K80" s="64" t="s">
        <v>6</v>
      </c>
      <c r="L80" s="64" t="s">
        <v>10</v>
      </c>
      <c r="M80" s="73">
        <v>41487</v>
      </c>
      <c r="N80" s="73">
        <v>41609</v>
      </c>
      <c r="O80" s="64" t="s">
        <v>76</v>
      </c>
      <c r="P80" s="66">
        <v>10658</v>
      </c>
      <c r="Q80" s="2" t="s">
        <v>3</v>
      </c>
    </row>
    <row r="81" spans="1:17" s="127" customFormat="1" ht="30" customHeight="1" x14ac:dyDescent="0.3">
      <c r="A81" s="132"/>
      <c r="B81" s="14" t="s">
        <v>84</v>
      </c>
      <c r="C81" s="58" t="s">
        <v>129</v>
      </c>
      <c r="D81" s="62"/>
      <c r="E81" s="58"/>
      <c r="F81" s="58"/>
      <c r="G81" s="207"/>
      <c r="H81" s="69"/>
      <c r="I81" s="60">
        <v>1</v>
      </c>
      <c r="J81" s="60">
        <v>0</v>
      </c>
      <c r="K81" s="58" t="s">
        <v>6</v>
      </c>
      <c r="L81" s="58"/>
      <c r="M81" s="71">
        <v>42430</v>
      </c>
      <c r="N81" s="71">
        <v>42583</v>
      </c>
      <c r="O81" s="58"/>
      <c r="P81" s="58"/>
      <c r="Q81" s="15" t="s">
        <v>14</v>
      </c>
    </row>
    <row r="82" spans="1:17" s="127" customFormat="1" ht="30" customHeight="1" x14ac:dyDescent="0.3">
      <c r="A82" s="124"/>
      <c r="B82" s="14" t="s">
        <v>84</v>
      </c>
      <c r="C82" s="58" t="s">
        <v>215</v>
      </c>
      <c r="D82" s="62"/>
      <c r="E82" s="58" t="s">
        <v>73</v>
      </c>
      <c r="F82" s="58"/>
      <c r="G82" s="207"/>
      <c r="H82" s="76"/>
      <c r="I82" s="60">
        <v>1</v>
      </c>
      <c r="J82" s="60">
        <v>0</v>
      </c>
      <c r="K82" s="58" t="s">
        <v>7</v>
      </c>
      <c r="L82" s="58" t="s">
        <v>10</v>
      </c>
      <c r="M82" s="71">
        <v>42614</v>
      </c>
      <c r="N82" s="71">
        <v>42767</v>
      </c>
      <c r="O82" s="58" t="s">
        <v>76</v>
      </c>
      <c r="P82" s="58"/>
      <c r="Q82" s="15" t="s">
        <v>14</v>
      </c>
    </row>
    <row r="83" spans="1:17" s="127" customFormat="1" ht="33" customHeight="1" x14ac:dyDescent="0.3">
      <c r="A83" s="124" t="s">
        <v>274</v>
      </c>
      <c r="B83" s="14" t="s">
        <v>84</v>
      </c>
      <c r="C83" s="253" t="s">
        <v>376</v>
      </c>
      <c r="D83" s="62"/>
      <c r="E83" s="58" t="s">
        <v>73</v>
      </c>
      <c r="F83" s="58"/>
      <c r="G83" s="207"/>
      <c r="H83" s="76">
        <f>300000/$E$5</f>
        <v>91463.414634146349</v>
      </c>
      <c r="I83" s="60">
        <v>1</v>
      </c>
      <c r="J83" s="60">
        <v>0</v>
      </c>
      <c r="K83" s="58" t="s">
        <v>7</v>
      </c>
      <c r="L83" s="58" t="s">
        <v>8</v>
      </c>
      <c r="M83" s="71">
        <v>43252</v>
      </c>
      <c r="N83" s="71">
        <v>43344</v>
      </c>
      <c r="O83" s="58" t="s">
        <v>133</v>
      </c>
      <c r="P83" s="58"/>
      <c r="Q83" s="15" t="s">
        <v>14</v>
      </c>
    </row>
    <row r="84" spans="1:17" s="127" customFormat="1" ht="30" customHeight="1" x14ac:dyDescent="0.3">
      <c r="A84" s="124" t="s">
        <v>275</v>
      </c>
      <c r="B84" s="222" t="s">
        <v>84</v>
      </c>
      <c r="C84" s="64" t="s">
        <v>393</v>
      </c>
      <c r="D84" s="66"/>
      <c r="E84" s="64" t="s">
        <v>12</v>
      </c>
      <c r="F84" s="208">
        <v>1</v>
      </c>
      <c r="G84" s="208" t="s">
        <v>282</v>
      </c>
      <c r="H84" s="177">
        <f>4962000.04/$E$5</f>
        <v>1512804.8902439026</v>
      </c>
      <c r="I84" s="68">
        <v>1</v>
      </c>
      <c r="J84" s="68">
        <v>0</v>
      </c>
      <c r="K84" s="64" t="s">
        <v>4</v>
      </c>
      <c r="L84" s="64" t="s">
        <v>9</v>
      </c>
      <c r="M84" s="73">
        <v>42767</v>
      </c>
      <c r="N84" s="73">
        <v>42887</v>
      </c>
      <c r="O84" s="64"/>
      <c r="P84" s="64" t="s">
        <v>479</v>
      </c>
      <c r="Q84" s="2" t="s">
        <v>55</v>
      </c>
    </row>
    <row r="85" spans="1:17" s="127" customFormat="1" ht="30" customHeight="1" x14ac:dyDescent="0.3">
      <c r="A85" s="132" t="s">
        <v>276</v>
      </c>
      <c r="B85" s="14" t="s">
        <v>84</v>
      </c>
      <c r="C85" s="58" t="s">
        <v>130</v>
      </c>
      <c r="D85" s="58" t="s">
        <v>284</v>
      </c>
      <c r="E85" s="58" t="s">
        <v>12</v>
      </c>
      <c r="F85" s="58"/>
      <c r="G85" s="207"/>
      <c r="H85" s="57"/>
      <c r="I85" s="60">
        <v>1</v>
      </c>
      <c r="J85" s="60">
        <v>0</v>
      </c>
      <c r="K85" s="58" t="s">
        <v>4</v>
      </c>
      <c r="L85" s="58" t="s">
        <v>9</v>
      </c>
      <c r="M85" s="71">
        <v>42614</v>
      </c>
      <c r="N85" s="71">
        <v>42767</v>
      </c>
      <c r="O85" s="58"/>
      <c r="P85" s="58"/>
      <c r="Q85" s="15" t="s">
        <v>14</v>
      </c>
    </row>
    <row r="86" spans="1:17" s="127" customFormat="1" ht="30" customHeight="1" x14ac:dyDescent="0.3">
      <c r="A86" s="124" t="s">
        <v>277</v>
      </c>
      <c r="B86" s="1" t="s">
        <v>84</v>
      </c>
      <c r="C86" s="64" t="s">
        <v>131</v>
      </c>
      <c r="D86" s="66" t="s">
        <v>285</v>
      </c>
      <c r="E86" s="64" t="s">
        <v>12</v>
      </c>
      <c r="F86" s="208">
        <v>1</v>
      </c>
      <c r="G86" s="208" t="s">
        <v>138</v>
      </c>
      <c r="H86" s="177">
        <f>536403.76/$H$5</f>
        <v>151526.48587570622</v>
      </c>
      <c r="I86" s="68">
        <v>1</v>
      </c>
      <c r="J86" s="68">
        <v>0</v>
      </c>
      <c r="K86" s="64" t="s">
        <v>4</v>
      </c>
      <c r="L86" s="64" t="s">
        <v>9</v>
      </c>
      <c r="M86" s="73">
        <v>42547</v>
      </c>
      <c r="N86" s="73">
        <v>42625</v>
      </c>
      <c r="O86" s="64"/>
      <c r="P86" s="64" t="s">
        <v>286</v>
      </c>
      <c r="Q86" s="2" t="s">
        <v>3</v>
      </c>
    </row>
    <row r="87" spans="1:17" s="127" customFormat="1" ht="30" customHeight="1" x14ac:dyDescent="0.3">
      <c r="A87" s="124" t="s">
        <v>278</v>
      </c>
      <c r="B87" s="1" t="s">
        <v>84</v>
      </c>
      <c r="C87" s="64" t="s">
        <v>132</v>
      </c>
      <c r="D87" s="66" t="s">
        <v>288</v>
      </c>
      <c r="E87" s="64" t="s">
        <v>72</v>
      </c>
      <c r="F87" s="208" t="s">
        <v>114</v>
      </c>
      <c r="G87" s="208" t="s">
        <v>287</v>
      </c>
      <c r="H87" s="177">
        <f>(690900)/$H$5</f>
        <v>195169.49152542371</v>
      </c>
      <c r="I87" s="68">
        <v>1</v>
      </c>
      <c r="J87" s="68">
        <v>0</v>
      </c>
      <c r="K87" s="64" t="s">
        <v>5</v>
      </c>
      <c r="L87" s="64" t="s">
        <v>9</v>
      </c>
      <c r="M87" s="73" t="s">
        <v>114</v>
      </c>
      <c r="N87" s="73">
        <v>42614</v>
      </c>
      <c r="O87" s="64"/>
      <c r="P87" s="64" t="s">
        <v>480</v>
      </c>
      <c r="Q87" s="2" t="s">
        <v>55</v>
      </c>
    </row>
    <row r="88" spans="1:17" s="127" customFormat="1" ht="30" customHeight="1" x14ac:dyDescent="0.3">
      <c r="A88" s="124" t="s">
        <v>279</v>
      </c>
      <c r="B88" s="14" t="s">
        <v>84</v>
      </c>
      <c r="C88" s="58" t="s">
        <v>131</v>
      </c>
      <c r="D88" s="62" t="s">
        <v>289</v>
      </c>
      <c r="E88" s="58" t="s">
        <v>12</v>
      </c>
      <c r="F88" s="58"/>
      <c r="G88" s="207"/>
      <c r="H88" s="201">
        <f>((596005/66*278))/$E$5</f>
        <v>765379.6655580193</v>
      </c>
      <c r="I88" s="60">
        <v>1</v>
      </c>
      <c r="J88" s="60">
        <v>0</v>
      </c>
      <c r="K88" s="58" t="s">
        <v>4</v>
      </c>
      <c r="L88" s="58" t="s">
        <v>9</v>
      </c>
      <c r="M88" s="71">
        <v>42887</v>
      </c>
      <c r="N88" s="71">
        <v>42979</v>
      </c>
      <c r="O88" s="58"/>
      <c r="P88" s="58"/>
      <c r="Q88" s="15" t="s">
        <v>14</v>
      </c>
    </row>
    <row r="89" spans="1:17" s="127" customFormat="1" ht="30" customHeight="1" x14ac:dyDescent="0.3">
      <c r="A89" s="124" t="s">
        <v>218</v>
      </c>
      <c r="B89" s="1" t="s">
        <v>84</v>
      </c>
      <c r="C89" s="64" t="s">
        <v>224</v>
      </c>
      <c r="D89" s="66" t="s">
        <v>442</v>
      </c>
      <c r="E89" s="64" t="s">
        <v>73</v>
      </c>
      <c r="F89" s="64"/>
      <c r="G89" s="202" t="s">
        <v>443</v>
      </c>
      <c r="H89" s="236">
        <f>839602.35/E5</f>
        <v>255976.32621951221</v>
      </c>
      <c r="I89" s="68">
        <v>1</v>
      </c>
      <c r="J89" s="68">
        <v>0</v>
      </c>
      <c r="K89" s="64" t="s">
        <v>5</v>
      </c>
      <c r="L89" s="64" t="s">
        <v>10</v>
      </c>
      <c r="M89" s="176">
        <v>42795</v>
      </c>
      <c r="N89" s="176">
        <v>43009</v>
      </c>
      <c r="O89" s="146" t="s">
        <v>133</v>
      </c>
      <c r="P89" s="146"/>
      <c r="Q89" s="148" t="s">
        <v>55</v>
      </c>
    </row>
    <row r="90" spans="1:17" s="127" customFormat="1" ht="30" customHeight="1" x14ac:dyDescent="0.3">
      <c r="A90" s="124" t="s">
        <v>219</v>
      </c>
      <c r="B90" s="1" t="s">
        <v>84</v>
      </c>
      <c r="C90" s="64" t="s">
        <v>220</v>
      </c>
      <c r="D90" s="66"/>
      <c r="E90" s="64" t="s">
        <v>75</v>
      </c>
      <c r="F90" s="208">
        <v>1</v>
      </c>
      <c r="G90" s="208" t="s">
        <v>290</v>
      </c>
      <c r="H90" s="236">
        <f>996000/E5</f>
        <v>303658.53658536589</v>
      </c>
      <c r="I90" s="68">
        <v>1</v>
      </c>
      <c r="J90" s="68">
        <v>0</v>
      </c>
      <c r="K90" s="64" t="s">
        <v>5</v>
      </c>
      <c r="L90" s="64" t="s">
        <v>9</v>
      </c>
      <c r="M90" s="73">
        <v>42767</v>
      </c>
      <c r="N90" s="73">
        <v>42948</v>
      </c>
      <c r="O90" s="64"/>
      <c r="P90" s="64"/>
      <c r="Q90" s="2" t="s">
        <v>55</v>
      </c>
    </row>
    <row r="91" spans="1:17" s="127" customFormat="1" ht="35.25" customHeight="1" x14ac:dyDescent="0.3">
      <c r="A91" s="132" t="s">
        <v>225</v>
      </c>
      <c r="B91" s="14" t="s">
        <v>84</v>
      </c>
      <c r="C91" s="58" t="s">
        <v>226</v>
      </c>
      <c r="D91" s="62" t="s">
        <v>378</v>
      </c>
      <c r="E91" s="58" t="s">
        <v>12</v>
      </c>
      <c r="F91" s="58"/>
      <c r="G91" s="207"/>
      <c r="H91" s="201">
        <f>4468000/E5</f>
        <v>1362195.1219512196</v>
      </c>
      <c r="I91" s="60">
        <v>1</v>
      </c>
      <c r="J91" s="60">
        <v>0</v>
      </c>
      <c r="K91" s="58" t="s">
        <v>5</v>
      </c>
      <c r="L91" s="58" t="s">
        <v>9</v>
      </c>
      <c r="M91" s="223">
        <v>43221</v>
      </c>
      <c r="N91" s="223">
        <v>42948</v>
      </c>
      <c r="O91" s="193"/>
      <c r="P91" s="193"/>
      <c r="Q91" s="224" t="s">
        <v>14</v>
      </c>
    </row>
    <row r="92" spans="1:17" s="127" customFormat="1" ht="30" customHeight="1" x14ac:dyDescent="0.3">
      <c r="A92" s="225" t="s">
        <v>228</v>
      </c>
      <c r="B92" s="14" t="s">
        <v>84</v>
      </c>
      <c r="C92" s="58" t="s">
        <v>395</v>
      </c>
      <c r="D92" s="62"/>
      <c r="E92" s="58" t="s">
        <v>73</v>
      </c>
      <c r="F92" s="58"/>
      <c r="G92" s="207"/>
      <c r="H92" s="201">
        <f>5672286/E5</f>
        <v>1729355.487804878</v>
      </c>
      <c r="I92" s="60">
        <v>1</v>
      </c>
      <c r="J92" s="60">
        <v>0</v>
      </c>
      <c r="K92" s="58" t="s">
        <v>291</v>
      </c>
      <c r="L92" s="58" t="s">
        <v>9</v>
      </c>
      <c r="M92" s="223">
        <v>43132</v>
      </c>
      <c r="N92" s="223">
        <v>43191</v>
      </c>
      <c r="O92" s="193" t="s">
        <v>133</v>
      </c>
      <c r="P92" s="193"/>
      <c r="Q92" s="224" t="s">
        <v>14</v>
      </c>
    </row>
    <row r="93" spans="1:17" s="127" customFormat="1" ht="30" customHeight="1" x14ac:dyDescent="0.3">
      <c r="A93" s="130" t="s">
        <v>230</v>
      </c>
      <c r="B93" s="121" t="s">
        <v>88</v>
      </c>
      <c r="C93" s="64" t="s">
        <v>390</v>
      </c>
      <c r="D93" s="64" t="s">
        <v>394</v>
      </c>
      <c r="E93" s="64" t="s">
        <v>12</v>
      </c>
      <c r="F93" s="212">
        <v>1</v>
      </c>
      <c r="G93" s="302" t="s">
        <v>478</v>
      </c>
      <c r="H93" s="236">
        <f>10007130.86/E5</f>
        <v>3050954.5304878047</v>
      </c>
      <c r="I93" s="186">
        <v>1</v>
      </c>
      <c r="J93" s="68">
        <v>0</v>
      </c>
      <c r="K93" s="64" t="s">
        <v>4</v>
      </c>
      <c r="L93" s="64" t="s">
        <v>377</v>
      </c>
      <c r="M93" s="175">
        <v>42767</v>
      </c>
      <c r="N93" s="175">
        <v>42887</v>
      </c>
      <c r="O93" s="146"/>
      <c r="P93" s="146"/>
      <c r="Q93" s="147" t="s">
        <v>55</v>
      </c>
    </row>
    <row r="94" spans="1:17" s="127" customFormat="1" ht="30" customHeight="1" x14ac:dyDescent="0.3">
      <c r="A94" s="130" t="s">
        <v>411</v>
      </c>
      <c r="B94" s="219" t="s">
        <v>88</v>
      </c>
      <c r="C94" s="220" t="s">
        <v>412</v>
      </c>
      <c r="D94" s="220" t="s">
        <v>413</v>
      </c>
      <c r="E94" s="58" t="s">
        <v>72</v>
      </c>
      <c r="F94" s="58"/>
      <c r="G94" s="207"/>
      <c r="H94" s="201">
        <v>15000</v>
      </c>
      <c r="I94" s="221">
        <v>1</v>
      </c>
      <c r="J94" s="60">
        <v>0</v>
      </c>
      <c r="K94" s="58" t="s">
        <v>5</v>
      </c>
      <c r="L94" s="58" t="s">
        <v>9</v>
      </c>
      <c r="M94" s="198">
        <v>42887</v>
      </c>
      <c r="N94" s="198">
        <v>42979</v>
      </c>
      <c r="O94" s="193"/>
      <c r="P94" s="193"/>
      <c r="Q94" s="191" t="s">
        <v>14</v>
      </c>
    </row>
    <row r="95" spans="1:17" s="127" customFormat="1" ht="30" customHeight="1" x14ac:dyDescent="0.3">
      <c r="A95" s="130" t="s">
        <v>441</v>
      </c>
      <c r="B95" s="1" t="s">
        <v>84</v>
      </c>
      <c r="C95" s="64" t="s">
        <v>459</v>
      </c>
      <c r="D95" s="66"/>
      <c r="E95" s="64" t="s">
        <v>73</v>
      </c>
      <c r="F95" s="64"/>
      <c r="G95" s="202"/>
      <c r="H95" s="301">
        <v>1067078.75</v>
      </c>
      <c r="I95" s="68">
        <v>1</v>
      </c>
      <c r="J95" s="68">
        <v>0</v>
      </c>
      <c r="K95" s="64" t="s">
        <v>5</v>
      </c>
      <c r="L95" s="64" t="s">
        <v>8</v>
      </c>
      <c r="M95" s="188">
        <v>43647</v>
      </c>
      <c r="N95" s="188">
        <v>43739</v>
      </c>
      <c r="O95" s="146" t="s">
        <v>133</v>
      </c>
      <c r="P95" s="146"/>
      <c r="Q95" s="148" t="s">
        <v>1</v>
      </c>
    </row>
    <row r="96" spans="1:17" s="127" customFormat="1" ht="37.5" customHeight="1" x14ac:dyDescent="0.3">
      <c r="A96" s="130" t="s">
        <v>450</v>
      </c>
      <c r="B96" s="14" t="s">
        <v>84</v>
      </c>
      <c r="C96" s="58" t="s">
        <v>451</v>
      </c>
      <c r="D96" s="62" t="s">
        <v>458</v>
      </c>
      <c r="E96" s="58" t="s">
        <v>72</v>
      </c>
      <c r="F96" s="58"/>
      <c r="G96" s="237"/>
      <c r="H96" s="201">
        <v>400000</v>
      </c>
      <c r="I96" s="60">
        <v>1</v>
      </c>
      <c r="J96" s="60">
        <v>0</v>
      </c>
      <c r="K96" s="58" t="s">
        <v>6</v>
      </c>
      <c r="L96" s="58" t="s">
        <v>9</v>
      </c>
      <c r="M96" s="223">
        <v>43221</v>
      </c>
      <c r="N96" s="223">
        <v>46966</v>
      </c>
      <c r="O96" s="193"/>
      <c r="P96" s="193"/>
      <c r="Q96" s="224" t="s">
        <v>14</v>
      </c>
    </row>
    <row r="97" spans="1:17" s="127" customFormat="1" x14ac:dyDescent="0.3">
      <c r="A97" s="124"/>
      <c r="G97" s="125"/>
      <c r="H97" s="154"/>
      <c r="I97" s="131"/>
      <c r="J97" s="131"/>
    </row>
    <row r="98" spans="1:17" s="127" customFormat="1" ht="13.5" thickBot="1" x14ac:dyDescent="0.35">
      <c r="A98" s="124">
        <v>4</v>
      </c>
      <c r="B98" s="365" t="s">
        <v>32</v>
      </c>
      <c r="C98" s="366"/>
      <c r="D98" s="366"/>
      <c r="E98" s="366"/>
      <c r="F98" s="366"/>
      <c r="G98" s="366"/>
      <c r="H98" s="366"/>
      <c r="I98" s="366"/>
      <c r="J98" s="366"/>
      <c r="K98" s="366"/>
      <c r="L98" s="366"/>
      <c r="M98" s="366"/>
      <c r="N98" s="366"/>
      <c r="O98" s="366"/>
      <c r="P98" s="366"/>
      <c r="Q98" s="367"/>
    </row>
    <row r="99" spans="1:17" s="127" customFormat="1" ht="12.75" customHeight="1" x14ac:dyDescent="0.3">
      <c r="A99" s="124"/>
      <c r="B99" s="368" t="s">
        <v>30</v>
      </c>
      <c r="C99" s="359" t="s">
        <v>63</v>
      </c>
      <c r="D99" s="359" t="s">
        <v>11</v>
      </c>
      <c r="E99" s="359" t="s">
        <v>117</v>
      </c>
      <c r="F99" s="370"/>
      <c r="G99" s="371"/>
      <c r="H99" s="357" t="s">
        <v>22</v>
      </c>
      <c r="I99" s="372"/>
      <c r="J99" s="358"/>
      <c r="K99" s="359" t="s">
        <v>26</v>
      </c>
      <c r="L99" s="359" t="s">
        <v>27</v>
      </c>
      <c r="M99" s="357" t="s">
        <v>64</v>
      </c>
      <c r="N99" s="358"/>
      <c r="O99" s="359" t="s">
        <v>56</v>
      </c>
      <c r="P99" s="359" t="s">
        <v>49</v>
      </c>
      <c r="Q99" s="361" t="s">
        <v>50</v>
      </c>
    </row>
    <row r="100" spans="1:17" s="127" customFormat="1" ht="39" x14ac:dyDescent="0.3">
      <c r="A100" s="124"/>
      <c r="B100" s="369"/>
      <c r="C100" s="360"/>
      <c r="D100" s="360"/>
      <c r="E100" s="360"/>
      <c r="F100" s="363" t="s">
        <v>33</v>
      </c>
      <c r="G100" s="364"/>
      <c r="H100" s="205" t="s">
        <v>24</v>
      </c>
      <c r="I100" s="63" t="s">
        <v>23</v>
      </c>
      <c r="J100" s="209" t="s">
        <v>25</v>
      </c>
      <c r="K100" s="360"/>
      <c r="L100" s="360"/>
      <c r="M100" s="205" t="s">
        <v>58</v>
      </c>
      <c r="N100" s="205" t="s">
        <v>28</v>
      </c>
      <c r="O100" s="360"/>
      <c r="P100" s="360"/>
      <c r="Q100" s="362"/>
    </row>
    <row r="101" spans="1:17" s="127" customFormat="1" ht="39" customHeight="1" x14ac:dyDescent="0.3">
      <c r="A101" s="124"/>
      <c r="B101" s="32" t="s">
        <v>88</v>
      </c>
      <c r="C101" s="58" t="s">
        <v>140</v>
      </c>
      <c r="D101" s="62"/>
      <c r="E101" s="58"/>
      <c r="F101" s="58"/>
      <c r="G101" s="207"/>
      <c r="H101" s="207"/>
      <c r="I101" s="58"/>
      <c r="J101" s="58"/>
      <c r="K101" s="58"/>
      <c r="L101" s="58" t="s">
        <v>9</v>
      </c>
      <c r="M101" s="58"/>
      <c r="N101" s="58"/>
      <c r="O101" s="58"/>
      <c r="P101" s="58"/>
      <c r="Q101" s="15" t="s">
        <v>14</v>
      </c>
    </row>
    <row r="102" spans="1:17" s="127" customFormat="1" ht="36" customHeight="1" x14ac:dyDescent="0.3">
      <c r="A102" s="124"/>
      <c r="B102" s="32" t="s">
        <v>88</v>
      </c>
      <c r="C102" s="58" t="s">
        <v>141</v>
      </c>
      <c r="D102" s="62"/>
      <c r="E102" s="58"/>
      <c r="F102" s="58"/>
      <c r="G102" s="207"/>
      <c r="H102" s="207"/>
      <c r="I102" s="207"/>
      <c r="J102" s="207"/>
      <c r="K102" s="58"/>
      <c r="L102" s="58" t="s">
        <v>9</v>
      </c>
      <c r="M102" s="58"/>
      <c r="N102" s="58"/>
      <c r="O102" s="58"/>
      <c r="P102" s="58"/>
      <c r="Q102" s="15" t="s">
        <v>14</v>
      </c>
    </row>
    <row r="103" spans="1:17" s="127" customFormat="1" ht="33.75" customHeight="1" x14ac:dyDescent="0.3">
      <c r="A103" s="124"/>
      <c r="B103" s="32" t="s">
        <v>88</v>
      </c>
      <c r="C103" s="58" t="s">
        <v>142</v>
      </c>
      <c r="D103" s="62"/>
      <c r="E103" s="58"/>
      <c r="F103" s="58"/>
      <c r="G103" s="207"/>
      <c r="H103" s="207"/>
      <c r="I103" s="207"/>
      <c r="J103" s="207"/>
      <c r="K103" s="58"/>
      <c r="L103" s="58" t="s">
        <v>9</v>
      </c>
      <c r="M103" s="58"/>
      <c r="N103" s="58"/>
      <c r="O103" s="58"/>
      <c r="P103" s="58"/>
      <c r="Q103" s="15" t="s">
        <v>14</v>
      </c>
    </row>
    <row r="104" spans="1:17" s="127" customFormat="1" ht="38.25" customHeight="1" x14ac:dyDescent="0.3">
      <c r="A104" s="124"/>
      <c r="B104" s="32" t="s">
        <v>88</v>
      </c>
      <c r="C104" s="58" t="s">
        <v>143</v>
      </c>
      <c r="D104" s="62"/>
      <c r="E104" s="58"/>
      <c r="F104" s="58"/>
      <c r="G104" s="207"/>
      <c r="H104" s="207"/>
      <c r="I104" s="207"/>
      <c r="J104" s="207"/>
      <c r="K104" s="58"/>
      <c r="L104" s="58" t="s">
        <v>9</v>
      </c>
      <c r="M104" s="58"/>
      <c r="N104" s="58"/>
      <c r="O104" s="58"/>
      <c r="P104" s="58"/>
      <c r="Q104" s="15" t="s">
        <v>14</v>
      </c>
    </row>
    <row r="105" spans="1:17" s="127" customFormat="1" ht="37.5" customHeight="1" x14ac:dyDescent="0.3">
      <c r="A105" s="124" t="s">
        <v>302</v>
      </c>
      <c r="B105" s="33" t="s">
        <v>88</v>
      </c>
      <c r="C105" s="77" t="s">
        <v>149</v>
      </c>
      <c r="D105" s="66" t="s">
        <v>297</v>
      </c>
      <c r="E105" s="77" t="s">
        <v>77</v>
      </c>
      <c r="F105" s="77" t="s">
        <v>144</v>
      </c>
      <c r="G105" s="208"/>
      <c r="H105" s="157">
        <f>(1731025.88-996916.69)/$H$5+996916.69/3.743</f>
        <v>473717.09909495839</v>
      </c>
      <c r="I105" s="78">
        <v>1</v>
      </c>
      <c r="J105" s="78">
        <v>0</v>
      </c>
      <c r="K105" s="77" t="s">
        <v>4</v>
      </c>
      <c r="L105" s="77" t="s">
        <v>9</v>
      </c>
      <c r="M105" s="79">
        <v>41730</v>
      </c>
      <c r="N105" s="79">
        <v>42217</v>
      </c>
      <c r="O105" s="77"/>
      <c r="P105" s="77" t="s">
        <v>177</v>
      </c>
      <c r="Q105" s="34" t="s">
        <v>3</v>
      </c>
    </row>
    <row r="106" spans="1:17" s="127" customFormat="1" ht="42.75" customHeight="1" x14ac:dyDescent="0.3">
      <c r="A106" s="124" t="s">
        <v>303</v>
      </c>
      <c r="B106" s="33" t="s">
        <v>88</v>
      </c>
      <c r="C106" s="77" t="s">
        <v>150</v>
      </c>
      <c r="D106" s="66" t="s">
        <v>296</v>
      </c>
      <c r="E106" s="77" t="s">
        <v>77</v>
      </c>
      <c r="F106" s="77" t="s">
        <v>144</v>
      </c>
      <c r="G106" s="208"/>
      <c r="H106" s="157">
        <f>(1730743.98-861899.26)/$H$5+861899.26/3.743</f>
        <v>475706.00090866419</v>
      </c>
      <c r="I106" s="78">
        <v>1</v>
      </c>
      <c r="J106" s="78">
        <v>0</v>
      </c>
      <c r="K106" s="77" t="s">
        <v>4</v>
      </c>
      <c r="L106" s="77" t="s">
        <v>9</v>
      </c>
      <c r="M106" s="79">
        <v>41731</v>
      </c>
      <c r="N106" s="79">
        <v>42218</v>
      </c>
      <c r="O106" s="77"/>
      <c r="P106" s="77" t="s">
        <v>178</v>
      </c>
      <c r="Q106" s="34" t="s">
        <v>3</v>
      </c>
    </row>
    <row r="107" spans="1:17" s="127" customFormat="1" ht="40.5" customHeight="1" x14ac:dyDescent="0.3">
      <c r="A107" s="124" t="s">
        <v>304</v>
      </c>
      <c r="B107" s="33" t="s">
        <v>88</v>
      </c>
      <c r="C107" s="77" t="s">
        <v>151</v>
      </c>
      <c r="D107" s="66" t="s">
        <v>298</v>
      </c>
      <c r="E107" s="77" t="s">
        <v>77</v>
      </c>
      <c r="F107" s="77" t="s">
        <v>144</v>
      </c>
      <c r="G107" s="208"/>
      <c r="H107" s="157">
        <f>(1607808.68-891727.9)/$H$5+891727.9/3.743</f>
        <v>440521.52534373011</v>
      </c>
      <c r="I107" s="78">
        <v>1</v>
      </c>
      <c r="J107" s="78">
        <v>0</v>
      </c>
      <c r="K107" s="77" t="s">
        <v>4</v>
      </c>
      <c r="L107" s="77" t="s">
        <v>9</v>
      </c>
      <c r="M107" s="79">
        <v>41732</v>
      </c>
      <c r="N107" s="79">
        <v>42219</v>
      </c>
      <c r="O107" s="77"/>
      <c r="P107" s="77" t="s">
        <v>179</v>
      </c>
      <c r="Q107" s="34" t="s">
        <v>3</v>
      </c>
    </row>
    <row r="108" spans="1:17" s="127" customFormat="1" ht="39" x14ac:dyDescent="0.3">
      <c r="A108" s="124" t="s">
        <v>305</v>
      </c>
      <c r="B108" s="33" t="s">
        <v>88</v>
      </c>
      <c r="C108" s="77" t="s">
        <v>295</v>
      </c>
      <c r="D108" s="66" t="s">
        <v>299</v>
      </c>
      <c r="E108" s="77" t="s">
        <v>77</v>
      </c>
      <c r="F108" s="77" t="s">
        <v>144</v>
      </c>
      <c r="G108" s="81"/>
      <c r="H108" s="157">
        <f>(1300532.14-713155.84)/$H$5+713155.84/3.743</f>
        <v>356456.05616359576</v>
      </c>
      <c r="I108" s="78">
        <v>1</v>
      </c>
      <c r="J108" s="78">
        <v>0</v>
      </c>
      <c r="K108" s="77" t="s">
        <v>4</v>
      </c>
      <c r="L108" s="77" t="s">
        <v>9</v>
      </c>
      <c r="M108" s="79">
        <v>41733</v>
      </c>
      <c r="N108" s="79">
        <v>42220</v>
      </c>
      <c r="O108" s="77"/>
      <c r="P108" s="77" t="s">
        <v>180</v>
      </c>
      <c r="Q108" s="34" t="s">
        <v>3</v>
      </c>
    </row>
    <row r="109" spans="1:17" s="127" customFormat="1" ht="39" x14ac:dyDescent="0.3">
      <c r="A109" s="124" t="s">
        <v>306</v>
      </c>
      <c r="B109" s="33" t="s">
        <v>88</v>
      </c>
      <c r="C109" s="77" t="s">
        <v>152</v>
      </c>
      <c r="D109" s="66" t="s">
        <v>300</v>
      </c>
      <c r="E109" s="77" t="s">
        <v>77</v>
      </c>
      <c r="F109" s="77" t="s">
        <v>144</v>
      </c>
      <c r="G109" s="81"/>
      <c r="H109" s="157">
        <f>(1749785.15-1050287.86)/$H$5+1050287.86/3.743</f>
        <v>478198.6548804472</v>
      </c>
      <c r="I109" s="78">
        <v>1</v>
      </c>
      <c r="J109" s="78">
        <v>0</v>
      </c>
      <c r="K109" s="77" t="s">
        <v>4</v>
      </c>
      <c r="L109" s="77" t="s">
        <v>9</v>
      </c>
      <c r="M109" s="79">
        <v>41734</v>
      </c>
      <c r="N109" s="79">
        <v>42221</v>
      </c>
      <c r="O109" s="77"/>
      <c r="P109" s="77" t="s">
        <v>181</v>
      </c>
      <c r="Q109" s="34" t="s">
        <v>3</v>
      </c>
    </row>
    <row r="110" spans="1:17" s="127" customFormat="1" ht="26" x14ac:dyDescent="0.3">
      <c r="A110" s="124" t="s">
        <v>307</v>
      </c>
      <c r="B110" s="33" t="s">
        <v>88</v>
      </c>
      <c r="C110" s="77" t="s">
        <v>153</v>
      </c>
      <c r="D110" s="66" t="s">
        <v>301</v>
      </c>
      <c r="E110" s="77" t="s">
        <v>77</v>
      </c>
      <c r="F110" s="77" t="s">
        <v>144</v>
      </c>
      <c r="G110" s="81"/>
      <c r="H110" s="157">
        <f>(1444348.46-877030.1)/$H$5+877030.1/3.743</f>
        <v>394571.49960378016</v>
      </c>
      <c r="I110" s="78">
        <v>1</v>
      </c>
      <c r="J110" s="78">
        <v>0</v>
      </c>
      <c r="K110" s="77" t="s">
        <v>4</v>
      </c>
      <c r="L110" s="77" t="s">
        <v>9</v>
      </c>
      <c r="M110" s="79">
        <v>41735</v>
      </c>
      <c r="N110" s="79">
        <v>42222</v>
      </c>
      <c r="O110" s="77"/>
      <c r="P110" s="77" t="s">
        <v>182</v>
      </c>
      <c r="Q110" s="34" t="s">
        <v>3</v>
      </c>
    </row>
    <row r="111" spans="1:17" s="127" customFormat="1" ht="26" x14ac:dyDescent="0.3">
      <c r="A111" s="124" t="s">
        <v>308</v>
      </c>
      <c r="B111" s="35" t="s">
        <v>88</v>
      </c>
      <c r="C111" s="64" t="s">
        <v>436</v>
      </c>
      <c r="D111" s="82" t="s">
        <v>435</v>
      </c>
      <c r="E111" s="149" t="s">
        <v>77</v>
      </c>
      <c r="F111" s="83" t="s">
        <v>114</v>
      </c>
      <c r="G111" s="216"/>
      <c r="H111" s="157">
        <v>2707352.31</v>
      </c>
      <c r="I111" s="150">
        <v>1</v>
      </c>
      <c r="J111" s="150">
        <v>0</v>
      </c>
      <c r="K111" s="149" t="s">
        <v>4</v>
      </c>
      <c r="L111" s="149" t="s">
        <v>9</v>
      </c>
      <c r="M111" s="79">
        <v>42767</v>
      </c>
      <c r="N111" s="259">
        <v>43191</v>
      </c>
      <c r="O111" s="83"/>
      <c r="P111" s="83"/>
      <c r="Q111" s="303" t="s">
        <v>55</v>
      </c>
    </row>
    <row r="112" spans="1:17" s="127" customFormat="1" ht="26" x14ac:dyDescent="0.3">
      <c r="A112" s="124" t="s">
        <v>309</v>
      </c>
      <c r="B112" s="35" t="s">
        <v>88</v>
      </c>
      <c r="C112" s="199" t="s">
        <v>495</v>
      </c>
      <c r="D112" s="257" t="s">
        <v>496</v>
      </c>
      <c r="E112" s="149" t="s">
        <v>77</v>
      </c>
      <c r="F112" s="83" t="s">
        <v>114</v>
      </c>
      <c r="G112" s="216"/>
      <c r="H112" s="254">
        <v>1500000</v>
      </c>
      <c r="I112" s="150">
        <v>1</v>
      </c>
      <c r="J112" s="150">
        <v>0</v>
      </c>
      <c r="K112" s="149" t="s">
        <v>4</v>
      </c>
      <c r="L112" s="149" t="s">
        <v>9</v>
      </c>
      <c r="M112" s="84">
        <v>43647</v>
      </c>
      <c r="N112" s="84">
        <v>43800</v>
      </c>
      <c r="O112" s="83"/>
      <c r="P112" s="83"/>
      <c r="Q112" s="303" t="s">
        <v>1</v>
      </c>
    </row>
    <row r="113" spans="1:17" s="127" customFormat="1" ht="26" x14ac:dyDescent="0.3">
      <c r="A113" s="132" t="s">
        <v>310</v>
      </c>
      <c r="B113" s="32" t="s">
        <v>88</v>
      </c>
      <c r="C113" s="58" t="s">
        <v>155</v>
      </c>
      <c r="D113" s="80" t="s">
        <v>318</v>
      </c>
      <c r="E113" s="85" t="s">
        <v>77</v>
      </c>
      <c r="F113" s="85" t="s">
        <v>114</v>
      </c>
      <c r="G113" s="88"/>
      <c r="H113" s="74"/>
      <c r="I113" s="86">
        <v>1</v>
      </c>
      <c r="J113" s="86">
        <v>0</v>
      </c>
      <c r="K113" s="85" t="s">
        <v>4</v>
      </c>
      <c r="L113" s="85" t="s">
        <v>9</v>
      </c>
      <c r="M113" s="87">
        <v>42826</v>
      </c>
      <c r="N113" s="87">
        <v>42979</v>
      </c>
      <c r="O113" s="85"/>
      <c r="P113" s="85"/>
      <c r="Q113" s="36" t="s">
        <v>14</v>
      </c>
    </row>
    <row r="114" spans="1:17" s="127" customFormat="1" ht="26" x14ac:dyDescent="0.3">
      <c r="A114" s="132" t="s">
        <v>311</v>
      </c>
      <c r="B114" s="32" t="s">
        <v>88</v>
      </c>
      <c r="C114" s="58" t="s">
        <v>154</v>
      </c>
      <c r="D114" s="80" t="s">
        <v>319</v>
      </c>
      <c r="E114" s="85" t="s">
        <v>77</v>
      </c>
      <c r="F114" s="85" t="s">
        <v>114</v>
      </c>
      <c r="G114" s="81"/>
      <c r="H114" s="74"/>
      <c r="I114" s="86">
        <v>1</v>
      </c>
      <c r="J114" s="86">
        <v>0</v>
      </c>
      <c r="K114" s="85" t="s">
        <v>4</v>
      </c>
      <c r="L114" s="85" t="s">
        <v>9</v>
      </c>
      <c r="M114" s="87">
        <v>42887</v>
      </c>
      <c r="N114" s="87">
        <v>43040</v>
      </c>
      <c r="O114" s="85"/>
      <c r="P114" s="85"/>
      <c r="Q114" s="36" t="s">
        <v>14</v>
      </c>
    </row>
    <row r="115" spans="1:17" s="127" customFormat="1" ht="26" x14ac:dyDescent="0.3">
      <c r="A115" s="132" t="s">
        <v>312</v>
      </c>
      <c r="B115" s="32" t="s">
        <v>88</v>
      </c>
      <c r="C115" s="58" t="s">
        <v>155</v>
      </c>
      <c r="D115" s="80" t="s">
        <v>317</v>
      </c>
      <c r="E115" s="85" t="s">
        <v>77</v>
      </c>
      <c r="F115" s="85" t="s">
        <v>114</v>
      </c>
      <c r="G115" s="88"/>
      <c r="H115" s="74"/>
      <c r="I115" s="86">
        <v>1</v>
      </c>
      <c r="J115" s="86">
        <v>0</v>
      </c>
      <c r="K115" s="85" t="s">
        <v>4</v>
      </c>
      <c r="L115" s="85" t="s">
        <v>9</v>
      </c>
      <c r="M115" s="87">
        <v>42948</v>
      </c>
      <c r="N115" s="87">
        <v>43101</v>
      </c>
      <c r="O115" s="85"/>
      <c r="P115" s="85"/>
      <c r="Q115" s="36" t="s">
        <v>14</v>
      </c>
    </row>
    <row r="116" spans="1:17" s="127" customFormat="1" ht="26" x14ac:dyDescent="0.3">
      <c r="A116" s="132" t="s">
        <v>313</v>
      </c>
      <c r="B116" s="32" t="s">
        <v>88</v>
      </c>
      <c r="C116" s="85" t="s">
        <v>156</v>
      </c>
      <c r="D116" s="62" t="s">
        <v>316</v>
      </c>
      <c r="E116" s="85" t="s">
        <v>77</v>
      </c>
      <c r="F116" s="85" t="s">
        <v>114</v>
      </c>
      <c r="G116" s="81"/>
      <c r="H116" s="74"/>
      <c r="I116" s="86">
        <v>1</v>
      </c>
      <c r="J116" s="86">
        <v>0</v>
      </c>
      <c r="K116" s="85" t="s">
        <v>4</v>
      </c>
      <c r="L116" s="85" t="s">
        <v>9</v>
      </c>
      <c r="M116" s="87">
        <v>42644</v>
      </c>
      <c r="N116" s="87">
        <v>42856</v>
      </c>
      <c r="O116" s="85"/>
      <c r="P116" s="85"/>
      <c r="Q116" s="36" t="s">
        <v>14</v>
      </c>
    </row>
    <row r="117" spans="1:17" s="127" customFormat="1" ht="26" x14ac:dyDescent="0.3">
      <c r="A117" s="132" t="s">
        <v>314</v>
      </c>
      <c r="B117" s="32" t="s">
        <v>88</v>
      </c>
      <c r="C117" s="85" t="s">
        <v>157</v>
      </c>
      <c r="D117" s="62" t="s">
        <v>316</v>
      </c>
      <c r="E117" s="85" t="s">
        <v>77</v>
      </c>
      <c r="F117" s="85" t="s">
        <v>114</v>
      </c>
      <c r="G117" s="88"/>
      <c r="H117" s="74"/>
      <c r="I117" s="86">
        <v>1</v>
      </c>
      <c r="J117" s="86">
        <v>0</v>
      </c>
      <c r="K117" s="85" t="s">
        <v>4</v>
      </c>
      <c r="L117" s="85" t="s">
        <v>9</v>
      </c>
      <c r="M117" s="87">
        <v>42644</v>
      </c>
      <c r="N117" s="87">
        <v>42856</v>
      </c>
      <c r="O117" s="85"/>
      <c r="P117" s="85"/>
      <c r="Q117" s="36" t="s">
        <v>14</v>
      </c>
    </row>
    <row r="118" spans="1:17" s="127" customFormat="1" ht="26" x14ac:dyDescent="0.3">
      <c r="A118" s="132" t="s">
        <v>315</v>
      </c>
      <c r="B118" s="32" t="s">
        <v>88</v>
      </c>
      <c r="C118" s="85" t="s">
        <v>158</v>
      </c>
      <c r="D118" s="62" t="s">
        <v>316</v>
      </c>
      <c r="E118" s="85" t="s">
        <v>77</v>
      </c>
      <c r="F118" s="85" t="s">
        <v>114</v>
      </c>
      <c r="G118" s="140"/>
      <c r="H118" s="74"/>
      <c r="I118" s="86">
        <v>1</v>
      </c>
      <c r="J118" s="86">
        <v>0</v>
      </c>
      <c r="K118" s="85" t="s">
        <v>4</v>
      </c>
      <c r="L118" s="85" t="s">
        <v>9</v>
      </c>
      <c r="M118" s="87">
        <v>42644</v>
      </c>
      <c r="N118" s="87">
        <v>42856</v>
      </c>
      <c r="O118" s="85"/>
      <c r="P118" s="85"/>
      <c r="Q118" s="36" t="s">
        <v>14</v>
      </c>
    </row>
    <row r="119" spans="1:17" s="127" customFormat="1" ht="26" x14ac:dyDescent="0.3">
      <c r="A119" s="124"/>
      <c r="B119" s="37" t="s">
        <v>88</v>
      </c>
      <c r="C119" s="89" t="s">
        <v>159</v>
      </c>
      <c r="D119" s="90"/>
      <c r="E119" s="89" t="s">
        <v>77</v>
      </c>
      <c r="F119" s="89" t="s">
        <v>114</v>
      </c>
      <c r="G119" s="141"/>
      <c r="H119" s="76"/>
      <c r="I119" s="91">
        <v>1</v>
      </c>
      <c r="J119" s="91">
        <v>0</v>
      </c>
      <c r="K119" s="89" t="s">
        <v>4</v>
      </c>
      <c r="L119" s="89" t="s">
        <v>9</v>
      </c>
      <c r="M119" s="92">
        <v>42491</v>
      </c>
      <c r="N119" s="92">
        <v>42705</v>
      </c>
      <c r="O119" s="89"/>
      <c r="P119" s="89"/>
      <c r="Q119" s="38" t="s">
        <v>14</v>
      </c>
    </row>
    <row r="120" spans="1:17" s="127" customFormat="1" ht="26" x14ac:dyDescent="0.3">
      <c r="A120" s="124"/>
      <c r="B120" s="37" t="s">
        <v>88</v>
      </c>
      <c r="C120" s="89" t="s">
        <v>160</v>
      </c>
      <c r="D120" s="90"/>
      <c r="E120" s="89" t="s">
        <v>77</v>
      </c>
      <c r="F120" s="89" t="s">
        <v>114</v>
      </c>
      <c r="G120" s="141"/>
      <c r="H120" s="76"/>
      <c r="I120" s="91">
        <v>1</v>
      </c>
      <c r="J120" s="91">
        <v>0</v>
      </c>
      <c r="K120" s="89" t="s">
        <v>4</v>
      </c>
      <c r="L120" s="89" t="s">
        <v>9</v>
      </c>
      <c r="M120" s="92">
        <v>42491</v>
      </c>
      <c r="N120" s="92">
        <v>42706</v>
      </c>
      <c r="O120" s="89"/>
      <c r="P120" s="89"/>
      <c r="Q120" s="38" t="s">
        <v>14</v>
      </c>
    </row>
    <row r="121" spans="1:17" s="127" customFormat="1" ht="26" x14ac:dyDescent="0.3">
      <c r="A121" s="124"/>
      <c r="B121" s="37" t="s">
        <v>88</v>
      </c>
      <c r="C121" s="89" t="s">
        <v>161</v>
      </c>
      <c r="D121" s="90"/>
      <c r="E121" s="89" t="s">
        <v>77</v>
      </c>
      <c r="F121" s="89" t="s">
        <v>114</v>
      </c>
      <c r="G121" s="141"/>
      <c r="H121" s="76"/>
      <c r="I121" s="91">
        <v>1</v>
      </c>
      <c r="J121" s="91">
        <v>0</v>
      </c>
      <c r="K121" s="89" t="s">
        <v>4</v>
      </c>
      <c r="L121" s="89" t="s">
        <v>9</v>
      </c>
      <c r="M121" s="92">
        <v>42491</v>
      </c>
      <c r="N121" s="92">
        <v>42707</v>
      </c>
      <c r="O121" s="89"/>
      <c r="P121" s="89"/>
      <c r="Q121" s="38" t="s">
        <v>14</v>
      </c>
    </row>
    <row r="122" spans="1:17" s="127" customFormat="1" ht="26" x14ac:dyDescent="0.3">
      <c r="A122" s="124"/>
      <c r="B122" s="37" t="s">
        <v>88</v>
      </c>
      <c r="C122" s="89" t="s">
        <v>162</v>
      </c>
      <c r="D122" s="90"/>
      <c r="E122" s="89" t="s">
        <v>77</v>
      </c>
      <c r="F122" s="89" t="s">
        <v>114</v>
      </c>
      <c r="G122" s="141"/>
      <c r="H122" s="76"/>
      <c r="I122" s="91">
        <v>1</v>
      </c>
      <c r="J122" s="91">
        <v>0</v>
      </c>
      <c r="K122" s="89" t="s">
        <v>4</v>
      </c>
      <c r="L122" s="89" t="s">
        <v>9</v>
      </c>
      <c r="M122" s="92">
        <v>42491</v>
      </c>
      <c r="N122" s="92">
        <v>42708</v>
      </c>
      <c r="O122" s="89"/>
      <c r="P122" s="89"/>
      <c r="Q122" s="38" t="s">
        <v>14</v>
      </c>
    </row>
    <row r="123" spans="1:17" s="127" customFormat="1" ht="26" x14ac:dyDescent="0.3">
      <c r="A123" s="124"/>
      <c r="B123" s="37" t="s">
        <v>88</v>
      </c>
      <c r="C123" s="89" t="s">
        <v>163</v>
      </c>
      <c r="D123" s="90"/>
      <c r="E123" s="89" t="s">
        <v>77</v>
      </c>
      <c r="F123" s="89" t="s">
        <v>114</v>
      </c>
      <c r="G123" s="141"/>
      <c r="H123" s="76"/>
      <c r="I123" s="91">
        <v>1</v>
      </c>
      <c r="J123" s="91">
        <v>0</v>
      </c>
      <c r="K123" s="89" t="s">
        <v>4</v>
      </c>
      <c r="L123" s="89" t="s">
        <v>9</v>
      </c>
      <c r="M123" s="92">
        <v>42491</v>
      </c>
      <c r="N123" s="92">
        <v>42709</v>
      </c>
      <c r="O123" s="89"/>
      <c r="P123" s="89"/>
      <c r="Q123" s="38" t="s">
        <v>14</v>
      </c>
    </row>
    <row r="124" spans="1:17" s="127" customFormat="1" ht="26" x14ac:dyDescent="0.3">
      <c r="A124" s="124"/>
      <c r="B124" s="37" t="s">
        <v>88</v>
      </c>
      <c r="C124" s="89" t="s">
        <v>164</v>
      </c>
      <c r="D124" s="90"/>
      <c r="E124" s="89" t="s">
        <v>77</v>
      </c>
      <c r="F124" s="89" t="s">
        <v>114</v>
      </c>
      <c r="G124" s="141"/>
      <c r="H124" s="76"/>
      <c r="I124" s="91">
        <v>1</v>
      </c>
      <c r="J124" s="91">
        <v>0</v>
      </c>
      <c r="K124" s="89" t="s">
        <v>4</v>
      </c>
      <c r="L124" s="89" t="s">
        <v>9</v>
      </c>
      <c r="M124" s="92">
        <v>42491</v>
      </c>
      <c r="N124" s="92">
        <v>42710</v>
      </c>
      <c r="O124" s="89"/>
      <c r="P124" s="89"/>
      <c r="Q124" s="38" t="s">
        <v>14</v>
      </c>
    </row>
    <row r="125" spans="1:17" s="127" customFormat="1" ht="26" x14ac:dyDescent="0.3">
      <c r="A125" s="124" t="s">
        <v>320</v>
      </c>
      <c r="B125" s="39" t="s">
        <v>88</v>
      </c>
      <c r="C125" s="93" t="s">
        <v>165</v>
      </c>
      <c r="D125" s="178" t="s">
        <v>321</v>
      </c>
      <c r="E125" s="93" t="s">
        <v>72</v>
      </c>
      <c r="F125" s="93" t="s">
        <v>145</v>
      </c>
      <c r="G125" s="141"/>
      <c r="H125" s="72">
        <f>(9657691/$H$5)+3190339.79+601122.09</f>
        <v>6519623.1794350278</v>
      </c>
      <c r="I125" s="78">
        <v>1</v>
      </c>
      <c r="J125" s="78">
        <v>0</v>
      </c>
      <c r="K125" s="93" t="s">
        <v>5</v>
      </c>
      <c r="L125" s="93" t="s">
        <v>9</v>
      </c>
      <c r="M125" s="94">
        <v>41609</v>
      </c>
      <c r="N125" s="95">
        <v>41730</v>
      </c>
      <c r="O125" s="93"/>
      <c r="P125" s="93" t="s">
        <v>322</v>
      </c>
      <c r="Q125" s="304" t="s">
        <v>3</v>
      </c>
    </row>
    <row r="126" spans="1:17" s="127" customFormat="1" ht="26" x14ac:dyDescent="0.3">
      <c r="A126" s="124"/>
      <c r="B126" s="41" t="s">
        <v>88</v>
      </c>
      <c r="C126" s="97" t="s">
        <v>166</v>
      </c>
      <c r="D126" s="96"/>
      <c r="E126" s="97"/>
      <c r="F126" s="97"/>
      <c r="G126" s="98"/>
      <c r="H126" s="158"/>
      <c r="I126" s="99"/>
      <c r="J126" s="99"/>
      <c r="K126" s="97" t="s">
        <v>5</v>
      </c>
      <c r="L126" s="97" t="s">
        <v>9</v>
      </c>
      <c r="M126" s="100" t="s">
        <v>114</v>
      </c>
      <c r="N126" s="100" t="s">
        <v>114</v>
      </c>
      <c r="O126" s="97"/>
      <c r="P126" s="97"/>
      <c r="Q126" s="42" t="s">
        <v>14</v>
      </c>
    </row>
    <row r="127" spans="1:17" s="127" customFormat="1" ht="26" x14ac:dyDescent="0.3">
      <c r="A127" s="124" t="s">
        <v>323</v>
      </c>
      <c r="B127" s="41" t="s">
        <v>88</v>
      </c>
      <c r="C127" s="101" t="s">
        <v>167</v>
      </c>
      <c r="D127" s="96" t="s">
        <v>328</v>
      </c>
      <c r="E127" s="101" t="s">
        <v>77</v>
      </c>
      <c r="F127" s="101" t="s">
        <v>114</v>
      </c>
      <c r="G127" s="98"/>
      <c r="H127" s="76"/>
      <c r="I127" s="102">
        <v>1</v>
      </c>
      <c r="J127" s="102">
        <v>0</v>
      </c>
      <c r="K127" s="101" t="s">
        <v>5</v>
      </c>
      <c r="L127" s="101" t="s">
        <v>9</v>
      </c>
      <c r="M127" s="100">
        <v>42614</v>
      </c>
      <c r="N127" s="100">
        <v>42767</v>
      </c>
      <c r="O127" s="101"/>
      <c r="P127" s="101"/>
      <c r="Q127" s="43" t="s">
        <v>14</v>
      </c>
    </row>
    <row r="128" spans="1:17" s="127" customFormat="1" ht="26" x14ac:dyDescent="0.3">
      <c r="A128" s="124" t="s">
        <v>324</v>
      </c>
      <c r="B128" s="41" t="s">
        <v>88</v>
      </c>
      <c r="C128" s="305" t="s">
        <v>168</v>
      </c>
      <c r="D128" s="96"/>
      <c r="E128" s="305" t="s">
        <v>46</v>
      </c>
      <c r="F128" s="305" t="s">
        <v>114</v>
      </c>
      <c r="G128" s="306"/>
      <c r="H128" s="155">
        <v>1050889.74</v>
      </c>
      <c r="I128" s="91">
        <v>1</v>
      </c>
      <c r="J128" s="91">
        <v>0</v>
      </c>
      <c r="K128" s="305" t="s">
        <v>5</v>
      </c>
      <c r="L128" s="305" t="s">
        <v>9</v>
      </c>
      <c r="M128" s="92">
        <v>42590</v>
      </c>
      <c r="N128" s="92">
        <v>43556</v>
      </c>
      <c r="O128" s="305"/>
      <c r="P128" s="305"/>
      <c r="Q128" s="307" t="s">
        <v>14</v>
      </c>
    </row>
    <row r="129" spans="1:17" s="127" customFormat="1" ht="26" x14ac:dyDescent="0.3">
      <c r="A129" s="132" t="s">
        <v>325</v>
      </c>
      <c r="B129" s="41" t="s">
        <v>88</v>
      </c>
      <c r="C129" s="103" t="s">
        <v>169</v>
      </c>
      <c r="D129" s="96" t="s">
        <v>326</v>
      </c>
      <c r="E129" s="103" t="s">
        <v>77</v>
      </c>
      <c r="F129" s="103" t="s">
        <v>114</v>
      </c>
      <c r="G129" s="98"/>
      <c r="H129" s="74"/>
      <c r="I129" s="60">
        <v>1</v>
      </c>
      <c r="J129" s="60">
        <v>0</v>
      </c>
      <c r="K129" s="103" t="s">
        <v>5</v>
      </c>
      <c r="L129" s="103" t="s">
        <v>9</v>
      </c>
      <c r="M129" s="87">
        <v>42795</v>
      </c>
      <c r="N129" s="87">
        <v>42948</v>
      </c>
      <c r="O129" s="103"/>
      <c r="P129" s="103"/>
      <c r="Q129" s="45" t="s">
        <v>14</v>
      </c>
    </row>
    <row r="130" spans="1:17" s="127" customFormat="1" ht="26" x14ac:dyDescent="0.3">
      <c r="A130" s="124"/>
      <c r="B130" s="41" t="s">
        <v>88</v>
      </c>
      <c r="C130" s="101" t="s">
        <v>170</v>
      </c>
      <c r="D130" s="96"/>
      <c r="E130" s="101" t="s">
        <v>46</v>
      </c>
      <c r="F130" s="101" t="s">
        <v>114</v>
      </c>
      <c r="G130" s="98"/>
      <c r="H130" s="74"/>
      <c r="I130" s="102">
        <v>1</v>
      </c>
      <c r="J130" s="102">
        <v>0</v>
      </c>
      <c r="K130" s="101" t="s">
        <v>5</v>
      </c>
      <c r="L130" s="101" t="s">
        <v>9</v>
      </c>
      <c r="M130" s="87">
        <v>42795</v>
      </c>
      <c r="N130" s="87">
        <v>42948</v>
      </c>
      <c r="O130" s="101"/>
      <c r="P130" s="101"/>
      <c r="Q130" s="43" t="s">
        <v>14</v>
      </c>
    </row>
    <row r="131" spans="1:17" s="127" customFormat="1" ht="26" x14ac:dyDescent="0.3">
      <c r="A131" s="124" t="s">
        <v>331</v>
      </c>
      <c r="B131" s="44" t="s">
        <v>88</v>
      </c>
      <c r="C131" s="308" t="s">
        <v>497</v>
      </c>
      <c r="D131" s="179" t="s">
        <v>330</v>
      </c>
      <c r="E131" s="93" t="s">
        <v>77</v>
      </c>
      <c r="F131" s="93" t="s">
        <v>146</v>
      </c>
      <c r="G131" s="98"/>
      <c r="H131" s="157">
        <f>(25690286.62+7064085.5)/$H$5+6441705.47+2830918.57</f>
        <v>18525271.531525426</v>
      </c>
      <c r="I131" s="78">
        <v>0.6</v>
      </c>
      <c r="J131" s="78">
        <v>0.4</v>
      </c>
      <c r="K131" s="93" t="s">
        <v>6</v>
      </c>
      <c r="L131" s="93" t="s">
        <v>9</v>
      </c>
      <c r="M131" s="94">
        <v>41852</v>
      </c>
      <c r="N131" s="104">
        <v>41944</v>
      </c>
      <c r="O131" s="93"/>
      <c r="P131" s="93" t="s">
        <v>329</v>
      </c>
      <c r="Q131" s="40" t="s">
        <v>55</v>
      </c>
    </row>
    <row r="132" spans="1:17" s="127" customFormat="1" ht="26" x14ac:dyDescent="0.3">
      <c r="A132" s="124"/>
      <c r="B132" s="46" t="s">
        <v>88</v>
      </c>
      <c r="C132" s="101" t="s">
        <v>171</v>
      </c>
      <c r="D132" s="82"/>
      <c r="E132" s="101" t="s">
        <v>46</v>
      </c>
      <c r="F132" s="101" t="s">
        <v>114</v>
      </c>
      <c r="G132" s="105"/>
      <c r="H132" s="74"/>
      <c r="I132" s="102">
        <v>1</v>
      </c>
      <c r="J132" s="102">
        <v>0</v>
      </c>
      <c r="K132" s="101" t="s">
        <v>6</v>
      </c>
      <c r="L132" s="101" t="s">
        <v>9</v>
      </c>
      <c r="M132" s="87">
        <v>42278</v>
      </c>
      <c r="N132" s="106">
        <v>42491</v>
      </c>
      <c r="O132" s="101"/>
      <c r="P132" s="101" t="s">
        <v>114</v>
      </c>
      <c r="Q132" s="43" t="s">
        <v>14</v>
      </c>
    </row>
    <row r="133" spans="1:17" s="127" customFormat="1" ht="26" x14ac:dyDescent="0.3">
      <c r="A133" s="133" t="s">
        <v>332</v>
      </c>
      <c r="B133" s="255" t="s">
        <v>88</v>
      </c>
      <c r="C133" s="256" t="s">
        <v>339</v>
      </c>
      <c r="D133" s="257" t="s">
        <v>340</v>
      </c>
      <c r="E133" s="256" t="s">
        <v>46</v>
      </c>
      <c r="F133" s="256" t="s">
        <v>348</v>
      </c>
      <c r="G133" s="258"/>
      <c r="H133" s="200">
        <f>3970000/$E$5</f>
        <v>1210365.8536585367</v>
      </c>
      <c r="I133" s="228">
        <v>1</v>
      </c>
      <c r="J133" s="228">
        <v>0</v>
      </c>
      <c r="K133" s="256" t="s">
        <v>6</v>
      </c>
      <c r="L133" s="256" t="s">
        <v>9</v>
      </c>
      <c r="M133" s="259" t="s">
        <v>114</v>
      </c>
      <c r="N133" s="260">
        <v>43221</v>
      </c>
      <c r="O133" s="256"/>
      <c r="P133" s="256" t="s">
        <v>114</v>
      </c>
      <c r="Q133" s="309" t="s">
        <v>3</v>
      </c>
    </row>
    <row r="134" spans="1:17" s="127" customFormat="1" x14ac:dyDescent="0.3">
      <c r="A134" s="133" t="s">
        <v>333</v>
      </c>
      <c r="B134" s="47" t="s">
        <v>88</v>
      </c>
      <c r="C134" s="107" t="s">
        <v>172</v>
      </c>
      <c r="D134" s="82" t="s">
        <v>342</v>
      </c>
      <c r="E134" s="107" t="s">
        <v>46</v>
      </c>
      <c r="F134" s="107" t="s">
        <v>147</v>
      </c>
      <c r="G134" s="105"/>
      <c r="H134" s="189">
        <f>12572270.87/$H$5+10000000/3.9</f>
        <v>6115591.5104302475</v>
      </c>
      <c r="I134" s="108">
        <v>1</v>
      </c>
      <c r="J134" s="108">
        <v>0</v>
      </c>
      <c r="K134" s="107" t="s">
        <v>7</v>
      </c>
      <c r="L134" s="107" t="s">
        <v>9</v>
      </c>
      <c r="M134" s="94">
        <v>42217</v>
      </c>
      <c r="N134" s="94">
        <v>42552</v>
      </c>
      <c r="O134" s="107"/>
      <c r="P134" s="107" t="s">
        <v>341</v>
      </c>
      <c r="Q134" s="180" t="s">
        <v>55</v>
      </c>
    </row>
    <row r="135" spans="1:17" s="127" customFormat="1" ht="26" x14ac:dyDescent="0.3">
      <c r="A135" s="133" t="s">
        <v>334</v>
      </c>
      <c r="B135" s="44" t="s">
        <v>88</v>
      </c>
      <c r="C135" s="109" t="s">
        <v>173</v>
      </c>
      <c r="D135" s="179" t="s">
        <v>344</v>
      </c>
      <c r="E135" s="109" t="s">
        <v>72</v>
      </c>
      <c r="F135" s="109" t="s">
        <v>148</v>
      </c>
      <c r="G135" s="330"/>
      <c r="H135" s="72">
        <v>150000</v>
      </c>
      <c r="I135" s="108">
        <v>1</v>
      </c>
      <c r="J135" s="108">
        <v>0</v>
      </c>
      <c r="K135" s="109" t="s">
        <v>7</v>
      </c>
      <c r="L135" s="109" t="s">
        <v>9</v>
      </c>
      <c r="M135" s="94">
        <v>42248</v>
      </c>
      <c r="N135" s="94">
        <v>42401</v>
      </c>
      <c r="O135" s="109"/>
      <c r="P135" s="109" t="s">
        <v>343</v>
      </c>
      <c r="Q135" s="48" t="s">
        <v>3</v>
      </c>
    </row>
    <row r="136" spans="1:17" s="127" customFormat="1" ht="44.25" customHeight="1" x14ac:dyDescent="0.3">
      <c r="A136" s="136" t="s">
        <v>335</v>
      </c>
      <c r="B136" s="49" t="s">
        <v>88</v>
      </c>
      <c r="C136" s="111" t="s">
        <v>174</v>
      </c>
      <c r="D136" s="110" t="s">
        <v>345</v>
      </c>
      <c r="E136" s="111" t="s">
        <v>77</v>
      </c>
      <c r="F136" s="111" t="s">
        <v>114</v>
      </c>
      <c r="G136" s="88"/>
      <c r="H136" s="76"/>
      <c r="I136" s="99">
        <v>1</v>
      </c>
      <c r="J136" s="99">
        <v>0</v>
      </c>
      <c r="K136" s="111" t="s">
        <v>5</v>
      </c>
      <c r="L136" s="111" t="s">
        <v>9</v>
      </c>
      <c r="M136" s="100">
        <v>42552</v>
      </c>
      <c r="N136" s="100">
        <v>42736</v>
      </c>
      <c r="O136" s="111"/>
      <c r="P136" s="111" t="s">
        <v>114</v>
      </c>
      <c r="Q136" s="50" t="s">
        <v>14</v>
      </c>
    </row>
    <row r="137" spans="1:17" s="127" customFormat="1" ht="26" x14ac:dyDescent="0.3">
      <c r="A137" s="133" t="s">
        <v>336</v>
      </c>
      <c r="B137" s="47" t="s">
        <v>88</v>
      </c>
      <c r="C137" s="109" t="s">
        <v>175</v>
      </c>
      <c r="D137" s="82"/>
      <c r="E137" s="109" t="s">
        <v>46</v>
      </c>
      <c r="F137" s="109" t="s">
        <v>346</v>
      </c>
      <c r="G137" s="105"/>
      <c r="H137" s="72">
        <v>1413865.61</v>
      </c>
      <c r="I137" s="108">
        <v>1</v>
      </c>
      <c r="J137" s="108">
        <v>0</v>
      </c>
      <c r="K137" s="109" t="s">
        <v>5</v>
      </c>
      <c r="L137" s="109" t="s">
        <v>9</v>
      </c>
      <c r="M137" s="94">
        <v>42587</v>
      </c>
      <c r="N137" s="260">
        <v>43160</v>
      </c>
      <c r="O137" s="109"/>
      <c r="P137" s="109" t="s">
        <v>114</v>
      </c>
      <c r="Q137" s="312" t="s">
        <v>55</v>
      </c>
    </row>
    <row r="138" spans="1:17" s="127" customFormat="1" ht="24.75" customHeight="1" x14ac:dyDescent="0.3">
      <c r="A138" s="133" t="s">
        <v>337</v>
      </c>
      <c r="B138" s="51" t="s">
        <v>88</v>
      </c>
      <c r="C138" s="109" t="s">
        <v>176</v>
      </c>
      <c r="D138" s="181" t="s">
        <v>347</v>
      </c>
      <c r="E138" s="109" t="s">
        <v>72</v>
      </c>
      <c r="F138" s="109" t="s">
        <v>114</v>
      </c>
      <c r="G138" s="112"/>
      <c r="H138" s="72">
        <f>73711.04/$H$5</f>
        <v>20822.327683615818</v>
      </c>
      <c r="I138" s="108">
        <v>1</v>
      </c>
      <c r="J138" s="108">
        <v>0</v>
      </c>
      <c r="K138" s="109" t="s">
        <v>5</v>
      </c>
      <c r="L138" s="109" t="s">
        <v>9</v>
      </c>
      <c r="M138" s="94" t="s">
        <v>114</v>
      </c>
      <c r="N138" s="94">
        <v>42611</v>
      </c>
      <c r="O138" s="109"/>
      <c r="P138" s="109"/>
      <c r="Q138" s="48" t="s">
        <v>3</v>
      </c>
    </row>
    <row r="139" spans="1:17" s="127" customFormat="1" ht="24.75" customHeight="1" x14ac:dyDescent="0.3">
      <c r="A139" s="133" t="s">
        <v>338</v>
      </c>
      <c r="B139" s="182" t="s">
        <v>88</v>
      </c>
      <c r="C139" s="109" t="s">
        <v>221</v>
      </c>
      <c r="D139" s="181"/>
      <c r="E139" s="109" t="s">
        <v>46</v>
      </c>
      <c r="F139" s="109" t="s">
        <v>114</v>
      </c>
      <c r="G139" s="112"/>
      <c r="H139" s="310">
        <v>4142562.05</v>
      </c>
      <c r="I139" s="108">
        <v>1</v>
      </c>
      <c r="J139" s="108">
        <v>0</v>
      </c>
      <c r="K139" s="109" t="s">
        <v>5</v>
      </c>
      <c r="L139" s="109" t="s">
        <v>9</v>
      </c>
      <c r="M139" s="94">
        <v>42692</v>
      </c>
      <c r="N139" s="260">
        <v>43282</v>
      </c>
      <c r="O139" s="109"/>
      <c r="P139" s="109" t="s">
        <v>114</v>
      </c>
      <c r="Q139" s="311" t="s">
        <v>55</v>
      </c>
    </row>
    <row r="140" spans="1:17" s="127" customFormat="1" ht="24.75" customHeight="1" x14ac:dyDescent="0.3">
      <c r="A140" s="133" t="s">
        <v>398</v>
      </c>
      <c r="B140" s="261" t="s">
        <v>88</v>
      </c>
      <c r="C140" s="111" t="s">
        <v>474</v>
      </c>
      <c r="D140" s="110" t="s">
        <v>472</v>
      </c>
      <c r="E140" s="111" t="s">
        <v>72</v>
      </c>
      <c r="F140" s="111" t="s">
        <v>114</v>
      </c>
      <c r="G140" s="88"/>
      <c r="H140" s="76">
        <v>210000</v>
      </c>
      <c r="I140" s="99">
        <v>1</v>
      </c>
      <c r="J140" s="99">
        <v>0</v>
      </c>
      <c r="K140" s="111" t="s">
        <v>5</v>
      </c>
      <c r="L140" s="111" t="s">
        <v>9</v>
      </c>
      <c r="M140" s="100">
        <v>43221</v>
      </c>
      <c r="N140" s="100">
        <v>43313</v>
      </c>
      <c r="O140" s="111"/>
      <c r="P140" s="111" t="s">
        <v>114</v>
      </c>
      <c r="Q140" s="262" t="s">
        <v>14</v>
      </c>
    </row>
    <row r="141" spans="1:17" s="127" customFormat="1" ht="26" x14ac:dyDescent="0.3">
      <c r="A141" s="133" t="s">
        <v>399</v>
      </c>
      <c r="B141" s="263" t="s">
        <v>88</v>
      </c>
      <c r="C141" s="264" t="s">
        <v>460</v>
      </c>
      <c r="D141" s="265"/>
      <c r="E141" s="264" t="s">
        <v>72</v>
      </c>
      <c r="F141" s="264" t="s">
        <v>114</v>
      </c>
      <c r="G141" s="266"/>
      <c r="H141" s="267">
        <v>100000</v>
      </c>
      <c r="I141" s="268">
        <v>1</v>
      </c>
      <c r="J141" s="268">
        <v>0</v>
      </c>
      <c r="K141" s="264" t="s">
        <v>4</v>
      </c>
      <c r="L141" s="264" t="s">
        <v>9</v>
      </c>
      <c r="M141" s="100">
        <v>39539</v>
      </c>
      <c r="N141" s="100">
        <v>43282</v>
      </c>
      <c r="O141" s="264"/>
      <c r="P141" s="264" t="s">
        <v>114</v>
      </c>
      <c r="Q141" s="269" t="s">
        <v>14</v>
      </c>
    </row>
    <row r="142" spans="1:17" s="231" customFormat="1" ht="26" x14ac:dyDescent="0.3">
      <c r="A142" s="128" t="s">
        <v>401</v>
      </c>
      <c r="B142" s="261" t="s">
        <v>88</v>
      </c>
      <c r="C142" s="111" t="s">
        <v>402</v>
      </c>
      <c r="D142" s="110"/>
      <c r="E142" s="111" t="s">
        <v>47</v>
      </c>
      <c r="F142" s="111" t="s">
        <v>114</v>
      </c>
      <c r="G142" s="88"/>
      <c r="H142" s="76">
        <v>190000</v>
      </c>
      <c r="I142" s="99">
        <v>1</v>
      </c>
      <c r="J142" s="99">
        <v>0</v>
      </c>
      <c r="K142" s="111" t="s">
        <v>6</v>
      </c>
      <c r="L142" s="111" t="s">
        <v>9</v>
      </c>
      <c r="M142" s="100">
        <v>42795</v>
      </c>
      <c r="N142" s="100">
        <v>43374</v>
      </c>
      <c r="O142" s="111"/>
      <c r="P142" s="111" t="s">
        <v>114</v>
      </c>
      <c r="Q142" s="262" t="s">
        <v>14</v>
      </c>
    </row>
    <row r="143" spans="1:17" s="127" customFormat="1" ht="26" x14ac:dyDescent="0.3">
      <c r="A143" s="133" t="s">
        <v>404</v>
      </c>
      <c r="B143" s="261" t="s">
        <v>88</v>
      </c>
      <c r="C143" s="111" t="s">
        <v>173</v>
      </c>
      <c r="D143" s="110"/>
      <c r="E143" s="111" t="s">
        <v>47</v>
      </c>
      <c r="F143" s="111" t="s">
        <v>114</v>
      </c>
      <c r="G143" s="88"/>
      <c r="H143" s="76">
        <v>190000</v>
      </c>
      <c r="I143" s="99">
        <v>1</v>
      </c>
      <c r="J143" s="99">
        <v>0</v>
      </c>
      <c r="K143" s="111" t="s">
        <v>7</v>
      </c>
      <c r="L143" s="111" t="s">
        <v>9</v>
      </c>
      <c r="M143" s="100">
        <v>42887</v>
      </c>
      <c r="N143" s="100">
        <v>43374</v>
      </c>
      <c r="O143" s="111"/>
      <c r="P143" s="111" t="s">
        <v>114</v>
      </c>
      <c r="Q143" s="262" t="s">
        <v>14</v>
      </c>
    </row>
    <row r="144" spans="1:17" s="127" customFormat="1" ht="26" x14ac:dyDescent="0.3">
      <c r="A144" s="133" t="s">
        <v>444</v>
      </c>
      <c r="B144" s="37" t="s">
        <v>88</v>
      </c>
      <c r="C144" s="101" t="s">
        <v>445</v>
      </c>
      <c r="D144" s="238"/>
      <c r="E144" s="101" t="s">
        <v>72</v>
      </c>
      <c r="F144" s="101"/>
      <c r="G144" s="140"/>
      <c r="H144" s="76">
        <v>324950.45</v>
      </c>
      <c r="I144" s="102">
        <v>1</v>
      </c>
      <c r="J144" s="102">
        <v>0</v>
      </c>
      <c r="K144" s="101" t="s">
        <v>5</v>
      </c>
      <c r="L144" s="101" t="s">
        <v>9</v>
      </c>
      <c r="M144" s="100">
        <v>43160</v>
      </c>
      <c r="N144" s="106">
        <v>43282</v>
      </c>
      <c r="O144" s="101"/>
      <c r="P144" s="101"/>
      <c r="Q144" s="43" t="s">
        <v>14</v>
      </c>
    </row>
    <row r="145" spans="1:17" s="127" customFormat="1" ht="26" x14ac:dyDescent="0.3">
      <c r="A145" s="128" t="s">
        <v>461</v>
      </c>
      <c r="B145" s="1" t="s">
        <v>84</v>
      </c>
      <c r="C145" s="64" t="s">
        <v>451</v>
      </c>
      <c r="D145" s="66" t="s">
        <v>462</v>
      </c>
      <c r="E145" s="64" t="s">
        <v>72</v>
      </c>
      <c r="F145" s="64"/>
      <c r="G145" s="202"/>
      <c r="H145" s="236">
        <v>470000</v>
      </c>
      <c r="I145" s="68">
        <v>1</v>
      </c>
      <c r="J145" s="68">
        <v>0</v>
      </c>
      <c r="K145" s="64" t="s">
        <v>6</v>
      </c>
      <c r="L145" s="64" t="s">
        <v>9</v>
      </c>
      <c r="M145" s="270">
        <v>43221</v>
      </c>
      <c r="N145" s="314">
        <v>43405</v>
      </c>
      <c r="O145" s="146"/>
      <c r="P145" s="146"/>
      <c r="Q145" s="313" t="s">
        <v>55</v>
      </c>
    </row>
    <row r="146" spans="1:17" s="127" customFormat="1" ht="39" x14ac:dyDescent="0.3">
      <c r="A146" s="128" t="s">
        <v>482</v>
      </c>
      <c r="B146" s="119" t="s">
        <v>84</v>
      </c>
      <c r="C146" s="58" t="s">
        <v>483</v>
      </c>
      <c r="D146" s="62" t="s">
        <v>484</v>
      </c>
      <c r="E146" s="58" t="s">
        <v>72</v>
      </c>
      <c r="F146" s="58"/>
      <c r="G146" s="237"/>
      <c r="H146" s="201">
        <f>2859825.5/3.73</f>
        <v>766709.24932975869</v>
      </c>
      <c r="I146" s="60">
        <v>1</v>
      </c>
      <c r="J146" s="60">
        <v>0</v>
      </c>
      <c r="K146" s="58" t="s">
        <v>5</v>
      </c>
      <c r="L146" s="58" t="s">
        <v>9</v>
      </c>
      <c r="M146" s="281">
        <v>43252</v>
      </c>
      <c r="N146" s="281">
        <v>43344</v>
      </c>
      <c r="O146" s="193"/>
      <c r="P146" s="193"/>
      <c r="Q146" s="191" t="s">
        <v>14</v>
      </c>
    </row>
    <row r="147" spans="1:17" s="127" customFormat="1" ht="26" x14ac:dyDescent="0.3">
      <c r="A147" s="128" t="s">
        <v>500</v>
      </c>
      <c r="B147" s="226" t="s">
        <v>84</v>
      </c>
      <c r="C147" s="199" t="s">
        <v>501</v>
      </c>
      <c r="D147" s="289"/>
      <c r="E147" s="199" t="s">
        <v>72</v>
      </c>
      <c r="F147" s="199"/>
      <c r="G147" s="315"/>
      <c r="H147" s="316">
        <v>1253363.71</v>
      </c>
      <c r="I147" s="228">
        <v>1</v>
      </c>
      <c r="J147" s="228">
        <v>0</v>
      </c>
      <c r="K147" s="199" t="s">
        <v>5</v>
      </c>
      <c r="L147" s="199" t="s">
        <v>9</v>
      </c>
      <c r="M147" s="271">
        <v>43647</v>
      </c>
      <c r="N147" s="271">
        <v>43770</v>
      </c>
      <c r="O147" s="317"/>
      <c r="P147" s="317"/>
      <c r="Q147" s="291" t="s">
        <v>1</v>
      </c>
    </row>
    <row r="148" spans="1:17" s="127" customFormat="1" ht="26" x14ac:dyDescent="0.3">
      <c r="A148" s="128" t="s">
        <v>504</v>
      </c>
      <c r="B148" s="119" t="s">
        <v>84</v>
      </c>
      <c r="C148" s="58" t="s">
        <v>505</v>
      </c>
      <c r="D148" s="62"/>
      <c r="E148" s="58" t="s">
        <v>72</v>
      </c>
      <c r="F148" s="58"/>
      <c r="G148" s="237"/>
      <c r="H148" s="201">
        <v>200000</v>
      </c>
      <c r="I148" s="60">
        <v>1</v>
      </c>
      <c r="J148" s="60">
        <v>0</v>
      </c>
      <c r="K148" s="58" t="s">
        <v>6</v>
      </c>
      <c r="L148" s="58" t="s">
        <v>9</v>
      </c>
      <c r="M148" s="281">
        <v>43556</v>
      </c>
      <c r="N148" s="281">
        <v>43709</v>
      </c>
      <c r="O148" s="193"/>
      <c r="P148" s="193"/>
      <c r="Q148" s="191" t="s">
        <v>14</v>
      </c>
    </row>
    <row r="149" spans="1:17" s="127" customFormat="1" ht="13.5" thickBot="1" x14ac:dyDescent="0.35">
      <c r="A149" s="128" t="s">
        <v>506</v>
      </c>
      <c r="B149" s="318" t="s">
        <v>84</v>
      </c>
      <c r="C149" s="319" t="s">
        <v>507</v>
      </c>
      <c r="D149" s="320" t="s">
        <v>508</v>
      </c>
      <c r="E149" s="321" t="s">
        <v>46</v>
      </c>
      <c r="F149" s="319"/>
      <c r="G149" s="322"/>
      <c r="H149" s="327">
        <v>1200000</v>
      </c>
      <c r="I149" s="323">
        <v>1</v>
      </c>
      <c r="J149" s="323">
        <v>0</v>
      </c>
      <c r="K149" s="319" t="s">
        <v>7</v>
      </c>
      <c r="L149" s="319" t="s">
        <v>9</v>
      </c>
      <c r="M149" s="324">
        <v>43556</v>
      </c>
      <c r="N149" s="324">
        <v>43709</v>
      </c>
      <c r="O149" s="325"/>
      <c r="P149" s="325"/>
      <c r="Q149" s="326" t="s">
        <v>1</v>
      </c>
    </row>
    <row r="150" spans="1:17" s="127" customFormat="1" x14ac:dyDescent="0.3">
      <c r="A150" s="133"/>
      <c r="B150" s="167"/>
      <c r="C150" s="168"/>
      <c r="D150" s="167"/>
      <c r="E150" s="168"/>
      <c r="F150" s="168"/>
      <c r="G150" s="169"/>
      <c r="H150" s="170"/>
      <c r="I150" s="171"/>
      <c r="J150" s="171"/>
      <c r="K150" s="168"/>
      <c r="L150" s="168"/>
      <c r="M150" s="172"/>
      <c r="N150" s="172"/>
      <c r="O150" s="168"/>
      <c r="P150" s="168"/>
      <c r="Q150" s="168"/>
    </row>
    <row r="151" spans="1:17" s="127" customFormat="1" x14ac:dyDescent="0.3">
      <c r="A151" s="124"/>
      <c r="G151" s="125"/>
      <c r="H151" s="154"/>
      <c r="I151" s="131"/>
      <c r="J151" s="131"/>
    </row>
    <row r="152" spans="1:17" s="127" customFormat="1" ht="13.5" thickBot="1" x14ac:dyDescent="0.35">
      <c r="A152" s="124">
        <v>5</v>
      </c>
      <c r="B152" s="347" t="s">
        <v>36</v>
      </c>
      <c r="C152" s="347"/>
      <c r="D152" s="347"/>
      <c r="E152" s="347"/>
      <c r="F152" s="347"/>
      <c r="G152" s="347"/>
      <c r="H152" s="347"/>
      <c r="I152" s="347"/>
      <c r="J152" s="347"/>
      <c r="K152" s="347"/>
      <c r="L152" s="347"/>
      <c r="M152" s="347"/>
      <c r="N152" s="347"/>
      <c r="O152" s="347"/>
      <c r="P152" s="347"/>
      <c r="Q152" s="347"/>
    </row>
    <row r="153" spans="1:17" s="127" customFormat="1" ht="12.75" customHeight="1" x14ac:dyDescent="0.3">
      <c r="A153" s="124"/>
      <c r="B153" s="348" t="s">
        <v>30</v>
      </c>
      <c r="C153" s="342" t="s">
        <v>63</v>
      </c>
      <c r="D153" s="342" t="s">
        <v>11</v>
      </c>
      <c r="E153" s="342" t="s">
        <v>117</v>
      </c>
      <c r="F153" s="342" t="s">
        <v>21</v>
      </c>
      <c r="G153" s="342" t="s">
        <v>22</v>
      </c>
      <c r="H153" s="342"/>
      <c r="I153" s="342"/>
      <c r="J153" s="350" t="s">
        <v>35</v>
      </c>
      <c r="K153" s="342" t="s">
        <v>26</v>
      </c>
      <c r="L153" s="342" t="s">
        <v>27</v>
      </c>
      <c r="M153" s="342" t="s">
        <v>64</v>
      </c>
      <c r="N153" s="342"/>
      <c r="O153" s="342" t="s">
        <v>56</v>
      </c>
      <c r="P153" s="342" t="s">
        <v>49</v>
      </c>
      <c r="Q153" s="344" t="s">
        <v>50</v>
      </c>
    </row>
    <row r="154" spans="1:17" s="127" customFormat="1" ht="39.5" thickBot="1" x14ac:dyDescent="0.35">
      <c r="A154" s="124"/>
      <c r="B154" s="356"/>
      <c r="C154" s="355"/>
      <c r="D154" s="355"/>
      <c r="E154" s="355"/>
      <c r="F154" s="355"/>
      <c r="G154" s="204" t="s">
        <v>24</v>
      </c>
      <c r="H154" s="56" t="s">
        <v>23</v>
      </c>
      <c r="I154" s="206" t="s">
        <v>25</v>
      </c>
      <c r="J154" s="354"/>
      <c r="K154" s="355"/>
      <c r="L154" s="355"/>
      <c r="M154" s="204" t="s">
        <v>34</v>
      </c>
      <c r="N154" s="204" t="s">
        <v>62</v>
      </c>
      <c r="O154" s="355"/>
      <c r="P154" s="355"/>
      <c r="Q154" s="353"/>
    </row>
    <row r="155" spans="1:17" s="127" customFormat="1" ht="26" x14ac:dyDescent="0.3">
      <c r="A155" s="124" t="s">
        <v>349</v>
      </c>
      <c r="B155" s="11" t="s">
        <v>84</v>
      </c>
      <c r="C155" s="12" t="s">
        <v>183</v>
      </c>
      <c r="D155" s="12"/>
      <c r="E155" s="12" t="s">
        <v>80</v>
      </c>
      <c r="F155" s="12" t="s">
        <v>198</v>
      </c>
      <c r="G155" s="163">
        <f>30214.37+100313.25/3.743+230000/$H$5</f>
        <v>121986.34850299844</v>
      </c>
      <c r="H155" s="29">
        <v>1</v>
      </c>
      <c r="I155" s="29">
        <v>0</v>
      </c>
      <c r="J155" s="12">
        <v>2</v>
      </c>
      <c r="K155" s="12" t="s">
        <v>4</v>
      </c>
      <c r="L155" s="12" t="s">
        <v>9</v>
      </c>
      <c r="M155" s="151" t="s">
        <v>208</v>
      </c>
      <c r="N155" s="151" t="s">
        <v>209</v>
      </c>
      <c r="O155" s="12"/>
      <c r="P155" s="12" t="s">
        <v>358</v>
      </c>
      <c r="Q155" s="183" t="s">
        <v>446</v>
      </c>
    </row>
    <row r="156" spans="1:17" s="127" customFormat="1" x14ac:dyDescent="0.3">
      <c r="A156" s="124" t="s">
        <v>350</v>
      </c>
      <c r="B156" s="121" t="s">
        <v>84</v>
      </c>
      <c r="C156" s="54" t="s">
        <v>184</v>
      </c>
      <c r="D156" s="64"/>
      <c r="E156" s="64" t="s">
        <v>80</v>
      </c>
      <c r="F156" s="64" t="s">
        <v>199</v>
      </c>
      <c r="G156" s="142">
        <f>18269.39+150000/$H$5</f>
        <v>60642.2713559322</v>
      </c>
      <c r="H156" s="68">
        <v>1</v>
      </c>
      <c r="I156" s="68">
        <v>0</v>
      </c>
      <c r="J156" s="64">
        <v>1</v>
      </c>
      <c r="K156" s="64" t="s">
        <v>6</v>
      </c>
      <c r="L156" s="64" t="s">
        <v>9</v>
      </c>
      <c r="M156" s="113">
        <v>41852</v>
      </c>
      <c r="N156" s="113">
        <v>41852</v>
      </c>
      <c r="O156" s="64"/>
      <c r="P156" s="64" t="s">
        <v>192</v>
      </c>
      <c r="Q156" s="122" t="s">
        <v>3</v>
      </c>
    </row>
    <row r="157" spans="1:17" s="127" customFormat="1" ht="26" x14ac:dyDescent="0.3">
      <c r="A157" s="124" t="s">
        <v>351</v>
      </c>
      <c r="B157" s="121" t="s">
        <v>84</v>
      </c>
      <c r="C157" s="54" t="s">
        <v>185</v>
      </c>
      <c r="D157" s="64"/>
      <c r="E157" s="64" t="s">
        <v>80</v>
      </c>
      <c r="F157" s="64" t="s">
        <v>200</v>
      </c>
      <c r="G157" s="142">
        <f>19805.83+13300.52/3.743</f>
        <v>23359.26841838098</v>
      </c>
      <c r="H157" s="68">
        <v>1</v>
      </c>
      <c r="I157" s="68">
        <v>0</v>
      </c>
      <c r="J157" s="64">
        <v>1</v>
      </c>
      <c r="K157" s="64" t="s">
        <v>6</v>
      </c>
      <c r="L157" s="64" t="s">
        <v>9</v>
      </c>
      <c r="M157" s="113">
        <v>42069</v>
      </c>
      <c r="N157" s="113">
        <v>42151</v>
      </c>
      <c r="O157" s="64"/>
      <c r="P157" s="64" t="s">
        <v>193</v>
      </c>
      <c r="Q157" s="122" t="s">
        <v>3</v>
      </c>
    </row>
    <row r="158" spans="1:17" s="127" customFormat="1" x14ac:dyDescent="0.3">
      <c r="A158" s="124" t="s">
        <v>352</v>
      </c>
      <c r="B158" s="121" t="s">
        <v>84</v>
      </c>
      <c r="C158" s="54" t="s">
        <v>186</v>
      </c>
      <c r="D158" s="64"/>
      <c r="E158" s="64" t="s">
        <v>80</v>
      </c>
      <c r="F158" s="64" t="s">
        <v>201</v>
      </c>
      <c r="G158" s="142">
        <f>((165000-42000)/$H$5)+42000/3.743</f>
        <v>45966.708477293214</v>
      </c>
      <c r="H158" s="68">
        <v>1</v>
      </c>
      <c r="I158" s="68">
        <v>0</v>
      </c>
      <c r="J158" s="64">
        <v>1</v>
      </c>
      <c r="K158" s="64" t="s">
        <v>6</v>
      </c>
      <c r="L158" s="64" t="s">
        <v>9</v>
      </c>
      <c r="M158" s="113">
        <v>42064</v>
      </c>
      <c r="N158" s="113">
        <v>42156</v>
      </c>
      <c r="O158" s="64"/>
      <c r="P158" s="64" t="s">
        <v>194</v>
      </c>
      <c r="Q158" s="122" t="s">
        <v>3</v>
      </c>
    </row>
    <row r="159" spans="1:17" s="127" customFormat="1" ht="39" x14ac:dyDescent="0.3">
      <c r="A159" s="124" t="s">
        <v>353</v>
      </c>
      <c r="B159" s="121" t="s">
        <v>84</v>
      </c>
      <c r="C159" s="54" t="s">
        <v>187</v>
      </c>
      <c r="D159" s="64"/>
      <c r="E159" s="64" t="s">
        <v>80</v>
      </c>
      <c r="F159" s="64" t="s">
        <v>202</v>
      </c>
      <c r="G159" s="142">
        <f>(3*(37243.9/3.743+50000/$H$5))</f>
        <v>72223.722926864604</v>
      </c>
      <c r="H159" s="68">
        <v>1</v>
      </c>
      <c r="I159" s="68">
        <v>0</v>
      </c>
      <c r="J159" s="64">
        <v>3</v>
      </c>
      <c r="K159" s="64" t="s">
        <v>6</v>
      </c>
      <c r="L159" s="64" t="s">
        <v>9</v>
      </c>
      <c r="M159" s="113">
        <v>42401</v>
      </c>
      <c r="N159" s="113">
        <v>42401</v>
      </c>
      <c r="O159" s="64"/>
      <c r="P159" s="64" t="s">
        <v>195</v>
      </c>
      <c r="Q159" s="122" t="s">
        <v>447</v>
      </c>
    </row>
    <row r="160" spans="1:17" s="127" customFormat="1" ht="26" x14ac:dyDescent="0.3">
      <c r="A160" s="124" t="s">
        <v>354</v>
      </c>
      <c r="B160" s="121" t="s">
        <v>84</v>
      </c>
      <c r="C160" s="54" t="s">
        <v>188</v>
      </c>
      <c r="D160" s="64"/>
      <c r="E160" s="64" t="s">
        <v>80</v>
      </c>
      <c r="F160" s="64" t="s">
        <v>203</v>
      </c>
      <c r="G160" s="142">
        <f>(180000)/$H$5+37203.24+3826.66+9566.66</f>
        <v>101444.01762711865</v>
      </c>
      <c r="H160" s="68">
        <v>1</v>
      </c>
      <c r="I160" s="68">
        <v>0</v>
      </c>
      <c r="J160" s="64">
        <v>2</v>
      </c>
      <c r="K160" s="64" t="s">
        <v>7</v>
      </c>
      <c r="L160" s="64" t="s">
        <v>9</v>
      </c>
      <c r="M160" s="208" t="s">
        <v>216</v>
      </c>
      <c r="N160" s="208" t="s">
        <v>216</v>
      </c>
      <c r="O160" s="64"/>
      <c r="P160" s="64" t="s">
        <v>196</v>
      </c>
      <c r="Q160" s="122" t="s">
        <v>407</v>
      </c>
    </row>
    <row r="161" spans="1:17" s="127" customFormat="1" ht="26" x14ac:dyDescent="0.3">
      <c r="A161" s="124" t="s">
        <v>355</v>
      </c>
      <c r="B161" s="121" t="s">
        <v>84</v>
      </c>
      <c r="C161" s="54" t="s">
        <v>189</v>
      </c>
      <c r="D161" s="64"/>
      <c r="E161" s="64" t="s">
        <v>80</v>
      </c>
      <c r="F161" s="64" t="s">
        <v>204</v>
      </c>
      <c r="G161" s="142">
        <f>(16033.7+30639.07/3.743)+87349.97/$H$5</f>
        <v>48894.531405818168</v>
      </c>
      <c r="H161" s="68">
        <v>1</v>
      </c>
      <c r="I161" s="68">
        <v>0</v>
      </c>
      <c r="J161" s="64">
        <v>2</v>
      </c>
      <c r="K161" s="64" t="s">
        <v>7</v>
      </c>
      <c r="L161" s="64" t="s">
        <v>9</v>
      </c>
      <c r="M161" s="208" t="s">
        <v>359</v>
      </c>
      <c r="N161" s="208" t="s">
        <v>210</v>
      </c>
      <c r="O161" s="64"/>
      <c r="P161" s="64" t="s">
        <v>360</v>
      </c>
      <c r="Q161" s="122" t="s">
        <v>446</v>
      </c>
    </row>
    <row r="162" spans="1:17" s="127" customFormat="1" ht="49.5" customHeight="1" x14ac:dyDescent="0.3">
      <c r="A162" s="124" t="s">
        <v>356</v>
      </c>
      <c r="B162" s="121" t="s">
        <v>84</v>
      </c>
      <c r="C162" s="54" t="s">
        <v>190</v>
      </c>
      <c r="D162" s="64"/>
      <c r="E162" s="64" t="s">
        <v>80</v>
      </c>
      <c r="F162" s="146" t="s">
        <v>396</v>
      </c>
      <c r="G162" s="142">
        <f>2*(16050.89+30512.9/3.743)+(37243.9/3.743+50000/$H$5)+154353.6/$H$5+91616.57/$H$5</f>
        <v>141963.43394310435</v>
      </c>
      <c r="H162" s="68">
        <v>1</v>
      </c>
      <c r="I162" s="68">
        <v>0</v>
      </c>
      <c r="J162" s="64">
        <v>5</v>
      </c>
      <c r="K162" s="64" t="s">
        <v>7</v>
      </c>
      <c r="L162" s="64" t="s">
        <v>9</v>
      </c>
      <c r="M162" s="208" t="s">
        <v>211</v>
      </c>
      <c r="N162" s="208" t="s">
        <v>212</v>
      </c>
      <c r="O162" s="64"/>
      <c r="P162" s="64" t="s">
        <v>361</v>
      </c>
      <c r="Q162" s="122" t="s">
        <v>448</v>
      </c>
    </row>
    <row r="163" spans="1:17" s="127" customFormat="1" ht="26" x14ac:dyDescent="0.3">
      <c r="A163" s="124" t="s">
        <v>357</v>
      </c>
      <c r="B163" s="121" t="s">
        <v>84</v>
      </c>
      <c r="C163" s="64" t="s">
        <v>191</v>
      </c>
      <c r="D163" s="64"/>
      <c r="E163" s="64" t="s">
        <v>80</v>
      </c>
      <c r="F163" s="64" t="s">
        <v>202</v>
      </c>
      <c r="G163" s="142">
        <f>(37243.9/3.743+50000/$H$5)</f>
        <v>24074.574308954871</v>
      </c>
      <c r="H163" s="68">
        <v>1</v>
      </c>
      <c r="I163" s="68">
        <v>0</v>
      </c>
      <c r="J163" s="64">
        <v>1</v>
      </c>
      <c r="K163" s="64" t="s">
        <v>4</v>
      </c>
      <c r="L163" s="64" t="s">
        <v>9</v>
      </c>
      <c r="M163" s="113">
        <v>42401</v>
      </c>
      <c r="N163" s="113">
        <v>42401</v>
      </c>
      <c r="O163" s="64"/>
      <c r="P163" s="64" t="s">
        <v>197</v>
      </c>
      <c r="Q163" s="122" t="s">
        <v>3</v>
      </c>
    </row>
    <row r="164" spans="1:17" s="127" customFormat="1" ht="52" x14ac:dyDescent="0.3">
      <c r="A164" s="132" t="s">
        <v>366</v>
      </c>
      <c r="B164" s="119" t="s">
        <v>84</v>
      </c>
      <c r="C164" s="58" t="s">
        <v>363</v>
      </c>
      <c r="D164" s="58"/>
      <c r="E164" s="58" t="s">
        <v>80</v>
      </c>
      <c r="F164" s="193" t="s">
        <v>372</v>
      </c>
      <c r="G164" s="145">
        <f>258552/E5</f>
        <v>78826.829268292684</v>
      </c>
      <c r="H164" s="60">
        <v>1</v>
      </c>
      <c r="I164" s="60">
        <v>0</v>
      </c>
      <c r="J164" s="58">
        <v>1</v>
      </c>
      <c r="K164" s="58" t="s">
        <v>4</v>
      </c>
      <c r="L164" s="58" t="s">
        <v>9</v>
      </c>
      <c r="M164" s="217">
        <v>42717</v>
      </c>
      <c r="N164" s="217">
        <v>43132</v>
      </c>
      <c r="O164" s="58"/>
      <c r="P164" s="58"/>
      <c r="Q164" s="120" t="s">
        <v>437</v>
      </c>
    </row>
    <row r="165" spans="1:17" s="127" customFormat="1" ht="26" x14ac:dyDescent="0.3">
      <c r="A165" s="124" t="s">
        <v>367</v>
      </c>
      <c r="B165" s="121" t="s">
        <v>84</v>
      </c>
      <c r="C165" s="64" t="s">
        <v>362</v>
      </c>
      <c r="D165" s="64" t="s">
        <v>473</v>
      </c>
      <c r="E165" s="64" t="s">
        <v>80</v>
      </c>
      <c r="F165" s="146" t="s">
        <v>438</v>
      </c>
      <c r="G165" s="142">
        <f>(3*97812)/E5</f>
        <v>89462.195121951227</v>
      </c>
      <c r="H165" s="68">
        <v>1</v>
      </c>
      <c r="I165" s="68">
        <v>0</v>
      </c>
      <c r="J165" s="64">
        <v>4</v>
      </c>
      <c r="K165" s="64" t="s">
        <v>4</v>
      </c>
      <c r="L165" s="64" t="s">
        <v>9</v>
      </c>
      <c r="M165" s="113">
        <v>42767</v>
      </c>
      <c r="N165" s="113">
        <v>43221</v>
      </c>
      <c r="O165" s="64"/>
      <c r="P165" s="64"/>
      <c r="Q165" s="122" t="s">
        <v>446</v>
      </c>
    </row>
    <row r="166" spans="1:17" s="127" customFormat="1" ht="26" x14ac:dyDescent="0.3">
      <c r="A166" s="124" t="s">
        <v>368</v>
      </c>
      <c r="B166" s="119" t="s">
        <v>84</v>
      </c>
      <c r="C166" s="218" t="s">
        <v>406</v>
      </c>
      <c r="D166" s="272"/>
      <c r="E166" s="58" t="s">
        <v>80</v>
      </c>
      <c r="F166" s="58"/>
      <c r="G166" s="145">
        <f>(2*97812)/E5</f>
        <v>59641.463414634149</v>
      </c>
      <c r="H166" s="60">
        <v>1</v>
      </c>
      <c r="I166" s="60">
        <v>0</v>
      </c>
      <c r="J166" s="58">
        <v>3</v>
      </c>
      <c r="K166" s="58" t="s">
        <v>6</v>
      </c>
      <c r="L166" s="58" t="s">
        <v>9</v>
      </c>
      <c r="M166" s="217">
        <v>42767</v>
      </c>
      <c r="N166" s="217">
        <v>43191</v>
      </c>
      <c r="O166" s="58"/>
      <c r="P166" s="58"/>
      <c r="Q166" s="120" t="s">
        <v>437</v>
      </c>
    </row>
    <row r="167" spans="1:17" s="127" customFormat="1" ht="52" x14ac:dyDescent="0.3">
      <c r="A167" s="124" t="s">
        <v>369</v>
      </c>
      <c r="B167" s="226" t="s">
        <v>84</v>
      </c>
      <c r="C167" s="273" t="s">
        <v>405</v>
      </c>
      <c r="D167" s="199" t="s">
        <v>463</v>
      </c>
      <c r="E167" s="199" t="s">
        <v>80</v>
      </c>
      <c r="F167" s="199"/>
      <c r="G167" s="227">
        <f>4*97812/E5</f>
        <v>119282.9268292683</v>
      </c>
      <c r="H167" s="228">
        <v>1</v>
      </c>
      <c r="I167" s="228">
        <v>0</v>
      </c>
      <c r="J167" s="199"/>
      <c r="K167" s="199" t="s">
        <v>5</v>
      </c>
      <c r="L167" s="199" t="s">
        <v>9</v>
      </c>
      <c r="M167" s="229">
        <v>43252</v>
      </c>
      <c r="N167" s="229">
        <v>43221</v>
      </c>
      <c r="O167" s="199"/>
      <c r="P167" s="199"/>
      <c r="Q167" s="230" t="s">
        <v>512</v>
      </c>
    </row>
    <row r="168" spans="1:17" s="127" customFormat="1" ht="39" x14ac:dyDescent="0.3">
      <c r="A168" s="124" t="s">
        <v>371</v>
      </c>
      <c r="B168" s="274" t="s">
        <v>84</v>
      </c>
      <c r="C168" s="275" t="s">
        <v>397</v>
      </c>
      <c r="D168" s="276" t="s">
        <v>464</v>
      </c>
      <c r="E168" s="276" t="s">
        <v>80</v>
      </c>
      <c r="F168" s="277"/>
      <c r="G168" s="278">
        <f>4*109488/E5</f>
        <v>133521.95121951221</v>
      </c>
      <c r="H168" s="279">
        <v>1</v>
      </c>
      <c r="I168" s="279">
        <v>0</v>
      </c>
      <c r="J168" s="276">
        <v>5</v>
      </c>
      <c r="K168" s="276" t="s">
        <v>4</v>
      </c>
      <c r="L168" s="276" t="s">
        <v>9</v>
      </c>
      <c r="M168" s="280">
        <v>42767</v>
      </c>
      <c r="N168" s="280">
        <v>42948</v>
      </c>
      <c r="O168" s="276"/>
      <c r="P168" s="276"/>
      <c r="Q168" s="328" t="s">
        <v>447</v>
      </c>
    </row>
    <row r="169" spans="1:17" s="194" customFormat="1" ht="26" x14ac:dyDescent="0.3">
      <c r="A169" s="132" t="s">
        <v>388</v>
      </c>
      <c r="B169" s="119" t="s">
        <v>84</v>
      </c>
      <c r="C169" s="218" t="s">
        <v>400</v>
      </c>
      <c r="D169" s="58"/>
      <c r="E169" s="58" t="s">
        <v>80</v>
      </c>
      <c r="F169" s="58"/>
      <c r="G169" s="145">
        <v>100000</v>
      </c>
      <c r="H169" s="60">
        <v>1</v>
      </c>
      <c r="I169" s="60">
        <v>0</v>
      </c>
      <c r="J169" s="58">
        <v>1</v>
      </c>
      <c r="K169" s="58" t="s">
        <v>4</v>
      </c>
      <c r="L169" s="58" t="s">
        <v>9</v>
      </c>
      <c r="M169" s="217">
        <v>43101</v>
      </c>
      <c r="N169" s="217">
        <v>43132</v>
      </c>
      <c r="O169" s="58"/>
      <c r="P169" s="58"/>
      <c r="Q169" s="120" t="s">
        <v>437</v>
      </c>
    </row>
    <row r="170" spans="1:17" s="127" customFormat="1" ht="26" x14ac:dyDescent="0.3">
      <c r="A170" s="129" t="s">
        <v>415</v>
      </c>
      <c r="B170" s="121" t="s">
        <v>84</v>
      </c>
      <c r="C170" s="64" t="s">
        <v>439</v>
      </c>
      <c r="D170" s="64" t="s">
        <v>440</v>
      </c>
      <c r="E170" s="64" t="s">
        <v>80</v>
      </c>
      <c r="F170" s="64"/>
      <c r="G170" s="142">
        <f>(2*97812)/E5</f>
        <v>59641.463414634149</v>
      </c>
      <c r="H170" s="68">
        <v>1</v>
      </c>
      <c r="I170" s="68">
        <v>0</v>
      </c>
      <c r="J170" s="64">
        <v>1</v>
      </c>
      <c r="K170" s="64" t="s">
        <v>4</v>
      </c>
      <c r="L170" s="64" t="s">
        <v>9</v>
      </c>
      <c r="M170" s="113">
        <v>43101</v>
      </c>
      <c r="N170" s="113">
        <v>43221</v>
      </c>
      <c r="O170" s="64"/>
      <c r="P170" s="64"/>
      <c r="Q170" s="184" t="s">
        <v>446</v>
      </c>
    </row>
    <row r="171" spans="1:17" s="127" customFormat="1" ht="26" x14ac:dyDescent="0.3">
      <c r="A171" s="124" t="s">
        <v>416</v>
      </c>
      <c r="B171" s="121" t="s">
        <v>84</v>
      </c>
      <c r="C171" s="64" t="s">
        <v>418</v>
      </c>
      <c r="D171" s="64"/>
      <c r="E171" s="64" t="s">
        <v>80</v>
      </c>
      <c r="F171" s="64"/>
      <c r="G171" s="142">
        <f>169680.38/E5</f>
        <v>51731.82317073171</v>
      </c>
      <c r="H171" s="68">
        <v>1</v>
      </c>
      <c r="I171" s="68">
        <v>0</v>
      </c>
      <c r="J171" s="64">
        <v>1</v>
      </c>
      <c r="K171" s="64" t="s">
        <v>4</v>
      </c>
      <c r="L171" s="64" t="s">
        <v>9</v>
      </c>
      <c r="M171" s="113">
        <v>42887</v>
      </c>
      <c r="N171" s="113">
        <v>43040</v>
      </c>
      <c r="O171" s="64"/>
      <c r="P171" s="64"/>
      <c r="Q171" s="122" t="s">
        <v>3</v>
      </c>
    </row>
    <row r="172" spans="1:17" s="127" customFormat="1" ht="26" x14ac:dyDescent="0.3">
      <c r="A172" s="124" t="s">
        <v>465</v>
      </c>
      <c r="B172" s="121" t="s">
        <v>84</v>
      </c>
      <c r="C172" s="64" t="s">
        <v>419</v>
      </c>
      <c r="D172" s="64"/>
      <c r="E172" s="64" t="s">
        <v>80</v>
      </c>
      <c r="F172" s="64"/>
      <c r="G172" s="142">
        <f>97812/E5</f>
        <v>29820.731707317074</v>
      </c>
      <c r="H172" s="68">
        <v>1</v>
      </c>
      <c r="I172" s="68">
        <v>0</v>
      </c>
      <c r="J172" s="64">
        <v>1</v>
      </c>
      <c r="K172" s="64" t="s">
        <v>7</v>
      </c>
      <c r="L172" s="64" t="s">
        <v>9</v>
      </c>
      <c r="M172" s="113">
        <v>42887</v>
      </c>
      <c r="N172" s="113">
        <v>42948</v>
      </c>
      <c r="O172" s="64"/>
      <c r="P172" s="64"/>
      <c r="Q172" s="122" t="s">
        <v>422</v>
      </c>
    </row>
    <row r="173" spans="1:17" s="127" customFormat="1" ht="26" x14ac:dyDescent="0.3">
      <c r="A173" s="124" t="s">
        <v>466</v>
      </c>
      <c r="B173" s="119" t="s">
        <v>84</v>
      </c>
      <c r="C173" s="58" t="s">
        <v>467</v>
      </c>
      <c r="D173" s="58" t="s">
        <v>468</v>
      </c>
      <c r="E173" s="58" t="s">
        <v>72</v>
      </c>
      <c r="F173" s="58"/>
      <c r="G173" s="145">
        <f>265160.64/E5</f>
        <v>80841.658536585368</v>
      </c>
      <c r="H173" s="60">
        <v>1</v>
      </c>
      <c r="I173" s="60">
        <v>0</v>
      </c>
      <c r="J173" s="58">
        <v>3</v>
      </c>
      <c r="K173" s="58" t="s">
        <v>5</v>
      </c>
      <c r="L173" s="58" t="s">
        <v>9</v>
      </c>
      <c r="M173" s="217">
        <v>43252</v>
      </c>
      <c r="N173" s="217">
        <v>43313</v>
      </c>
      <c r="O173" s="58"/>
      <c r="P173" s="58"/>
      <c r="Q173" s="120" t="s">
        <v>437</v>
      </c>
    </row>
    <row r="174" spans="1:17" s="127" customFormat="1" ht="39" x14ac:dyDescent="0.3">
      <c r="A174" s="124" t="s">
        <v>486</v>
      </c>
      <c r="B174" s="119" t="s">
        <v>84</v>
      </c>
      <c r="C174" s="58" t="s">
        <v>469</v>
      </c>
      <c r="D174" s="58" t="s">
        <v>470</v>
      </c>
      <c r="E174" s="58" t="s">
        <v>72</v>
      </c>
      <c r="F174" s="58"/>
      <c r="G174" s="145">
        <v>50000</v>
      </c>
      <c r="H174" s="60">
        <v>1</v>
      </c>
      <c r="I174" s="60">
        <v>0</v>
      </c>
      <c r="J174" s="58">
        <v>1</v>
      </c>
      <c r="K174" s="58" t="s">
        <v>4</v>
      </c>
      <c r="L174" s="58" t="s">
        <v>9</v>
      </c>
      <c r="M174" s="217">
        <v>43252</v>
      </c>
      <c r="N174" s="217">
        <v>43313</v>
      </c>
      <c r="O174" s="58"/>
      <c r="P174" s="58"/>
      <c r="Q174" s="120" t="s">
        <v>437</v>
      </c>
    </row>
    <row r="175" spans="1:17" s="127" customFormat="1" ht="26.5" thickBot="1" x14ac:dyDescent="0.35">
      <c r="A175" s="124" t="s">
        <v>498</v>
      </c>
      <c r="B175" s="213" t="s">
        <v>84</v>
      </c>
      <c r="C175" s="214" t="s">
        <v>499</v>
      </c>
      <c r="D175" s="286" t="s">
        <v>513</v>
      </c>
      <c r="E175" s="286" t="s">
        <v>80</v>
      </c>
      <c r="F175" s="214"/>
      <c r="G175" s="233">
        <f>180576/3.83</f>
        <v>47147.780678851173</v>
      </c>
      <c r="H175" s="215">
        <v>1</v>
      </c>
      <c r="I175" s="215">
        <v>0</v>
      </c>
      <c r="J175" s="214">
        <v>1</v>
      </c>
      <c r="K175" s="214" t="s">
        <v>4</v>
      </c>
      <c r="L175" s="214" t="s">
        <v>9</v>
      </c>
      <c r="M175" s="329">
        <v>43647</v>
      </c>
      <c r="N175" s="329">
        <v>43678</v>
      </c>
      <c r="O175" s="214"/>
      <c r="P175" s="214"/>
      <c r="Q175" s="234" t="s">
        <v>1</v>
      </c>
    </row>
    <row r="176" spans="1:17" s="127" customFormat="1" x14ac:dyDescent="0.3">
      <c r="A176" s="124"/>
      <c r="G176" s="125"/>
      <c r="H176" s="154"/>
      <c r="I176" s="131"/>
      <c r="J176" s="131"/>
    </row>
    <row r="177" spans="1:17" s="127" customFormat="1" ht="13.5" thickBot="1" x14ac:dyDescent="0.35">
      <c r="A177" s="124"/>
      <c r="B177" s="347" t="s">
        <v>37</v>
      </c>
      <c r="C177" s="347"/>
      <c r="D177" s="347"/>
      <c r="E177" s="347"/>
      <c r="F177" s="347"/>
      <c r="G177" s="347"/>
      <c r="H177" s="347"/>
      <c r="I177" s="347"/>
      <c r="J177" s="347"/>
      <c r="K177" s="347"/>
      <c r="L177" s="347"/>
      <c r="M177" s="347"/>
      <c r="N177" s="347"/>
      <c r="O177" s="347"/>
      <c r="P177" s="347"/>
      <c r="Q177" s="347"/>
    </row>
    <row r="178" spans="1:17" s="127" customFormat="1" x14ac:dyDescent="0.3">
      <c r="A178" s="124"/>
      <c r="B178" s="348" t="s">
        <v>30</v>
      </c>
      <c r="C178" s="342" t="s">
        <v>63</v>
      </c>
      <c r="D178" s="342" t="s">
        <v>11</v>
      </c>
      <c r="E178" s="342" t="s">
        <v>117</v>
      </c>
      <c r="F178" s="342" t="s">
        <v>21</v>
      </c>
      <c r="G178" s="342"/>
      <c r="H178" s="342" t="s">
        <v>22</v>
      </c>
      <c r="I178" s="342"/>
      <c r="J178" s="342"/>
      <c r="K178" s="342" t="s">
        <v>26</v>
      </c>
      <c r="L178" s="342" t="s">
        <v>27</v>
      </c>
      <c r="M178" s="342" t="s">
        <v>64</v>
      </c>
      <c r="N178" s="342"/>
      <c r="O178" s="342" t="s">
        <v>56</v>
      </c>
      <c r="P178" s="342" t="s">
        <v>49</v>
      </c>
      <c r="Q178" s="344" t="s">
        <v>50</v>
      </c>
    </row>
    <row r="179" spans="1:17" s="127" customFormat="1" ht="39" x14ac:dyDescent="0.3">
      <c r="A179" s="124"/>
      <c r="B179" s="349"/>
      <c r="C179" s="343"/>
      <c r="D179" s="343"/>
      <c r="E179" s="343"/>
      <c r="F179" s="343"/>
      <c r="G179" s="343"/>
      <c r="H179" s="205" t="s">
        <v>24</v>
      </c>
      <c r="I179" s="63" t="s">
        <v>23</v>
      </c>
      <c r="J179" s="209" t="s">
        <v>25</v>
      </c>
      <c r="K179" s="343"/>
      <c r="L179" s="343"/>
      <c r="M179" s="205" t="s">
        <v>59</v>
      </c>
      <c r="N179" s="205" t="s">
        <v>28</v>
      </c>
      <c r="O179" s="343"/>
      <c r="P179" s="343"/>
      <c r="Q179" s="345"/>
    </row>
    <row r="180" spans="1:17" s="127" customFormat="1" ht="31.5" customHeight="1" x14ac:dyDescent="0.3">
      <c r="A180" s="124" t="s">
        <v>227</v>
      </c>
      <c r="B180" s="14" t="s">
        <v>84</v>
      </c>
      <c r="C180" s="58" t="s">
        <v>205</v>
      </c>
      <c r="D180" s="58" t="s">
        <v>381</v>
      </c>
      <c r="E180" s="58" t="s">
        <v>77</v>
      </c>
      <c r="F180" s="352"/>
      <c r="G180" s="352"/>
      <c r="H180" s="145"/>
      <c r="I180" s="60">
        <v>1</v>
      </c>
      <c r="J180" s="114">
        <v>0</v>
      </c>
      <c r="K180" s="115" t="s">
        <v>5</v>
      </c>
      <c r="L180" s="58" t="s">
        <v>9</v>
      </c>
      <c r="M180" s="61">
        <v>42675</v>
      </c>
      <c r="N180" s="61">
        <v>42795</v>
      </c>
      <c r="O180" s="58"/>
      <c r="P180" s="58"/>
      <c r="Q180" s="15" t="s">
        <v>14</v>
      </c>
    </row>
    <row r="181" spans="1:17" s="127" customFormat="1" ht="26" x14ac:dyDescent="0.3">
      <c r="A181" s="124" t="s">
        <v>364</v>
      </c>
      <c r="B181" s="14" t="s">
        <v>84</v>
      </c>
      <c r="C181" s="58" t="s">
        <v>206</v>
      </c>
      <c r="D181" s="58" t="s">
        <v>382</v>
      </c>
      <c r="E181" s="58" t="s">
        <v>77</v>
      </c>
      <c r="F181" s="352"/>
      <c r="G181" s="352"/>
      <c r="H181" s="145"/>
      <c r="I181" s="60">
        <v>1</v>
      </c>
      <c r="J181" s="114">
        <v>0</v>
      </c>
      <c r="K181" s="115" t="s">
        <v>6</v>
      </c>
      <c r="L181" s="58" t="s">
        <v>9</v>
      </c>
      <c r="M181" s="61">
        <v>42675</v>
      </c>
      <c r="N181" s="61">
        <v>42795</v>
      </c>
      <c r="O181" s="58"/>
      <c r="P181" s="58"/>
      <c r="Q181" s="15" t="s">
        <v>14</v>
      </c>
    </row>
    <row r="182" spans="1:17" s="127" customFormat="1" ht="26.5" thickBot="1" x14ac:dyDescent="0.35">
      <c r="A182" s="124" t="s">
        <v>365</v>
      </c>
      <c r="B182" s="16" t="s">
        <v>84</v>
      </c>
      <c r="C182" s="17" t="s">
        <v>207</v>
      </c>
      <c r="D182" s="17"/>
      <c r="E182" s="17" t="s">
        <v>77</v>
      </c>
      <c r="F182" s="346"/>
      <c r="G182" s="346"/>
      <c r="H182" s="159"/>
      <c r="I182" s="30">
        <v>1</v>
      </c>
      <c r="J182" s="52">
        <v>0</v>
      </c>
      <c r="K182" s="53" t="s">
        <v>5</v>
      </c>
      <c r="L182" s="17" t="s">
        <v>9</v>
      </c>
      <c r="M182" s="23">
        <v>42430</v>
      </c>
      <c r="N182" s="23">
        <v>42522</v>
      </c>
      <c r="O182" s="17"/>
      <c r="P182" s="17"/>
      <c r="Q182" s="18" t="s">
        <v>14</v>
      </c>
    </row>
    <row r="183" spans="1:17" s="127" customFormat="1" x14ac:dyDescent="0.3">
      <c r="A183" s="124"/>
      <c r="B183" s="8"/>
      <c r="C183" s="8"/>
      <c r="D183" s="8"/>
      <c r="E183" s="8"/>
      <c r="F183" s="8"/>
      <c r="G183" s="139"/>
      <c r="H183" s="160"/>
      <c r="I183" s="9"/>
      <c r="J183" s="10"/>
      <c r="K183" s="10"/>
      <c r="L183" s="8"/>
      <c r="M183" s="8"/>
      <c r="N183" s="8"/>
      <c r="O183" s="8"/>
      <c r="P183" s="8"/>
      <c r="Q183" s="8"/>
    </row>
    <row r="184" spans="1:17" s="127" customFormat="1" x14ac:dyDescent="0.3">
      <c r="A184" s="124"/>
      <c r="F184" s="8"/>
      <c r="G184" s="139"/>
      <c r="H184" s="139"/>
      <c r="I184" s="9"/>
      <c r="J184" s="10"/>
      <c r="K184" s="10"/>
      <c r="L184" s="8"/>
      <c r="M184" s="8"/>
      <c r="N184" s="8"/>
      <c r="O184" s="8"/>
      <c r="P184" s="8"/>
      <c r="Q184" s="8"/>
    </row>
    <row r="185" spans="1:17" s="127" customFormat="1" ht="13.5" thickBot="1" x14ac:dyDescent="0.35">
      <c r="A185" s="124"/>
      <c r="B185" s="347" t="s">
        <v>38</v>
      </c>
      <c r="C185" s="347"/>
      <c r="D185" s="347"/>
      <c r="E185" s="347"/>
      <c r="F185" s="347"/>
      <c r="G185" s="347"/>
      <c r="H185" s="347"/>
      <c r="I185" s="347"/>
      <c r="J185" s="347"/>
      <c r="K185" s="347"/>
      <c r="L185" s="347"/>
      <c r="M185" s="347"/>
      <c r="N185" s="347"/>
      <c r="O185" s="347"/>
      <c r="P185" s="347"/>
      <c r="Q185" s="347"/>
    </row>
    <row r="186" spans="1:17" s="127" customFormat="1" x14ac:dyDescent="0.3">
      <c r="A186" s="124"/>
      <c r="B186" s="348" t="s">
        <v>30</v>
      </c>
      <c r="C186" s="342" t="s">
        <v>39</v>
      </c>
      <c r="D186" s="342" t="s">
        <v>11</v>
      </c>
      <c r="E186" s="342"/>
      <c r="F186" s="342" t="s">
        <v>21</v>
      </c>
      <c r="G186" s="342"/>
      <c r="H186" s="342" t="s">
        <v>22</v>
      </c>
      <c r="I186" s="342"/>
      <c r="J186" s="342"/>
      <c r="K186" s="342" t="s">
        <v>26</v>
      </c>
      <c r="L186" s="350" t="s">
        <v>40</v>
      </c>
      <c r="M186" s="342" t="s">
        <v>64</v>
      </c>
      <c r="N186" s="342"/>
      <c r="O186" s="342" t="s">
        <v>43</v>
      </c>
      <c r="P186" s="342" t="s">
        <v>49</v>
      </c>
      <c r="Q186" s="344" t="s">
        <v>50</v>
      </c>
    </row>
    <row r="187" spans="1:17" s="127" customFormat="1" ht="52" x14ac:dyDescent="0.3">
      <c r="A187" s="124"/>
      <c r="B187" s="349"/>
      <c r="C187" s="343"/>
      <c r="D187" s="343"/>
      <c r="E187" s="343"/>
      <c r="F187" s="343"/>
      <c r="G187" s="343"/>
      <c r="H187" s="205" t="s">
        <v>24</v>
      </c>
      <c r="I187" s="205" t="s">
        <v>23</v>
      </c>
      <c r="J187" s="63" t="s">
        <v>25</v>
      </c>
      <c r="K187" s="343"/>
      <c r="L187" s="351"/>
      <c r="M187" s="205" t="s">
        <v>41</v>
      </c>
      <c r="N187" s="205" t="s">
        <v>42</v>
      </c>
      <c r="O187" s="343"/>
      <c r="P187" s="343"/>
      <c r="Q187" s="345"/>
    </row>
    <row r="188" spans="1:17" s="127" customFormat="1" x14ac:dyDescent="0.3">
      <c r="A188" s="124"/>
      <c r="B188" s="1"/>
      <c r="C188" s="64"/>
      <c r="D188" s="340"/>
      <c r="E188" s="340"/>
      <c r="F188" s="340"/>
      <c r="G188" s="340"/>
      <c r="H188" s="208"/>
      <c r="I188" s="64"/>
      <c r="J188" s="116"/>
      <c r="K188" s="117"/>
      <c r="L188" s="117"/>
      <c r="M188" s="64"/>
      <c r="N188" s="64"/>
      <c r="O188" s="64"/>
      <c r="P188" s="64"/>
      <c r="Q188" s="2"/>
    </row>
    <row r="189" spans="1:17" s="127" customFormat="1" x14ac:dyDescent="0.3">
      <c r="A189" s="124"/>
      <c r="B189" s="1"/>
      <c r="C189" s="64"/>
      <c r="D189" s="340"/>
      <c r="E189" s="340"/>
      <c r="F189" s="340"/>
      <c r="G189" s="340"/>
      <c r="H189" s="208"/>
      <c r="I189" s="64"/>
      <c r="J189" s="116"/>
      <c r="K189" s="117"/>
      <c r="L189" s="117"/>
      <c r="M189" s="64"/>
      <c r="N189" s="64"/>
      <c r="O189" s="64"/>
      <c r="P189" s="64"/>
      <c r="Q189" s="2"/>
    </row>
    <row r="190" spans="1:17" s="127" customFormat="1" x14ac:dyDescent="0.3">
      <c r="A190" s="124"/>
      <c r="B190" s="1"/>
      <c r="C190" s="64"/>
      <c r="D190" s="340"/>
      <c r="E190" s="340"/>
      <c r="F190" s="340"/>
      <c r="G190" s="340"/>
      <c r="H190" s="208"/>
      <c r="I190" s="64"/>
      <c r="J190" s="116"/>
      <c r="K190" s="117"/>
      <c r="L190" s="117"/>
      <c r="M190" s="64"/>
      <c r="N190" s="64"/>
      <c r="O190" s="64"/>
      <c r="P190" s="64"/>
      <c r="Q190" s="2"/>
    </row>
    <row r="191" spans="1:17" s="127" customFormat="1" x14ac:dyDescent="0.3">
      <c r="A191" s="124"/>
      <c r="B191" s="1"/>
      <c r="C191" s="64"/>
      <c r="D191" s="340"/>
      <c r="E191" s="340"/>
      <c r="F191" s="340"/>
      <c r="G191" s="340"/>
      <c r="H191" s="208"/>
      <c r="I191" s="64"/>
      <c r="J191" s="116"/>
      <c r="K191" s="117"/>
      <c r="L191" s="117"/>
      <c r="M191" s="64"/>
      <c r="N191" s="64"/>
      <c r="O191" s="64"/>
      <c r="P191" s="64"/>
      <c r="Q191" s="2"/>
    </row>
    <row r="192" spans="1:17" s="127" customFormat="1" ht="13.5" thickBot="1" x14ac:dyDescent="0.35">
      <c r="A192" s="124"/>
      <c r="B192" s="3"/>
      <c r="C192" s="4"/>
      <c r="D192" s="341"/>
      <c r="E192" s="341"/>
      <c r="F192" s="341"/>
      <c r="G192" s="341"/>
      <c r="H192" s="210"/>
      <c r="I192" s="4"/>
      <c r="J192" s="6"/>
      <c r="K192" s="7"/>
      <c r="L192" s="7"/>
      <c r="M192" s="4"/>
      <c r="N192" s="4"/>
      <c r="O192" s="4"/>
      <c r="P192" s="4"/>
      <c r="Q192" s="5"/>
    </row>
    <row r="193" spans="1:18" s="127" customFormat="1" x14ac:dyDescent="0.3">
      <c r="A193" s="124"/>
      <c r="G193" s="143"/>
      <c r="H193" s="161"/>
      <c r="I193" s="131"/>
      <c r="J193" s="131"/>
    </row>
    <row r="194" spans="1:18" s="127" customFormat="1" x14ac:dyDescent="0.3">
      <c r="A194" s="124"/>
      <c r="G194" s="143"/>
      <c r="H194" s="161"/>
      <c r="I194" s="131"/>
      <c r="J194" s="131"/>
    </row>
    <row r="195" spans="1:18" s="127" customFormat="1" x14ac:dyDescent="0.3">
      <c r="A195" s="124"/>
      <c r="G195" s="143"/>
      <c r="H195" s="161"/>
      <c r="I195" s="131"/>
      <c r="J195" s="131"/>
    </row>
    <row r="197" spans="1:18" s="24" customFormat="1" x14ac:dyDescent="0.3">
      <c r="A197" s="55"/>
      <c r="B197" s="331" t="s">
        <v>51</v>
      </c>
      <c r="C197" s="137" t="s">
        <v>10</v>
      </c>
      <c r="D197" s="13"/>
      <c r="E197" s="13"/>
      <c r="F197" s="13"/>
      <c r="G197" s="123"/>
      <c r="H197" s="152"/>
      <c r="K197" s="13"/>
      <c r="L197" s="13"/>
      <c r="M197" s="13"/>
      <c r="N197" s="13"/>
      <c r="O197" s="13"/>
      <c r="P197" s="13"/>
      <c r="Q197" s="13"/>
      <c r="R197" s="13"/>
    </row>
    <row r="198" spans="1:18" s="24" customFormat="1" x14ac:dyDescent="0.3">
      <c r="A198" s="55"/>
      <c r="B198" s="332"/>
      <c r="C198" s="137" t="s">
        <v>8</v>
      </c>
      <c r="D198" s="13"/>
      <c r="E198" s="13"/>
      <c r="F198" s="13"/>
      <c r="G198" s="123"/>
      <c r="H198" s="162"/>
      <c r="K198" s="13"/>
      <c r="L198" s="13"/>
      <c r="M198" s="13"/>
      <c r="N198" s="13"/>
      <c r="O198" s="13"/>
      <c r="P198" s="13"/>
      <c r="Q198" s="13"/>
      <c r="R198" s="13"/>
    </row>
    <row r="199" spans="1:18" s="24" customFormat="1" x14ac:dyDescent="0.3">
      <c r="A199" s="55"/>
      <c r="B199" s="333"/>
      <c r="C199" s="138" t="s">
        <v>9</v>
      </c>
      <c r="D199" s="13"/>
      <c r="E199" s="13"/>
      <c r="F199" s="13"/>
      <c r="G199" s="123"/>
      <c r="H199" s="164"/>
      <c r="I199" s="165"/>
      <c r="K199" s="13"/>
      <c r="L199" s="13"/>
      <c r="M199" s="13"/>
      <c r="N199" s="13"/>
      <c r="O199" s="13"/>
      <c r="P199" s="13"/>
      <c r="Q199" s="13"/>
      <c r="R199" s="13"/>
    </row>
    <row r="201" spans="1:18" s="24" customFormat="1" x14ac:dyDescent="0.3">
      <c r="A201" s="55"/>
      <c r="B201" s="331" t="s">
        <v>50</v>
      </c>
      <c r="C201" s="137" t="s">
        <v>1</v>
      </c>
      <c r="D201" s="13"/>
      <c r="E201" s="13"/>
      <c r="F201" s="13"/>
      <c r="G201" s="123"/>
      <c r="H201" s="152"/>
      <c r="K201" s="13"/>
      <c r="L201" s="13"/>
      <c r="M201" s="13"/>
      <c r="N201" s="13"/>
      <c r="O201" s="13"/>
      <c r="P201" s="13"/>
      <c r="Q201" s="13"/>
      <c r="R201" s="13"/>
    </row>
    <row r="202" spans="1:18" s="24" customFormat="1" x14ac:dyDescent="0.3">
      <c r="A202" s="55"/>
      <c r="B202" s="332"/>
      <c r="C202" s="137" t="s">
        <v>17</v>
      </c>
      <c r="D202" s="13"/>
      <c r="E202" s="13"/>
      <c r="F202" s="13"/>
      <c r="G202" s="123"/>
      <c r="H202" s="152"/>
      <c r="K202" s="13"/>
      <c r="L202" s="13"/>
      <c r="M202" s="13"/>
      <c r="N202" s="13"/>
      <c r="O202" s="13"/>
      <c r="P202" s="13"/>
      <c r="Q202" s="13"/>
      <c r="R202" s="13"/>
    </row>
    <row r="203" spans="1:18" s="24" customFormat="1" x14ac:dyDescent="0.3">
      <c r="A203" s="55"/>
      <c r="B203" s="332"/>
      <c r="C203" s="137" t="s">
        <v>15</v>
      </c>
      <c r="D203" s="13"/>
      <c r="E203" s="13"/>
      <c r="F203" s="13"/>
      <c r="G203" s="123"/>
      <c r="H203" s="152"/>
      <c r="K203" s="13"/>
      <c r="L203" s="13"/>
      <c r="M203" s="13"/>
      <c r="N203" s="13"/>
      <c r="O203" s="13"/>
      <c r="P203" s="13"/>
      <c r="Q203" s="13"/>
      <c r="R203" s="13"/>
    </row>
    <row r="204" spans="1:18" s="24" customFormat="1" x14ac:dyDescent="0.3">
      <c r="A204" s="55"/>
      <c r="B204" s="332"/>
      <c r="C204" s="137" t="s">
        <v>14</v>
      </c>
      <c r="D204" s="13"/>
      <c r="E204" s="13"/>
      <c r="F204" s="13"/>
      <c r="G204" s="123"/>
      <c r="H204" s="152"/>
      <c r="K204" s="13"/>
      <c r="L204" s="13"/>
      <c r="M204" s="13"/>
      <c r="N204" s="13"/>
      <c r="O204" s="13"/>
      <c r="P204" s="13"/>
      <c r="Q204" s="13"/>
      <c r="R204" s="13"/>
    </row>
    <row r="205" spans="1:18" s="24" customFormat="1" x14ac:dyDescent="0.3">
      <c r="A205" s="55"/>
      <c r="B205" s="332"/>
      <c r="C205" s="137" t="s">
        <v>16</v>
      </c>
      <c r="D205" s="13"/>
      <c r="E205" s="13"/>
      <c r="F205" s="13"/>
      <c r="G205" s="123"/>
      <c r="H205" s="152"/>
      <c r="K205" s="13"/>
      <c r="L205" s="13"/>
      <c r="M205" s="13"/>
      <c r="N205" s="13"/>
      <c r="O205" s="13"/>
      <c r="P205" s="13"/>
      <c r="Q205" s="13"/>
      <c r="R205" s="13"/>
    </row>
    <row r="206" spans="1:18" s="24" customFormat="1" x14ac:dyDescent="0.3">
      <c r="A206" s="55"/>
      <c r="B206" s="332"/>
      <c r="C206" s="137" t="s">
        <v>2</v>
      </c>
      <c r="D206" s="13"/>
      <c r="E206" s="13"/>
      <c r="F206" s="13"/>
      <c r="G206" s="123"/>
      <c r="H206" s="152"/>
      <c r="K206" s="13"/>
      <c r="L206" s="13"/>
      <c r="M206" s="13"/>
      <c r="N206" s="13"/>
      <c r="O206" s="13"/>
      <c r="P206" s="13"/>
      <c r="Q206" s="13"/>
      <c r="R206" s="13"/>
    </row>
    <row r="207" spans="1:18" s="24" customFormat="1" x14ac:dyDescent="0.3">
      <c r="A207" s="55"/>
      <c r="B207" s="332"/>
      <c r="C207" s="137" t="s">
        <v>55</v>
      </c>
      <c r="D207" s="13"/>
      <c r="E207" s="13"/>
      <c r="F207" s="13"/>
      <c r="G207" s="123"/>
      <c r="H207" s="152"/>
      <c r="K207" s="13"/>
      <c r="L207" s="13"/>
      <c r="M207" s="13"/>
      <c r="N207" s="13"/>
      <c r="O207" s="13"/>
      <c r="P207" s="13"/>
      <c r="Q207" s="13"/>
      <c r="R207" s="13"/>
    </row>
    <row r="208" spans="1:18" s="24" customFormat="1" x14ac:dyDescent="0.3">
      <c r="A208" s="55"/>
      <c r="B208" s="333"/>
      <c r="C208" s="137" t="s">
        <v>3</v>
      </c>
      <c r="D208" s="13"/>
      <c r="E208" s="13"/>
      <c r="F208" s="13"/>
      <c r="G208" s="123"/>
      <c r="H208" s="152"/>
      <c r="K208" s="13"/>
      <c r="L208" s="13"/>
      <c r="M208" s="13"/>
      <c r="N208" s="13"/>
      <c r="O208" s="13"/>
      <c r="P208" s="13"/>
      <c r="Q208" s="13"/>
      <c r="R208" s="13"/>
    </row>
    <row r="210" spans="1:18" s="24" customFormat="1" x14ac:dyDescent="0.3">
      <c r="A210" s="55"/>
      <c r="B210" s="334" t="s">
        <v>52</v>
      </c>
      <c r="C210" s="335" t="s">
        <v>57</v>
      </c>
      <c r="D210" s="137" t="s">
        <v>77</v>
      </c>
      <c r="E210" s="13"/>
      <c r="F210" s="13"/>
      <c r="G210" s="123"/>
      <c r="H210" s="152"/>
      <c r="K210" s="13"/>
      <c r="L210" s="13"/>
      <c r="M210" s="13"/>
      <c r="N210" s="13"/>
      <c r="O210" s="13"/>
      <c r="P210" s="13"/>
      <c r="Q210" s="13"/>
      <c r="R210" s="13"/>
    </row>
    <row r="211" spans="1:18" s="24" customFormat="1" x14ac:dyDescent="0.3">
      <c r="A211" s="55"/>
      <c r="B211" s="334"/>
      <c r="C211" s="335"/>
      <c r="D211" s="137" t="s">
        <v>46</v>
      </c>
      <c r="E211" s="13"/>
      <c r="F211" s="13"/>
      <c r="G211" s="123"/>
      <c r="H211" s="152"/>
      <c r="K211" s="13"/>
      <c r="L211" s="13"/>
      <c r="M211" s="13"/>
      <c r="N211" s="13"/>
      <c r="O211" s="13"/>
      <c r="P211" s="13"/>
      <c r="Q211" s="13"/>
      <c r="R211" s="13"/>
    </row>
    <row r="212" spans="1:18" s="24" customFormat="1" x14ac:dyDescent="0.3">
      <c r="A212" s="55"/>
      <c r="B212" s="334"/>
      <c r="C212" s="335"/>
      <c r="D212" s="137" t="s">
        <v>47</v>
      </c>
      <c r="E212" s="13"/>
      <c r="F212" s="13"/>
      <c r="G212" s="123"/>
      <c r="H212" s="152"/>
      <c r="K212" s="13"/>
      <c r="L212" s="13"/>
      <c r="M212" s="13"/>
      <c r="N212" s="13"/>
      <c r="O212" s="13"/>
      <c r="P212" s="13"/>
      <c r="Q212" s="13"/>
      <c r="R212" s="13"/>
    </row>
    <row r="213" spans="1:18" x14ac:dyDescent="0.3">
      <c r="B213" s="334"/>
      <c r="C213" s="335"/>
      <c r="D213" s="137" t="s">
        <v>72</v>
      </c>
    </row>
    <row r="214" spans="1:18" x14ac:dyDescent="0.3">
      <c r="B214" s="334"/>
      <c r="C214" s="335"/>
      <c r="D214" s="137" t="s">
        <v>73</v>
      </c>
    </row>
    <row r="215" spans="1:18" x14ac:dyDescent="0.3">
      <c r="B215" s="334"/>
      <c r="C215" s="335"/>
      <c r="D215" s="137" t="s">
        <v>78</v>
      </c>
    </row>
    <row r="216" spans="1:18" x14ac:dyDescent="0.3">
      <c r="B216" s="334"/>
      <c r="C216" s="335"/>
      <c r="D216" s="137" t="s">
        <v>48</v>
      </c>
    </row>
    <row r="217" spans="1:18" x14ac:dyDescent="0.3">
      <c r="B217" s="334"/>
      <c r="C217" s="336" t="s">
        <v>53</v>
      </c>
      <c r="D217" s="137" t="s">
        <v>74</v>
      </c>
    </row>
    <row r="218" spans="1:18" x14ac:dyDescent="0.3">
      <c r="B218" s="334"/>
      <c r="C218" s="336"/>
      <c r="D218" s="137" t="s">
        <v>12</v>
      </c>
    </row>
    <row r="219" spans="1:18" x14ac:dyDescent="0.3">
      <c r="B219" s="334"/>
      <c r="C219" s="336"/>
      <c r="D219" s="137" t="s">
        <v>75</v>
      </c>
    </row>
    <row r="220" spans="1:18" x14ac:dyDescent="0.3">
      <c r="B220" s="334"/>
      <c r="C220" s="336"/>
      <c r="D220" s="137" t="s">
        <v>72</v>
      </c>
    </row>
    <row r="221" spans="1:18" x14ac:dyDescent="0.3">
      <c r="B221" s="334"/>
      <c r="C221" s="336"/>
      <c r="D221" s="137" t="s">
        <v>73</v>
      </c>
    </row>
    <row r="222" spans="1:18" x14ac:dyDescent="0.3">
      <c r="B222" s="334"/>
      <c r="C222" s="336"/>
      <c r="D222" s="137" t="s">
        <v>79</v>
      </c>
    </row>
    <row r="223" spans="1:18" x14ac:dyDescent="0.3">
      <c r="B223" s="334"/>
      <c r="C223" s="336"/>
      <c r="D223" s="137" t="s">
        <v>19</v>
      </c>
    </row>
    <row r="224" spans="1:18" x14ac:dyDescent="0.3">
      <c r="B224" s="334"/>
      <c r="C224" s="336"/>
      <c r="D224" s="137" t="s">
        <v>18</v>
      </c>
    </row>
    <row r="225" spans="2:4" x14ac:dyDescent="0.3">
      <c r="B225" s="334"/>
      <c r="C225" s="336"/>
      <c r="D225" s="137" t="s">
        <v>13</v>
      </c>
    </row>
    <row r="226" spans="2:4" x14ac:dyDescent="0.3">
      <c r="B226" s="334"/>
      <c r="C226" s="336"/>
      <c r="D226" s="137" t="s">
        <v>45</v>
      </c>
    </row>
    <row r="227" spans="2:4" x14ac:dyDescent="0.3">
      <c r="B227" s="334"/>
      <c r="C227" s="337" t="s">
        <v>54</v>
      </c>
      <c r="D227" s="137" t="s">
        <v>80</v>
      </c>
    </row>
    <row r="228" spans="2:4" x14ac:dyDescent="0.3">
      <c r="B228" s="334"/>
      <c r="C228" s="338"/>
      <c r="D228" s="137" t="s">
        <v>72</v>
      </c>
    </row>
    <row r="229" spans="2:4" x14ac:dyDescent="0.3">
      <c r="B229" s="334"/>
      <c r="C229" s="339"/>
      <c r="D229" s="137" t="s">
        <v>73</v>
      </c>
    </row>
    <row r="232" spans="2:4" x14ac:dyDescent="0.3">
      <c r="B232" s="27" t="s">
        <v>85</v>
      </c>
    </row>
    <row r="233" spans="2:4" x14ac:dyDescent="0.3">
      <c r="B233" s="27" t="s">
        <v>86</v>
      </c>
    </row>
    <row r="234" spans="2:4" x14ac:dyDescent="0.3">
      <c r="B234" s="27" t="s">
        <v>87</v>
      </c>
    </row>
  </sheetData>
  <autoFilter ref="B153:Q175" xr:uid="{00000000-0009-0000-0000-000000000000}">
    <filterColumn colId="5" showButton="0"/>
    <filterColumn colId="6" showButton="0"/>
    <filterColumn colId="11" showButton="0"/>
  </autoFilter>
  <mergeCells count="124">
    <mergeCell ref="B1:D1"/>
    <mergeCell ref="B2:D2"/>
    <mergeCell ref="B3:D3"/>
    <mergeCell ref="B4:D4"/>
    <mergeCell ref="B5:C5"/>
    <mergeCell ref="B6:C6"/>
    <mergeCell ref="D6:E6"/>
    <mergeCell ref="G6:H6"/>
    <mergeCell ref="B7:C7"/>
    <mergeCell ref="B9:Q9"/>
    <mergeCell ref="B10:Q10"/>
    <mergeCell ref="B11:B12"/>
    <mergeCell ref="C11:C12"/>
    <mergeCell ref="D11:D12"/>
    <mergeCell ref="E11:E12"/>
    <mergeCell ref="F11:F12"/>
    <mergeCell ref="G11:G12"/>
    <mergeCell ref="L35:L36"/>
    <mergeCell ref="M35:N35"/>
    <mergeCell ref="O35:O36"/>
    <mergeCell ref="P35:P36"/>
    <mergeCell ref="Q35:Q36"/>
    <mergeCell ref="B68:Q68"/>
    <mergeCell ref="Q11:Q12"/>
    <mergeCell ref="B34:Q34"/>
    <mergeCell ref="B35:B36"/>
    <mergeCell ref="C35:C36"/>
    <mergeCell ref="D35:D36"/>
    <mergeCell ref="E35:E36"/>
    <mergeCell ref="F35:F36"/>
    <mergeCell ref="G35:G36"/>
    <mergeCell ref="H35:J35"/>
    <mergeCell ref="K35:K36"/>
    <mergeCell ref="H11:J11"/>
    <mergeCell ref="K11:K12"/>
    <mergeCell ref="L11:L12"/>
    <mergeCell ref="M11:N11"/>
    <mergeCell ref="O11:O12"/>
    <mergeCell ref="P11:P12"/>
    <mergeCell ref="Q69:Q70"/>
    <mergeCell ref="B98:Q98"/>
    <mergeCell ref="B99:B100"/>
    <mergeCell ref="C99:C100"/>
    <mergeCell ref="D99:D100"/>
    <mergeCell ref="E99:E100"/>
    <mergeCell ref="F99:G99"/>
    <mergeCell ref="H99:J99"/>
    <mergeCell ref="K99:K100"/>
    <mergeCell ref="L99:L100"/>
    <mergeCell ref="H69:J69"/>
    <mergeCell ref="K69:K70"/>
    <mergeCell ref="L69:L70"/>
    <mergeCell ref="M69:N69"/>
    <mergeCell ref="O69:O70"/>
    <mergeCell ref="P69:P70"/>
    <mergeCell ref="B69:B70"/>
    <mergeCell ref="C69:C70"/>
    <mergeCell ref="D69:D70"/>
    <mergeCell ref="E69:E70"/>
    <mergeCell ref="F69:F70"/>
    <mergeCell ref="G69:G70"/>
    <mergeCell ref="D153:D154"/>
    <mergeCell ref="E153:E154"/>
    <mergeCell ref="F153:F154"/>
    <mergeCell ref="G153:I153"/>
    <mergeCell ref="M99:N99"/>
    <mergeCell ref="O99:O100"/>
    <mergeCell ref="P99:P100"/>
    <mergeCell ref="Q99:Q100"/>
    <mergeCell ref="F100:G100"/>
    <mergeCell ref="B152:Q152"/>
    <mergeCell ref="M178:N178"/>
    <mergeCell ref="O178:O179"/>
    <mergeCell ref="P178:P179"/>
    <mergeCell ref="Q178:Q179"/>
    <mergeCell ref="F180:G180"/>
    <mergeCell ref="F181:G181"/>
    <mergeCell ref="Q153:Q154"/>
    <mergeCell ref="B177:Q177"/>
    <mergeCell ref="B178:B179"/>
    <mergeCell ref="C178:C179"/>
    <mergeCell ref="D178:D179"/>
    <mergeCell ref="E178:E179"/>
    <mergeCell ref="F178:G179"/>
    <mergeCell ref="H178:J178"/>
    <mergeCell ref="K178:K179"/>
    <mergeCell ref="L178:L179"/>
    <mergeCell ref="J153:J154"/>
    <mergeCell ref="K153:K154"/>
    <mergeCell ref="L153:L154"/>
    <mergeCell ref="M153:N153"/>
    <mergeCell ref="O153:O154"/>
    <mergeCell ref="P153:P154"/>
    <mergeCell ref="B153:B154"/>
    <mergeCell ref="C153:C154"/>
    <mergeCell ref="O186:O187"/>
    <mergeCell ref="P186:P187"/>
    <mergeCell ref="Q186:Q187"/>
    <mergeCell ref="D188:E188"/>
    <mergeCell ref="F188:G188"/>
    <mergeCell ref="D189:E189"/>
    <mergeCell ref="F189:G189"/>
    <mergeCell ref="F182:G182"/>
    <mergeCell ref="B185:Q185"/>
    <mergeCell ref="B186:B187"/>
    <mergeCell ref="C186:C187"/>
    <mergeCell ref="D186:E187"/>
    <mergeCell ref="F186:G187"/>
    <mergeCell ref="H186:J186"/>
    <mergeCell ref="K186:K187"/>
    <mergeCell ref="L186:L187"/>
    <mergeCell ref="M186:N186"/>
    <mergeCell ref="B197:B199"/>
    <mergeCell ref="B201:B208"/>
    <mergeCell ref="B210:B229"/>
    <mergeCell ref="C210:C216"/>
    <mergeCell ref="C217:C226"/>
    <mergeCell ref="C227:C229"/>
    <mergeCell ref="D190:E190"/>
    <mergeCell ref="F190:G190"/>
    <mergeCell ref="D191:E191"/>
    <mergeCell ref="F191:G191"/>
    <mergeCell ref="D192:E192"/>
    <mergeCell ref="F192:G192"/>
  </mergeCells>
  <dataValidations count="6">
    <dataValidation type="list" allowBlank="1" showInputMessage="1" showErrorMessage="1" sqref="E155:E175" xr:uid="{00000000-0002-0000-0000-000000000000}">
      <formula1>$D$227:$D$229</formula1>
    </dataValidation>
    <dataValidation type="list" allowBlank="1" showInputMessage="1" showErrorMessage="1" sqref="L183:L184 E183" xr:uid="{00000000-0002-0000-0000-000001000000}">
      <formula1>#REF!</formula1>
    </dataValidation>
    <dataValidation type="list" allowBlank="1" showInputMessage="1" showErrorMessage="1" sqref="L155:L175 L37:L66 L13:L32 L180:L182 L71:L96 L101:L150" xr:uid="{00000000-0002-0000-0000-000002000000}">
      <formula1>$C$197:$C$199</formula1>
    </dataValidation>
    <dataValidation type="list" allowBlank="1" showInputMessage="1" showErrorMessage="1" sqref="E180:E182 E149:E150 E101:E144" xr:uid="{00000000-0002-0000-0000-000003000000}">
      <formula1>$D$210:$D$216</formula1>
    </dataValidation>
    <dataValidation type="list" allowBlank="1" showInputMessage="1" showErrorMessage="1" sqref="E71:E96 E37:E66 E13:E32 E145:E148" xr:uid="{00000000-0002-0000-0000-000004000000}">
      <formula1>$D$217:$D$226</formula1>
    </dataValidation>
    <dataValidation type="list" allowBlank="1" showInputMessage="1" showErrorMessage="1" sqref="Q71:Q96 Q37:Q66 Q13:Q32 Q188:Q192 Q180:Q182 Q101:Q150" xr:uid="{00000000-0002-0000-0000-000005000000}">
      <formula1>$C$201:$C$208</formula1>
    </dataValidation>
  </dataValidations>
  <pageMargins left="0.23622047244094491" right="0.23622047244094491" top="0.74803149606299213" bottom="0.74803149606299213" header="0.31496062992125984" footer="0.31496062992125984"/>
  <pageSetup paperSize="8" scale="60" orientation="portrait" verticalDpi="90" r:id="rId1"/>
  <rowBreaks count="2" manualBreakCount="2">
    <brk id="67" max="16383" man="1"/>
    <brk id="150" max="16383" man="1"/>
  </rowBreaks>
  <colBreaks count="1" manualBreakCount="1">
    <brk id="7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item1.xml><?xml version="1.0" encoding="utf-8"?>
<?mso-contentType ?>
<SharedContentType xmlns="Microsoft.SharePoint.Taxonomy.ContentTypeSync" SourceId="ae61f9b1-e23d-4f49-b3d7-56b991556c4b" ContentTypeId="0x0101001A458A224826124E8B45B1D613300CFC" PreviousValue="fals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ez-Disclosure Operations" ma:contentTypeID="0x0101001A458A224826124E8B45B1D613300CFC00581ECE252B20694B8E2D0AA76DC120B0" ma:contentTypeVersion="4444" ma:contentTypeDescription="A content type to manage public (operations) IDB documents" ma:contentTypeScope="" ma:versionID="a4417c0dda4d01eabc493fc791dc761a">
  <xsd:schema xmlns:xsd="http://www.w3.org/2001/XMLSchema" xmlns:xs="http://www.w3.org/2001/XMLSchema" xmlns:p="http://schemas.microsoft.com/office/2006/metadata/properties" xmlns:ns2="cdc7663a-08f0-4737-9e8c-148ce897a09c" targetNamespace="http://schemas.microsoft.com/office/2006/metadata/properties" ma:root="true" ma:fieldsID="6b626c85bde6a835fe4461fb949828a1" ns2:_="">
    <xsd:import namespace="cdc7663a-08f0-4737-9e8c-148ce897a09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e46fe2894295491da65140ffd2369f49" minOccurs="0"/>
                <xsd:element ref="ns2:TaxCatchAll" minOccurs="0"/>
                <xsd:element ref="ns2:TaxCatchAllLabel" minOccurs="0"/>
                <xsd:element ref="ns2:Access_x0020_to_x0020_Information_x00a0_Policy"/>
                <xsd:element ref="ns2:b26cdb1da78c4bb4b1c1bac2f6ac5911" minOccurs="0"/>
                <xsd:element ref="ns2:Project_x0020_Number"/>
                <xsd:element ref="ns2:Webtopic" minOccurs="0"/>
                <xsd:element ref="ns2:Approval_x0020_Number" minOccurs="0"/>
                <xsd:element ref="ns2:Disclosure_x0020_Activity"/>
                <xsd:element ref="ns2:Document_x0020_Author" minOccurs="0"/>
                <xsd:element ref="ns2:Other_x0020_Author" minOccurs="0"/>
                <xsd:element ref="ns2:g511464f9e53401d84b16fa9b379a574" minOccurs="0"/>
                <xsd:element ref="ns2:nddeef1749674d76abdbe4b239a70bc6" minOccurs="0"/>
                <xsd:element ref="ns2:b2ec7cfb18674cb8803df6b262e8b107" minOccurs="0"/>
                <xsd:element ref="ns2:Document_x0020_Language_x0020_IDB"/>
                <xsd:element ref="ns2:Division_x0020_or_x0020_Unit"/>
                <xsd:element ref="ns2:Identifier" minOccurs="0"/>
                <xsd:element ref="ns2:Fiscal_x0020_Year_x0020_IDB" minOccurs="0"/>
                <xsd:element ref="ns2:ic46d7e087fd4a108fb86518ca413cc6" minOccurs="0"/>
                <xsd:element ref="ns2:Operation_x0020_Type" minOccurs="0"/>
                <xsd:element ref="ns2:Package_x0020_Code" minOccurs="0"/>
                <xsd:element ref="ns2:Phase" minOccurs="0"/>
                <xsd:element ref="ns2:Business_x0020_Area" minOccurs="0"/>
                <xsd:element ref="ns2:Key_x0020_Document" minOccurs="0"/>
                <xsd:element ref="ns2:Project_x0020_Document_x0020_Type" minOccurs="0"/>
                <xsd:element ref="ns2:Abstract" minOccurs="0"/>
                <xsd:element ref="ns2:Migration_x0020_Info" minOccurs="0"/>
                <xsd:element ref="ns2:SISCOR_x0020_Number" minOccurs="0"/>
                <xsd:element ref="ns2:IDBDocs_x0020_Number" minOccurs="0"/>
                <xsd:element ref="ns2:Editor1" minOccurs="0"/>
                <xsd:element ref="ns2:Issue_x0020_Date" minOccurs="0"/>
                <xsd:element ref="ns2:Publishing_x0020_House" minOccurs="0"/>
                <xsd:element ref="ns2:KP_x0020_Topics" minOccurs="0"/>
                <xsd:element ref="ns2:Region" minOccurs="0"/>
                <xsd:element ref="ns2:Publication_x0020_Type" minOccurs="0"/>
                <xsd:element ref="ns2:Disclosed" minOccurs="0"/>
                <xsd:element ref="ns2:Record_x0020_Number" minOccurs="0"/>
                <xsd:element ref="ns2:Related_x0020_SisCor_x0020_Numb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c7663a-08f0-4737-9e8c-148ce897a09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e46fe2894295491da65140ffd2369f49" ma:index="11" ma:taxonomy="true" ma:internalName="e46fe2894295491da65140ffd2369f49" ma:taxonomyFieldName="Function_x0020_Operations_x0020_IDB" ma:displayName="Function Operations IDB" ma:readOnly="false" ma:default="" ma:fieldId="{e46fe289-4295-491d-a651-40ffd2369f49}" ma:sspId="ae61f9b1-e23d-4f49-b3d7-56b991556c4b" ma:termSetId="90662247-c2d7-4c02-8f80-a99fdf3aec7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hidden="true" ma:list="{a21e8572-655e-4c0d-bfdb-c52ee7bb5839}" ma:internalName="TaxCatchAll" ma:showField="CatchAllData" ma:web="0ae48fe9-e043-4151-95b7-4d4bdf090f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a21e8572-655e-4c0d-bfdb-c52ee7bb5839}" ma:internalName="TaxCatchAllLabel" ma:readOnly="true" ma:showField="CatchAllDataLabel" ma:web="0ae48fe9-e043-4151-95b7-4d4bdf090f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ccess_x0020_to_x0020_Information_x00a0_Policy" ma:index="15" ma:displayName="Access to Information Policy" ma:default="Confidential" ma:format="Dropdown" ma:internalName="Access_x0020_to_x0020_Information_x00A0_Policy">
      <xsd:simpleType>
        <xsd:restriction base="dms:Choice">
          <xsd:enumeration value="Confidential"/>
          <xsd:enumeration value="Disclosed Over Time - 5 years"/>
          <xsd:enumeration value="Disclosed Over Time - 10 years"/>
          <xsd:enumeration value="Disclosed Over Time - 20 years"/>
          <xsd:enumeration value="Public"/>
          <xsd:enumeration value="Public - Simultaneous Disclosure"/>
        </xsd:restriction>
      </xsd:simpleType>
    </xsd:element>
    <xsd:element name="b26cdb1da78c4bb4b1c1bac2f6ac5911" ma:index="16" nillable="true" ma:taxonomy="true" ma:internalName="b26cdb1da78c4bb4b1c1bac2f6ac5911" ma:taxonomyFieldName="Series_x0020_Operations_x0020_IDB" ma:displayName="Series Operations IDB" ma:default="" ma:fieldId="{b26cdb1d-a78c-4bb4-b1c1-bac2f6ac5911}" ma:sspId="ae61f9b1-e23d-4f49-b3d7-56b991556c4b" ma:termSetId="aa8fb583-e935-416d-8a2e-4b97a8eb068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roject_x0020_Number" ma:index="18" ma:displayName="Project Number" ma:default="BR-L1327" ma:internalName="Project_x0020_Number" ma:readOnly="false">
      <xsd:simpleType>
        <xsd:restriction base="dms:Text">
          <xsd:maxLength value="255"/>
        </xsd:restriction>
      </xsd:simpleType>
    </xsd:element>
    <xsd:element name="Webtopic" ma:index="19" nillable="true" ma:displayName="Webtopic" ma:internalName="Webtopic">
      <xsd:simpleType>
        <xsd:restriction base="dms:Text">
          <xsd:maxLength value="255"/>
        </xsd:restriction>
      </xsd:simpleType>
    </xsd:element>
    <xsd:element name="Approval_x0020_Number" ma:index="20" nillable="true" ma:displayName="Approval Number" ma:internalName="Approval_x0020_Number">
      <xsd:simpleType>
        <xsd:restriction base="dms:Text">
          <xsd:maxLength value="255"/>
        </xsd:restriction>
      </xsd:simpleType>
    </xsd:element>
    <xsd:element name="Disclosure_x0020_Activity" ma:index="21" ma:displayName="Disclosure Activity" ma:internalName="Disclosure_x0020_Activity" ma:readOnly="false">
      <xsd:simpleType>
        <xsd:restriction base="dms:Text">
          <xsd:maxLength value="255"/>
        </xsd:restriction>
      </xsd:simpleType>
    </xsd:element>
    <xsd:element name="Document_x0020_Author" ma:index="22" nillable="true" ma:displayName="Document Author" ma:internalName="Document_x0020_Author">
      <xsd:simpleType>
        <xsd:restriction base="dms:Text">
          <xsd:maxLength value="255"/>
        </xsd:restriction>
      </xsd:simpleType>
    </xsd:element>
    <xsd:element name="Other_x0020_Author" ma:index="23" nillable="true" ma:displayName="Other Author" ma:internalName="Other_x0020_Author">
      <xsd:simpleType>
        <xsd:restriction base="dms:Text">
          <xsd:maxLength value="255"/>
        </xsd:restriction>
      </xsd:simpleType>
    </xsd:element>
    <xsd:element name="g511464f9e53401d84b16fa9b379a574" ma:index="24" nillable="true" ma:taxonomy="true" ma:internalName="g511464f9e53401d84b16fa9b379a574" ma:taxonomyFieldName="Fund_x0020_IDB" ma:displayName="Fund IDB" ma:default="" ma:fieldId="{0511464f-9e53-401d-84b1-6fa9b379a574}" ma:taxonomyMulti="true" ma:sspId="ae61f9b1-e23d-4f49-b3d7-56b991556c4b" ma:termSetId="69abb71a-f64f-4893-ac0e-66eb1be268a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ddeef1749674d76abdbe4b239a70bc6" ma:index="26" nillable="true" ma:taxonomy="true" ma:internalName="nddeef1749674d76abdbe4b239a70bc6" ma:taxonomyFieldName="Sector_x0020_IDB" ma:displayName="Sector IDB" ma:default="" ma:fieldId="{7ddeef17-4967-4d76-abdb-e4b239a70bc6}" ma:taxonomyMulti="true" ma:sspId="ae61f9b1-e23d-4f49-b3d7-56b991556c4b" ma:termSetId="12408410-0417-4253-a5ed-d52c55de15dc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b2ec7cfb18674cb8803df6b262e8b107" ma:index="28" nillable="true" ma:taxonomy="true" ma:internalName="b2ec7cfb18674cb8803df6b262e8b107" ma:taxonomyFieldName="Sub_x002d_Sector" ma:displayName="Sub-Sector" ma:default="" ma:fieldId="{b2ec7cfb-1867-4cb8-803d-f6b262e8b107}" ma:taxonomyMulti="true" ma:sspId="ae61f9b1-e23d-4f49-b3d7-56b991556c4b" ma:termSetId="73c9b9c8-b29b-461e-b5a6-c7e93795fb0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ocument_x0020_Language_x0020_IDB" ma:index="30" ma:displayName="Document Language IDB" ma:format="Dropdown" ma:internalName="Document_x0020_Language_x0020_IDB" ma:readOnly="false">
      <xsd:simpleType>
        <xsd:restriction base="dms:Choice">
          <xsd:enumeration value="English"/>
          <xsd:enumeration value="French"/>
          <xsd:enumeration value="Italian"/>
          <xsd:enumeration value="Japanese"/>
          <xsd:enumeration value="Korean"/>
          <xsd:enumeration value="Other"/>
          <xsd:enumeration value="Portuguese"/>
          <xsd:enumeration value="Spanish"/>
        </xsd:restriction>
      </xsd:simpleType>
    </xsd:element>
    <xsd:element name="Division_x0020_or_x0020_Unit" ma:index="31" ma:displayName="Division or Unit" ma:internalName="Division_x0020_or_x0020_Unit" ma:readOnly="false">
      <xsd:simpleType>
        <xsd:restriction base="dms:Text">
          <xsd:maxLength value="255"/>
        </xsd:restriction>
      </xsd:simpleType>
    </xsd:element>
    <xsd:element name="Identifier" ma:index="32" nillable="true" ma:displayName="Identifier" ma:internalName="Identifier">
      <xsd:simpleType>
        <xsd:restriction base="dms:Text">
          <xsd:maxLength value="255"/>
        </xsd:restriction>
      </xsd:simpleType>
    </xsd:element>
    <xsd:element name="Fiscal_x0020_Year_x0020_IDB" ma:index="33" nillable="true" ma:displayName="Fiscal Year IDB" ma:internalName="Fiscal_x0020_Year_x0020_IDB">
      <xsd:simpleType>
        <xsd:restriction base="dms:Text">
          <xsd:maxLength value="255"/>
        </xsd:restriction>
      </xsd:simpleType>
    </xsd:element>
    <xsd:element name="ic46d7e087fd4a108fb86518ca413cc6" ma:index="34" nillable="true" ma:taxonomy="true" ma:internalName="ic46d7e087fd4a108fb86518ca413cc6" ma:taxonomyFieldName="Country" ma:displayName="Country" ma:default="" ma:fieldId="{2c46d7e0-87fd-4a10-8fb8-6518ca413cc6}" ma:taxonomyMulti="true" ma:sspId="ae61f9b1-e23d-4f49-b3d7-56b991556c4b" ma:termSetId="e1cf2cf4-6e0f-476b-b38c-a4927f870e8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peration_x0020_Type" ma:index="36" nillable="true" ma:displayName="Operation Type" ma:default="Loan Operation" ma:internalName="Operation_x0020_Type">
      <xsd:simpleType>
        <xsd:restriction base="dms:Text">
          <xsd:maxLength value="255"/>
        </xsd:restriction>
      </xsd:simpleType>
    </xsd:element>
    <xsd:element name="Package_x0020_Code" ma:index="37" nillable="true" ma:displayName="Package Code" ma:internalName="Package_x0020_Code">
      <xsd:simpleType>
        <xsd:restriction base="dms:Text">
          <xsd:maxLength value="255"/>
        </xsd:restriction>
      </xsd:simpleType>
    </xsd:element>
    <xsd:element name="Phase" ma:index="38" nillable="true" ma:displayName="Phase" ma:internalName="Phase">
      <xsd:simpleType>
        <xsd:restriction base="dms:Text">
          <xsd:maxLength value="255"/>
        </xsd:restriction>
      </xsd:simpleType>
    </xsd:element>
    <xsd:element name="Business_x0020_Area" ma:index="39" nillable="true" ma:displayName="Business Area" ma:internalName="Business_x0020_Area">
      <xsd:simpleType>
        <xsd:restriction base="dms:Text">
          <xsd:maxLength value="255"/>
        </xsd:restriction>
      </xsd:simpleType>
    </xsd:element>
    <xsd:element name="Key_x0020_Document" ma:index="40" nillable="true" ma:displayName="Key Document" ma:default="0" ma:internalName="Key_x0020_Document">
      <xsd:simpleType>
        <xsd:restriction base="dms:Boolean"/>
      </xsd:simpleType>
    </xsd:element>
    <xsd:element name="Project_x0020_Document_x0020_Type" ma:index="41" nillable="true" ma:displayName="Project Document Type" ma:internalName="Project_x0020_Document_x0020_Type">
      <xsd:simpleType>
        <xsd:restriction base="dms:Text">
          <xsd:maxLength value="255"/>
        </xsd:restriction>
      </xsd:simpleType>
    </xsd:element>
    <xsd:element name="Abstract" ma:index="42" nillable="true" ma:displayName="Abstract" ma:internalName="Abstract">
      <xsd:simpleType>
        <xsd:restriction base="dms:Note"/>
      </xsd:simpleType>
    </xsd:element>
    <xsd:element name="Migration_x0020_Info" ma:index="43" nillable="true" ma:displayName="Migration Info" ma:internalName="Migration_x0020_Info">
      <xsd:simpleType>
        <xsd:restriction base="dms:Note"/>
      </xsd:simpleType>
    </xsd:element>
    <xsd:element name="SISCOR_x0020_Number" ma:index="44" nillable="true" ma:displayName="SISCOR Number" ma:internalName="SISCOR_x0020_Number">
      <xsd:simpleType>
        <xsd:restriction base="dms:Text">
          <xsd:maxLength value="255"/>
        </xsd:restriction>
      </xsd:simpleType>
    </xsd:element>
    <xsd:element name="IDBDocs_x0020_Number" ma:index="45" nillable="true" ma:displayName="IDBDocs Number" ma:internalName="IDBDocs_x0020_Number">
      <xsd:simpleType>
        <xsd:restriction base="dms:Text">
          <xsd:maxLength value="255"/>
        </xsd:restriction>
      </xsd:simpleType>
    </xsd:element>
    <xsd:element name="Editor1" ma:index="46" nillable="true" ma:displayName="Editor" ma:internalName="Editor1">
      <xsd:simpleType>
        <xsd:restriction base="dms:Text">
          <xsd:maxLength value="255"/>
        </xsd:restriction>
      </xsd:simpleType>
    </xsd:element>
    <xsd:element name="Issue_x0020_Date" ma:index="47" nillable="true" ma:displayName="Issue Date" ma:format="DateOnly" ma:internalName="Issue_x0020_Date">
      <xsd:simpleType>
        <xsd:restriction base="dms:DateTime"/>
      </xsd:simpleType>
    </xsd:element>
    <xsd:element name="Publishing_x0020_House" ma:index="48" nillable="true" ma:displayName="Publishing House" ma:internalName="Publishing_x0020_House">
      <xsd:simpleType>
        <xsd:restriction base="dms:Text">
          <xsd:maxLength value="255"/>
        </xsd:restriction>
      </xsd:simpleType>
    </xsd:element>
    <xsd:element name="KP_x0020_Topics" ma:index="49" nillable="true" ma:displayName="KP Topics" ma:internalName="KP_x0020_Topics">
      <xsd:simpleType>
        <xsd:restriction base="dms:Text">
          <xsd:maxLength value="255"/>
        </xsd:restriction>
      </xsd:simpleType>
    </xsd:element>
    <xsd:element name="Region" ma:index="50" nillable="true" ma:displayName="Region" ma:internalName="Region">
      <xsd:simpleType>
        <xsd:restriction base="dms:Text">
          <xsd:maxLength value="255"/>
        </xsd:restriction>
      </xsd:simpleType>
    </xsd:element>
    <xsd:element name="Publication_x0020_Type" ma:index="51" nillable="true" ma:displayName="Publication Type" ma:internalName="Publication_x0020_Type">
      <xsd:simpleType>
        <xsd:restriction base="dms:Text">
          <xsd:maxLength value="255"/>
        </xsd:restriction>
      </xsd:simpleType>
    </xsd:element>
    <xsd:element name="Disclosed" ma:index="52" nillable="true" ma:displayName="Disclosed" ma:default="0" ma:internalName="Disclosed">
      <xsd:simpleType>
        <xsd:restriction base="dms:Boolean"/>
      </xsd:simpleType>
    </xsd:element>
    <xsd:element name="Record_x0020_Number" ma:index="53" nillable="true" ma:displayName="Record Number" ma:internalName="Record_x0020_Number">
      <xsd:simpleType>
        <xsd:restriction base="dms:Text">
          <xsd:maxLength value="255"/>
        </xsd:restriction>
      </xsd:simpleType>
    </xsd:element>
    <xsd:element name="Related_x0020_SisCor_x0020_Number" ma:index="54" nillable="true" ma:displayName="Related SisCor Number" ma:internalName="Related_x0020_SisCor_x0020_Number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?mso-contentType ?>
<FormUrls xmlns="http://schemas.microsoft.com/sharepoint/v3/contenttype/forms/url">
  <Display>_catalogs/masterpage/ECMForms/OperationsCT/View.aspx</Display>
  <Edit>_catalogs/masterpage/ECMForms/OperationsCT/Edit.aspx</Edit>
</FormUrls>
</file>

<file path=customXml/item6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_x0020_to_x0020_Information_x00a0_Policy xmlns="cdc7663a-08f0-4737-9e8c-148ce897a09c">Public</Access_x0020_to_x0020_Information_x00a0_Policy>
    <SISCOR_x0020_Number xmlns="cdc7663a-08f0-4737-9e8c-148ce897a09c" xsi:nil="true"/>
    <b26cdb1da78c4bb4b1c1bac2f6ac5911 xmlns="cdc7663a-08f0-4737-9e8c-148ce897a09c">
      <Terms xmlns="http://schemas.microsoft.com/office/infopath/2007/PartnerControls"/>
    </b26cdb1da78c4bb4b1c1bac2f6ac5911>
    <ic46d7e087fd4a108fb86518ca413cc6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Brazil</TermName>
          <TermId xmlns="http://schemas.microsoft.com/office/infopath/2007/PartnerControls">7deb27ec-6837-4974-9aa8-6cfbac841ef8</TermId>
        </TermInfo>
      </Terms>
    </ic46d7e087fd4a108fb86518ca413cc6>
    <IDBDocs_x0020_Number xmlns="cdc7663a-08f0-4737-9e8c-148ce897a09c" xsi:nil="true"/>
    <Division_x0020_or_x0020_Unit xmlns="cdc7663a-08f0-4737-9e8c-148ce897a09c">CSC/CBR</Division_x0020_or_x0020_Unit>
    <Fiscal_x0020_Year_x0020_IDB xmlns="cdc7663a-08f0-4737-9e8c-148ce897a09c">2019</Fiscal_x0020_Year_x0020_IDB>
    <e46fe2894295491da65140ffd2369f49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Project Administration</TermName>
          <TermId xmlns="http://schemas.microsoft.com/office/infopath/2007/PartnerControls">751f71fd-1433-4702-a2db-ff12a4e45594</TermId>
        </TermInfo>
      </Terms>
    </e46fe2894295491da65140ffd2369f49>
    <Other_x0020_Author xmlns="cdc7663a-08f0-4737-9e8c-148ce897a09c" xsi:nil="true"/>
    <Migration_x0020_Info xmlns="cdc7663a-08f0-4737-9e8c-148ce897a09c" xsi:nil="true"/>
    <Approval_x0020_Number xmlns="cdc7663a-08f0-4737-9e8c-148ce897a09c">2933/OC-BR;</Approval_x0020_Number>
    <Phase xmlns="cdc7663a-08f0-4737-9e8c-148ce897a09c">ACTIVE</Phase>
    <Document_x0020_Author xmlns="cdc7663a-08f0-4737-9e8c-148ce897a09c">Sousa, Katia de Oliveira</Document_x0020_Author>
    <b2ec7cfb18674cb8803df6b262e8b107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PRIMARY EDUCATION</TermName>
          <TermId xmlns="http://schemas.microsoft.com/office/infopath/2007/PartnerControls">3c9aef6b-e3d8-4e56-bc3a-dd53e692346f</TermId>
        </TermInfo>
      </Terms>
    </b2ec7cfb18674cb8803df6b262e8b107>
    <Business_x0020_Area xmlns="cdc7663a-08f0-4737-9e8c-148ce897a09c">ESG</Business_x0020_Area>
    <Key_x0020_Document xmlns="cdc7663a-08f0-4737-9e8c-148ce897a09c">false</Key_x0020_Document>
    <Document_x0020_Language_x0020_IDB xmlns="cdc7663a-08f0-4737-9e8c-148ce897a09c">Portuguese</Document_x0020_Language_x0020_IDB>
    <Project_x0020_Document_x0020_Type xmlns="cdc7663a-08f0-4737-9e8c-148ce897a09c" xsi:nil="true"/>
    <g511464f9e53401d84b16fa9b379a574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ORC</TermName>
          <TermId xmlns="http://schemas.microsoft.com/office/infopath/2007/PartnerControls">c028a4b2-ad8b-4cf4-9cac-a2ae6a778e23</TermId>
        </TermInfo>
      </Terms>
    </g511464f9e53401d84b16fa9b379a574>
    <Related_x0020_SisCor_x0020_Number xmlns="cdc7663a-08f0-4737-9e8c-148ce897a09c" xsi:nil="true"/>
    <TaxCatchAll xmlns="cdc7663a-08f0-4737-9e8c-148ce897a09c">
      <Value>83</Value>
      <Value>33</Value>
      <Value>3</Value>
      <Value>30</Value>
      <Value>106</Value>
    </TaxCatchAll>
    <Operation_x0020_Type xmlns="cdc7663a-08f0-4737-9e8c-148ce897a09c">LON</Operation_x0020_Type>
    <Package_x0020_Code xmlns="cdc7663a-08f0-4737-9e8c-148ce897a09c" xsi:nil="true"/>
    <Identifier xmlns="cdc7663a-08f0-4737-9e8c-148ce897a09c" xsi:nil="true"/>
    <Project_x0020_Number xmlns="cdc7663a-08f0-4737-9e8c-148ce897a09c">BR-L1327</Project_x0020_Number>
    <nddeef1749674d76abdbe4b239a70bc6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EDUCATION</TermName>
          <TermId xmlns="http://schemas.microsoft.com/office/infopath/2007/PartnerControls">e61db9d8-dcb9-423f-a737-53d6e603e7c4</TermId>
        </TermInfo>
      </Terms>
    </nddeef1749674d76abdbe4b239a70bc6>
    <Record_x0020_Number xmlns="cdc7663a-08f0-4737-9e8c-148ce897a09c" xsi:nil="true"/>
    <_dlc_DocId xmlns="cdc7663a-08f0-4737-9e8c-148ce897a09c">EZSHARE-1339353036-156</_dlc_DocId>
    <_dlc_DocIdUrl xmlns="cdc7663a-08f0-4737-9e8c-148ce897a09c">
      <Url>https://idbg.sharepoint.com/teams/EZ-BR-LON/BR-L1327/_layouts/15/DocIdRedir.aspx?ID=EZSHARE-1339353036-156</Url>
      <Description>EZSHARE-1339353036-156</Description>
    </_dlc_DocIdUrl>
    <Disclosure_x0020_Activity xmlns="cdc7663a-08f0-4737-9e8c-148ce897a09c">Procurement Plan</Disclosure_x0020_Activity>
    <Issue_x0020_Date xmlns="cdc7663a-08f0-4737-9e8c-148ce897a09c" xsi:nil="true"/>
    <KP_x0020_Topics xmlns="cdc7663a-08f0-4737-9e8c-148ce897a09c" xsi:nil="true"/>
    <Disclosed xmlns="cdc7663a-08f0-4737-9e8c-148ce897a09c">true</Disclosed>
    <Publication_x0020_Type xmlns="cdc7663a-08f0-4737-9e8c-148ce897a09c" xsi:nil="true"/>
    <Editor1 xmlns="cdc7663a-08f0-4737-9e8c-148ce897a09c" xsi:nil="true"/>
    <Region xmlns="cdc7663a-08f0-4737-9e8c-148ce897a09c" xsi:nil="true"/>
    <Webtopic xmlns="cdc7663a-08f0-4737-9e8c-148ce897a09c" xsi:nil="true"/>
    <Abstract xmlns="cdc7663a-08f0-4737-9e8c-148ce897a09c" xsi:nil="true"/>
    <Publishing_x0020_House xmlns="cdc7663a-08f0-4737-9e8c-148ce897a09c" xsi:nil="true"/>
  </documentManagement>
</p:properties>
</file>

<file path=customXml/item7.xml><?xml version="1.0" encoding="utf-8"?>
<?mso-contentType ?>
<FormUrls xmlns="http://schemas.microsoft.com/sharepoint/v3/contenttype/forms/url">
  <Display>_catalogs/masterpage/ECMForms/DisclosureOperationsCT/View.aspx</Display>
  <Edit>_catalogs/masterpage/ECMForms/DisclosureOperationsCT/Edit.aspx</Edit>
</FormUrls>
</file>

<file path=customXml/itemProps1.xml><?xml version="1.0" encoding="utf-8"?>
<ds:datastoreItem xmlns:ds="http://schemas.openxmlformats.org/officeDocument/2006/customXml" ds:itemID="{5AE34E78-72B6-4B34-9F9E-5FC9281059F1}"/>
</file>

<file path=customXml/itemProps2.xml><?xml version="1.0" encoding="utf-8"?>
<ds:datastoreItem xmlns:ds="http://schemas.openxmlformats.org/officeDocument/2006/customXml" ds:itemID="{99ADC839-4FA4-43CD-9636-AC1091038A8E}"/>
</file>

<file path=customXml/itemProps3.xml><?xml version="1.0" encoding="utf-8"?>
<ds:datastoreItem xmlns:ds="http://schemas.openxmlformats.org/officeDocument/2006/customXml" ds:itemID="{C97E5D48-5514-40C5-B1CE-28A237C6C5D6}"/>
</file>

<file path=customXml/itemProps4.xml><?xml version="1.0" encoding="utf-8"?>
<ds:datastoreItem xmlns:ds="http://schemas.openxmlformats.org/officeDocument/2006/customXml" ds:itemID="{DD96F69E-2730-4BEE-9791-CA57766E39B6}"/>
</file>

<file path=customXml/itemProps5.xml><?xml version="1.0" encoding="utf-8"?>
<ds:datastoreItem xmlns:ds="http://schemas.openxmlformats.org/officeDocument/2006/customXml" ds:itemID="{2B39AD10-4EB9-4D21-90F1-C16AF9A21D90}"/>
</file>

<file path=customXml/itemProps6.xml><?xml version="1.0" encoding="utf-8"?>
<ds:datastoreItem xmlns:ds="http://schemas.openxmlformats.org/officeDocument/2006/customXml" ds:itemID="{4393A16C-115A-4C12-A4C0-9B8FB77379F8}"/>
</file>

<file path=customXml/itemProps7.xml><?xml version="1.0" encoding="utf-8"?>
<ds:datastoreItem xmlns:ds="http://schemas.openxmlformats.org/officeDocument/2006/customXml" ds:itemID="{E184D37C-D95A-422F-8DCA-27BC0A731C2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 - REVISÃO 11</vt:lpstr>
    </vt:vector>
  </TitlesOfParts>
  <Company>Inter-American Development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 Costa</dc:creator>
  <cp:keywords/>
  <cp:lastModifiedBy>Sousa, Katia de Oliveira</cp:lastModifiedBy>
  <cp:lastPrinted>2019-06-18T13:24:36Z</cp:lastPrinted>
  <dcterms:created xsi:type="dcterms:W3CDTF">2011-03-30T14:45:37Z</dcterms:created>
  <dcterms:modified xsi:type="dcterms:W3CDTF">2019-07-12T16:55:44Z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TaxKeyword">
    <vt:lpwstr/>
  </property>
  <property fmtid="{D5CDD505-2E9C-101B-9397-08002B2CF9AE}" pid="4" name="TaxKeywordTaxHTField">
    <vt:lpwstr/>
  </property>
  <property fmtid="{D5CDD505-2E9C-101B-9397-08002B2CF9AE}" pid="5" name="Series Operations IDB">
    <vt:lpwstr/>
  </property>
  <property fmtid="{D5CDD505-2E9C-101B-9397-08002B2CF9AE}" pid="6" name="Sub-Sector">
    <vt:lpwstr>106;#PRIMARY EDUCATION|3c9aef6b-e3d8-4e56-bc3a-dd53e692346f</vt:lpwstr>
  </property>
  <property fmtid="{D5CDD505-2E9C-101B-9397-08002B2CF9AE}" pid="7" name="Fund IDB">
    <vt:lpwstr>33;#ORC|c028a4b2-ad8b-4cf4-9cac-a2ae6a778e23</vt:lpwstr>
  </property>
  <property fmtid="{D5CDD505-2E9C-101B-9397-08002B2CF9AE}" pid="8" name="Country">
    <vt:lpwstr>30;#Brazil|7deb27ec-6837-4974-9aa8-6cfbac841ef8</vt:lpwstr>
  </property>
  <property fmtid="{D5CDD505-2E9C-101B-9397-08002B2CF9AE}" pid="9" name="Sector IDB">
    <vt:lpwstr>83;#EDUCATION|e61db9d8-dcb9-423f-a737-53d6e603e7c4</vt:lpwstr>
  </property>
  <property fmtid="{D5CDD505-2E9C-101B-9397-08002B2CF9AE}" pid="10" name="Function Operations IDB">
    <vt:lpwstr>3;#Project Administration|751f71fd-1433-4702-a2db-ff12a4e45594</vt:lpwstr>
  </property>
  <property fmtid="{D5CDD505-2E9C-101B-9397-08002B2CF9AE}" pid="11" name="_dlc_DocIdItemGuid">
    <vt:lpwstr>81c4fa06-0cee-467a-bb9a-bfe1c4b78e9a</vt:lpwstr>
  </property>
  <property fmtid="{D5CDD505-2E9C-101B-9397-08002B2CF9AE}" pid="12" name="Disclosure Activity">
    <vt:lpwstr>Procurement Plan</vt:lpwstr>
  </property>
  <property fmtid="{D5CDD505-2E9C-101B-9397-08002B2CF9AE}" pid="13" name="ContentTypeId">
    <vt:lpwstr>0x0101001A458A224826124E8B45B1D613300CFC00581ECE252B20694B8E2D0AA76DC120B0</vt:lpwstr>
  </property>
</Properties>
</file>