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4355" windowHeight="5280"/>
  </bookViews>
  <sheets>
    <sheet name="Summary" sheetId="1" r:id="rId1"/>
    <sheet name="C1 Hub " sheetId="2" r:id="rId2"/>
    <sheet name="C2 Promotion" sheetId="3" r:id="rId3"/>
    <sheet name="C3 Regulatory" sheetId="4" r:id="rId4"/>
    <sheet name="M&amp;E" sheetId="5" r:id="rId5"/>
    <sheet name="Admin" sheetId="6" r:id="rId6"/>
  </sheets>
  <definedNames>
    <definedName name="_xlnm.Print_Area" localSheetId="1">'C1 Hub '!$B$1:$G$47</definedName>
    <definedName name="_xlnm.Print_Area" localSheetId="2">'C2 Promotion'!$B$1:$G$40</definedName>
    <definedName name="_xlnm.Print_Area" localSheetId="3">'C3 Regulatory'!$B$1:$G$31</definedName>
    <definedName name="_xlnm.Print_Area" localSheetId="4">'M&amp;E'!$B$1:$G$15</definedName>
    <definedName name="_xlnm.Print_Area" localSheetId="0">Summary!$A$2:$C$14</definedName>
  </definedNames>
  <calcPr calcId="145621"/>
</workbook>
</file>

<file path=xl/calcChain.xml><?xml version="1.0" encoding="utf-8"?>
<calcChain xmlns="http://schemas.openxmlformats.org/spreadsheetml/2006/main">
  <c r="G15" i="5" l="1"/>
  <c r="D9" i="5"/>
  <c r="C28" i="2" l="1"/>
  <c r="F35" i="2"/>
  <c r="G35" i="2"/>
  <c r="D27" i="2"/>
  <c r="F7" i="6"/>
  <c r="G7" i="6" s="1"/>
  <c r="F9" i="6"/>
  <c r="P9" i="6" s="1"/>
  <c r="Q9" i="6" s="1"/>
  <c r="D7" i="6"/>
  <c r="D8" i="6"/>
  <c r="F8" i="6" s="1"/>
  <c r="D9" i="6"/>
  <c r="D6" i="6"/>
  <c r="D10" i="6"/>
  <c r="F10" i="6" s="1"/>
  <c r="F6" i="6"/>
  <c r="N6" i="6" s="1"/>
  <c r="O6" i="6" s="1"/>
  <c r="S5" i="6"/>
  <c r="R5" i="6"/>
  <c r="P3" i="6"/>
  <c r="N3" i="6"/>
  <c r="L3" i="6"/>
  <c r="J3" i="6"/>
  <c r="H3" i="6"/>
  <c r="J8" i="2"/>
  <c r="K8" i="2" s="1"/>
  <c r="H8" i="2"/>
  <c r="I8" i="2" s="1"/>
  <c r="F8" i="2"/>
  <c r="N8" i="2" s="1"/>
  <c r="O8" i="2" s="1"/>
  <c r="G8" i="2"/>
  <c r="H7" i="4"/>
  <c r="R13" i="3"/>
  <c r="P13" i="3"/>
  <c r="N13" i="3"/>
  <c r="L13" i="3"/>
  <c r="J13" i="3"/>
  <c r="H13" i="3"/>
  <c r="C13" i="3"/>
  <c r="F7" i="2"/>
  <c r="N7" i="2" s="1"/>
  <c r="O7" i="2" s="1"/>
  <c r="F7" i="4"/>
  <c r="G7" i="4" s="1"/>
  <c r="Q7" i="4"/>
  <c r="O7" i="4"/>
  <c r="M7" i="4"/>
  <c r="K7" i="4"/>
  <c r="I7" i="4"/>
  <c r="R6" i="4"/>
  <c r="R7" i="4"/>
  <c r="R8" i="4"/>
  <c r="R9" i="4"/>
  <c r="R10" i="4"/>
  <c r="R11" i="4"/>
  <c r="R12" i="4"/>
  <c r="D24" i="2"/>
  <c r="D23" i="2"/>
  <c r="C21" i="2"/>
  <c r="D21" i="2"/>
  <c r="D20" i="2"/>
  <c r="J9" i="6" l="1"/>
  <c r="K9" i="6" s="1"/>
  <c r="L9" i="6"/>
  <c r="M9" i="6" s="1"/>
  <c r="G10" i="6"/>
  <c r="N10" i="6"/>
  <c r="O10" i="6" s="1"/>
  <c r="L10" i="6"/>
  <c r="M10" i="6" s="1"/>
  <c r="J10" i="6"/>
  <c r="K10" i="6" s="1"/>
  <c r="P10" i="6"/>
  <c r="Q10" i="6" s="1"/>
  <c r="H10" i="6"/>
  <c r="J8" i="6"/>
  <c r="K8" i="6" s="1"/>
  <c r="P8" i="6"/>
  <c r="Q8" i="6" s="1"/>
  <c r="H8" i="6"/>
  <c r="I8" i="6" s="1"/>
  <c r="N8" i="6"/>
  <c r="O8" i="6" s="1"/>
  <c r="L8" i="6"/>
  <c r="M8" i="6" s="1"/>
  <c r="N7" i="6"/>
  <c r="O7" i="6" s="1"/>
  <c r="P6" i="6"/>
  <c r="Q6" i="6" s="1"/>
  <c r="H7" i="6"/>
  <c r="I7" i="6" s="1"/>
  <c r="J6" i="6"/>
  <c r="K6" i="6" s="1"/>
  <c r="P7" i="6"/>
  <c r="Q7" i="6" s="1"/>
  <c r="G6" i="6"/>
  <c r="J7" i="6"/>
  <c r="L6" i="6"/>
  <c r="M6" i="6" s="1"/>
  <c r="N9" i="6"/>
  <c r="O9" i="6" s="1"/>
  <c r="G9" i="6"/>
  <c r="H6" i="6"/>
  <c r="H9" i="6"/>
  <c r="L7" i="6"/>
  <c r="M7" i="6" s="1"/>
  <c r="P7" i="2"/>
  <c r="Q7" i="2" s="1"/>
  <c r="H7" i="2"/>
  <c r="I7" i="2" s="1"/>
  <c r="J7" i="2"/>
  <c r="K7" i="2" s="1"/>
  <c r="L8" i="2"/>
  <c r="M8" i="2" s="1"/>
  <c r="G7" i="2"/>
  <c r="L7" i="2"/>
  <c r="M7" i="2" s="1"/>
  <c r="P8" i="2"/>
  <c r="Q8" i="2" s="1"/>
  <c r="R7" i="2"/>
  <c r="G8" i="6"/>
  <c r="I6" i="6" l="1"/>
  <c r="R6" i="6"/>
  <c r="R7" i="6"/>
  <c r="K7" i="6"/>
  <c r="R8" i="6"/>
  <c r="R10" i="6"/>
  <c r="I10" i="6"/>
  <c r="S10" i="6" s="1"/>
  <c r="I9" i="6"/>
  <c r="R9" i="6"/>
  <c r="R8" i="2"/>
  <c r="S6" i="6"/>
  <c r="C14" i="2" l="1"/>
  <c r="D13" i="2"/>
  <c r="D12" i="2"/>
  <c r="D11" i="2"/>
  <c r="D10" i="2"/>
  <c r="C10" i="2"/>
  <c r="D9" i="2"/>
  <c r="C9" i="2"/>
  <c r="Q34" i="2"/>
  <c r="O34" i="2"/>
  <c r="M34" i="2"/>
  <c r="K34" i="2"/>
  <c r="F34" i="2"/>
  <c r="H34" i="2" s="1"/>
  <c r="R34" i="2" s="1"/>
  <c r="R25" i="2"/>
  <c r="Q28" i="2"/>
  <c r="K28" i="2"/>
  <c r="I28" i="2"/>
  <c r="C27" i="2"/>
  <c r="G34" i="2" l="1"/>
  <c r="I34" i="2"/>
  <c r="P29" i="3"/>
  <c r="N29" i="3"/>
  <c r="L29" i="3"/>
  <c r="N22" i="4" l="1"/>
  <c r="O22" i="4" s="1"/>
  <c r="P20" i="4"/>
  <c r="P21" i="4"/>
  <c r="N20" i="4"/>
  <c r="N21" i="4"/>
  <c r="L20" i="4"/>
  <c r="M20" i="4" s="1"/>
  <c r="L21" i="4"/>
  <c r="J20" i="4"/>
  <c r="J21" i="4"/>
  <c r="K21" i="4" s="1"/>
  <c r="H20" i="4"/>
  <c r="H21" i="4"/>
  <c r="P19" i="4"/>
  <c r="N19" i="4"/>
  <c r="O19" i="4" s="1"/>
  <c r="L19" i="4"/>
  <c r="M19" i="4" s="1"/>
  <c r="J19" i="4"/>
  <c r="K19" i="4" s="1"/>
  <c r="H19" i="4"/>
  <c r="L18" i="4"/>
  <c r="J18" i="4"/>
  <c r="H18" i="4"/>
  <c r="J16" i="4"/>
  <c r="K16" i="4" s="1"/>
  <c r="J15" i="4"/>
  <c r="J14" i="4"/>
  <c r="P12" i="4"/>
  <c r="Q12" i="4" s="1"/>
  <c r="P11" i="4"/>
  <c r="Q11" i="4" s="1"/>
  <c r="N12" i="4"/>
  <c r="N23" i="4" s="1"/>
  <c r="N11" i="4"/>
  <c r="L12" i="4"/>
  <c r="L11" i="4"/>
  <c r="J12" i="4"/>
  <c r="K12" i="4" s="1"/>
  <c r="J11" i="4"/>
  <c r="H12" i="4"/>
  <c r="H11" i="4"/>
  <c r="I11" i="4" s="1"/>
  <c r="P10" i="4"/>
  <c r="Q10" i="4" s="1"/>
  <c r="N10" i="4"/>
  <c r="O10" i="4" s="1"/>
  <c r="L10" i="4"/>
  <c r="M10" i="4" s="1"/>
  <c r="J10" i="4"/>
  <c r="H10" i="4"/>
  <c r="R13" i="4"/>
  <c r="R17" i="4"/>
  <c r="P23" i="4"/>
  <c r="Q22" i="4"/>
  <c r="Q21" i="4"/>
  <c r="Q20" i="4"/>
  <c r="Q19" i="4"/>
  <c r="Q18" i="4"/>
  <c r="Q16" i="4"/>
  <c r="Q15" i="4"/>
  <c r="Q14" i="4"/>
  <c r="Q8" i="4"/>
  <c r="Q6" i="4"/>
  <c r="O21" i="4"/>
  <c r="O20" i="4"/>
  <c r="O18" i="4"/>
  <c r="O16" i="4"/>
  <c r="O15" i="4"/>
  <c r="O14" i="4"/>
  <c r="O12" i="4"/>
  <c r="O11" i="4"/>
  <c r="O8" i="4"/>
  <c r="O6" i="4"/>
  <c r="M22" i="4"/>
  <c r="M21" i="4"/>
  <c r="M18" i="4"/>
  <c r="M16" i="4"/>
  <c r="M15" i="4"/>
  <c r="M14" i="4"/>
  <c r="M12" i="4"/>
  <c r="M11" i="4"/>
  <c r="M8" i="4"/>
  <c r="M6" i="4"/>
  <c r="K22" i="4"/>
  <c r="K20" i="4"/>
  <c r="K18" i="4"/>
  <c r="K15" i="4"/>
  <c r="K14" i="4"/>
  <c r="K11" i="4"/>
  <c r="K10" i="4"/>
  <c r="I22" i="4"/>
  <c r="I21" i="4"/>
  <c r="I20" i="4"/>
  <c r="I19" i="4"/>
  <c r="I18" i="4"/>
  <c r="I16" i="4"/>
  <c r="I15" i="4"/>
  <c r="I14" i="4"/>
  <c r="I12" i="4"/>
  <c r="I10" i="4"/>
  <c r="R12" i="5"/>
  <c r="Q17" i="2"/>
  <c r="O17" i="2"/>
  <c r="M17" i="2"/>
  <c r="K17" i="2"/>
  <c r="F17" i="2"/>
  <c r="G17" i="2" s="1"/>
  <c r="F24" i="2"/>
  <c r="D12" i="4"/>
  <c r="C12" i="4"/>
  <c r="D15" i="4"/>
  <c r="J28" i="3"/>
  <c r="H28" i="3"/>
  <c r="Q28" i="3"/>
  <c r="P28" i="3"/>
  <c r="N28" i="3"/>
  <c r="O28" i="3" s="1"/>
  <c r="M28" i="3"/>
  <c r="L28" i="3"/>
  <c r="K28" i="3"/>
  <c r="I28" i="3"/>
  <c r="P27" i="3"/>
  <c r="N27" i="3"/>
  <c r="L27" i="3"/>
  <c r="J27" i="3"/>
  <c r="H27" i="3"/>
  <c r="F28" i="3"/>
  <c r="G28" i="3" s="1"/>
  <c r="S11" i="5"/>
  <c r="R11" i="5"/>
  <c r="S7" i="5"/>
  <c r="R7" i="5"/>
  <c r="P26" i="3"/>
  <c r="N26" i="3"/>
  <c r="L26" i="3"/>
  <c r="J26" i="3"/>
  <c r="P25" i="3"/>
  <c r="N25" i="3"/>
  <c r="L25" i="3"/>
  <c r="J25" i="3"/>
  <c r="J23" i="3"/>
  <c r="K23" i="3" s="1"/>
  <c r="H23" i="3"/>
  <c r="I23" i="3" s="1"/>
  <c r="H22" i="3"/>
  <c r="P20" i="3"/>
  <c r="N20" i="3"/>
  <c r="L20" i="3"/>
  <c r="J20" i="3"/>
  <c r="H20" i="3"/>
  <c r="N19" i="3"/>
  <c r="J19" i="3"/>
  <c r="P17" i="3"/>
  <c r="N17" i="3"/>
  <c r="L17" i="3"/>
  <c r="L16" i="3"/>
  <c r="M16" i="3" s="1"/>
  <c r="P16" i="3"/>
  <c r="Q16" i="3" s="1"/>
  <c r="N16" i="3"/>
  <c r="O16" i="3" s="1"/>
  <c r="J16" i="3"/>
  <c r="K16" i="3" s="1"/>
  <c r="I16" i="3"/>
  <c r="M23" i="3"/>
  <c r="O23" i="3"/>
  <c r="Q23" i="3"/>
  <c r="F23" i="3"/>
  <c r="G23" i="3" s="1"/>
  <c r="D20" i="3"/>
  <c r="D19" i="3"/>
  <c r="F16" i="3"/>
  <c r="G16" i="3" s="1"/>
  <c r="D17" i="3"/>
  <c r="D15" i="3"/>
  <c r="C15" i="3"/>
  <c r="D15" i="2"/>
  <c r="C15" i="2"/>
  <c r="F15" i="2" s="1"/>
  <c r="I15" i="2"/>
  <c r="I14" i="2"/>
  <c r="D14" i="2"/>
  <c r="H17" i="2" l="1"/>
  <c r="R17" i="2" s="1"/>
  <c r="F14" i="2"/>
  <c r="G14" i="2" s="1"/>
  <c r="L23" i="4"/>
  <c r="M23" i="4"/>
  <c r="Q23" i="4"/>
  <c r="O23" i="4"/>
  <c r="N24" i="2"/>
  <c r="O24" i="2" s="1"/>
  <c r="G24" i="2"/>
  <c r="J24" i="2"/>
  <c r="K24" i="2" s="1"/>
  <c r="H24" i="2"/>
  <c r="I24" i="2" s="1"/>
  <c r="P24" i="2"/>
  <c r="Q24" i="2" s="1"/>
  <c r="L24" i="2"/>
  <c r="M24" i="2" s="1"/>
  <c r="R23" i="3"/>
  <c r="N15" i="2"/>
  <c r="O15" i="2" s="1"/>
  <c r="L15" i="2"/>
  <c r="M15" i="2" s="1"/>
  <c r="G15" i="2"/>
  <c r="J15" i="2"/>
  <c r="P15" i="2"/>
  <c r="Q15" i="2" s="1"/>
  <c r="F11" i="3"/>
  <c r="L11" i="3" s="1"/>
  <c r="R12" i="3"/>
  <c r="R18" i="3"/>
  <c r="R21" i="3"/>
  <c r="K6" i="3"/>
  <c r="Q27" i="3"/>
  <c r="Q26" i="3"/>
  <c r="Q25" i="3"/>
  <c r="Q24" i="3"/>
  <c r="Q22" i="3"/>
  <c r="Q20" i="3"/>
  <c r="Q19" i="3"/>
  <c r="Q17" i="3"/>
  <c r="Q15" i="3"/>
  <c r="Q14" i="3"/>
  <c r="Q13" i="3"/>
  <c r="Q29" i="3" s="1"/>
  <c r="Q7" i="3"/>
  <c r="Q6" i="3"/>
  <c r="O27" i="3"/>
  <c r="O26" i="3"/>
  <c r="O25" i="3"/>
  <c r="O24" i="3"/>
  <c r="O22" i="3"/>
  <c r="O20" i="3"/>
  <c r="O19" i="3"/>
  <c r="O17" i="3"/>
  <c r="O15" i="3"/>
  <c r="O14" i="3"/>
  <c r="O13" i="3"/>
  <c r="O29" i="3" s="1"/>
  <c r="O7" i="3"/>
  <c r="O6" i="3"/>
  <c r="M27" i="3"/>
  <c r="M26" i="3"/>
  <c r="M25" i="3"/>
  <c r="M24" i="3"/>
  <c r="M22" i="3"/>
  <c r="M20" i="3"/>
  <c r="M19" i="3"/>
  <c r="M17" i="3"/>
  <c r="M15" i="3"/>
  <c r="M14" i="3"/>
  <c r="M13" i="3"/>
  <c r="M29" i="3" s="1"/>
  <c r="M7" i="3"/>
  <c r="M6" i="3"/>
  <c r="K27" i="3"/>
  <c r="K26" i="3"/>
  <c r="K25" i="3"/>
  <c r="K22" i="3"/>
  <c r="K20" i="3"/>
  <c r="K19" i="3"/>
  <c r="K17" i="3"/>
  <c r="K7" i="3"/>
  <c r="I27" i="3"/>
  <c r="I26" i="3"/>
  <c r="I25" i="3"/>
  <c r="I24" i="3"/>
  <c r="I22" i="3"/>
  <c r="I20" i="3"/>
  <c r="I19" i="3"/>
  <c r="I17" i="3"/>
  <c r="F10" i="3"/>
  <c r="N10" i="3" s="1"/>
  <c r="O10" i="3" s="1"/>
  <c r="D8" i="3"/>
  <c r="F8" i="3" s="1"/>
  <c r="F6" i="2"/>
  <c r="G6" i="2" s="1"/>
  <c r="F18" i="2"/>
  <c r="G18" i="2" s="1"/>
  <c r="F26" i="2"/>
  <c r="F7" i="3"/>
  <c r="G7" i="3" s="1"/>
  <c r="F6" i="3"/>
  <c r="K31" i="2"/>
  <c r="K32" i="2"/>
  <c r="K33" i="2"/>
  <c r="M31" i="2"/>
  <c r="M32" i="2"/>
  <c r="M33" i="2"/>
  <c r="O31" i="2"/>
  <c r="O32" i="2"/>
  <c r="O33" i="2"/>
  <c r="Q31" i="2"/>
  <c r="Q32" i="2"/>
  <c r="Q33" i="2"/>
  <c r="K30" i="2"/>
  <c r="M30" i="2"/>
  <c r="O30" i="2"/>
  <c r="Q30" i="2"/>
  <c r="F30" i="2"/>
  <c r="G30" i="2" s="1"/>
  <c r="F33" i="2"/>
  <c r="G33" i="2" s="1"/>
  <c r="F31" i="2"/>
  <c r="H31" i="2" s="1"/>
  <c r="R31" i="2" s="1"/>
  <c r="R16" i="2"/>
  <c r="Q29" i="2"/>
  <c r="Q27" i="2"/>
  <c r="O29" i="2"/>
  <c r="O27" i="2"/>
  <c r="M29" i="2"/>
  <c r="K29" i="2"/>
  <c r="Q8" i="5"/>
  <c r="O14" i="5"/>
  <c r="O13" i="5"/>
  <c r="O12" i="5"/>
  <c r="O8" i="5"/>
  <c r="M14" i="5"/>
  <c r="M13" i="5"/>
  <c r="M12" i="5"/>
  <c r="M8" i="5"/>
  <c r="K14" i="5"/>
  <c r="K13" i="5"/>
  <c r="K12" i="5"/>
  <c r="K8" i="5"/>
  <c r="I14" i="5"/>
  <c r="I13" i="5"/>
  <c r="I12" i="5"/>
  <c r="L7" i="1"/>
  <c r="M7" i="1" s="1"/>
  <c r="J7" i="1"/>
  <c r="K7" i="1" s="1"/>
  <c r="H7" i="1"/>
  <c r="I7" i="1" s="1"/>
  <c r="P3" i="5"/>
  <c r="N3" i="5"/>
  <c r="P3" i="4"/>
  <c r="N3" i="4"/>
  <c r="P3" i="3"/>
  <c r="N3" i="3"/>
  <c r="H3" i="3"/>
  <c r="J3" i="3"/>
  <c r="L3" i="3"/>
  <c r="H3" i="4"/>
  <c r="J3" i="4"/>
  <c r="L3" i="4"/>
  <c r="H3" i="5"/>
  <c r="J3" i="5"/>
  <c r="L3" i="5"/>
  <c r="P3" i="2"/>
  <c r="N3" i="2"/>
  <c r="J3" i="2"/>
  <c r="L3" i="2"/>
  <c r="I17" i="2" l="1"/>
  <c r="R15" i="2"/>
  <c r="Q26" i="2"/>
  <c r="H26" i="2"/>
  <c r="J26" i="2"/>
  <c r="K26" i="2" s="1"/>
  <c r="P14" i="2"/>
  <c r="Q14" i="2" s="1"/>
  <c r="N14" i="2"/>
  <c r="O14" i="2" s="1"/>
  <c r="L14" i="2"/>
  <c r="M14" i="2" s="1"/>
  <c r="H6" i="2"/>
  <c r="J14" i="2"/>
  <c r="R24" i="2"/>
  <c r="N11" i="3"/>
  <c r="H10" i="3"/>
  <c r="I10" i="3" s="1"/>
  <c r="G11" i="3"/>
  <c r="G6" i="3"/>
  <c r="P10" i="3"/>
  <c r="Q10" i="3" s="1"/>
  <c r="H6" i="3"/>
  <c r="I6" i="3" s="1"/>
  <c r="P8" i="3"/>
  <c r="Q8" i="3" s="1"/>
  <c r="H8" i="3"/>
  <c r="I8" i="3" s="1"/>
  <c r="G8" i="3"/>
  <c r="J8" i="3"/>
  <c r="K8" i="3" s="1"/>
  <c r="N8" i="3"/>
  <c r="O8" i="3" s="1"/>
  <c r="L8" i="3"/>
  <c r="M8" i="3" s="1"/>
  <c r="J10" i="3"/>
  <c r="K10" i="3" s="1"/>
  <c r="H11" i="3"/>
  <c r="I11" i="3" s="1"/>
  <c r="P11" i="3"/>
  <c r="Q11" i="3" s="1"/>
  <c r="G10" i="3"/>
  <c r="L10" i="3"/>
  <c r="M10" i="3" s="1"/>
  <c r="J11" i="3"/>
  <c r="K11" i="3" s="1"/>
  <c r="H7" i="3"/>
  <c r="I7" i="3" s="1"/>
  <c r="R7" i="3" s="1"/>
  <c r="K15" i="2"/>
  <c r="L18" i="2"/>
  <c r="M26" i="2"/>
  <c r="N18" i="2"/>
  <c r="H30" i="2"/>
  <c r="R30" i="2" s="1"/>
  <c r="O26" i="2"/>
  <c r="H18" i="2"/>
  <c r="P18" i="2"/>
  <c r="G26" i="2"/>
  <c r="J18" i="2"/>
  <c r="F9" i="3"/>
  <c r="L6" i="2"/>
  <c r="M6" i="2" s="1"/>
  <c r="N6" i="2"/>
  <c r="O6" i="2" s="1"/>
  <c r="P6" i="2"/>
  <c r="Q6" i="2" s="1"/>
  <c r="J6" i="2"/>
  <c r="K6" i="2" s="1"/>
  <c r="I26" i="2"/>
  <c r="G31" i="2"/>
  <c r="I31" i="2"/>
  <c r="H33" i="2"/>
  <c r="R33" i="2" s="1"/>
  <c r="R26" i="2" l="1"/>
  <c r="K14" i="2"/>
  <c r="R14" i="2"/>
  <c r="I6" i="2"/>
  <c r="R6" i="2"/>
  <c r="I30" i="2"/>
  <c r="R18" i="2"/>
  <c r="I18" i="2"/>
  <c r="I33" i="2"/>
  <c r="R6" i="3"/>
  <c r="R10" i="3"/>
  <c r="R8" i="3"/>
  <c r="N9" i="3"/>
  <c r="J6" i="1" s="1"/>
  <c r="K6" i="1" s="1"/>
  <c r="J9" i="3"/>
  <c r="K9" i="3" s="1"/>
  <c r="P9" i="3"/>
  <c r="L6" i="1" s="1"/>
  <c r="M6" i="1" s="1"/>
  <c r="L9" i="3"/>
  <c r="H9" i="3"/>
  <c r="I9" i="3" s="1"/>
  <c r="O11" i="3"/>
  <c r="M11" i="3"/>
  <c r="G9" i="3"/>
  <c r="K18" i="2"/>
  <c r="O18" i="2"/>
  <c r="M18" i="2"/>
  <c r="Q18" i="2"/>
  <c r="O9" i="3" l="1"/>
  <c r="Q9" i="3"/>
  <c r="H6" i="1"/>
  <c r="I6" i="1" s="1"/>
  <c r="M9" i="3"/>
  <c r="R11" i="3"/>
  <c r="R9" i="3" l="1"/>
  <c r="F12" i="5"/>
  <c r="P12" i="5" s="1"/>
  <c r="F8" i="5"/>
  <c r="F6" i="5"/>
  <c r="G6" i="5" l="1"/>
  <c r="N6" i="5"/>
  <c r="L6" i="5"/>
  <c r="J6" i="5"/>
  <c r="P6" i="5"/>
  <c r="H6" i="5"/>
  <c r="Q12" i="5"/>
  <c r="H8" i="5"/>
  <c r="I8" i="5" s="1"/>
  <c r="G12" i="5"/>
  <c r="S12" i="5" s="1"/>
  <c r="M6" i="5" l="1"/>
  <c r="R6" i="5"/>
  <c r="I6" i="5"/>
  <c r="O6" i="5"/>
  <c r="S6" i="5" s="1"/>
  <c r="R8" i="5"/>
  <c r="Q6" i="5"/>
  <c r="K6" i="5"/>
  <c r="F22" i="4"/>
  <c r="R22" i="4" s="1"/>
  <c r="D8" i="4"/>
  <c r="F15" i="4"/>
  <c r="F14" i="4"/>
  <c r="D18" i="4"/>
  <c r="F18" i="4" s="1"/>
  <c r="C16" i="4"/>
  <c r="C8" i="4"/>
  <c r="D21" i="4"/>
  <c r="F21" i="4" s="1"/>
  <c r="D20" i="4"/>
  <c r="F20" i="4" s="1"/>
  <c r="F12" i="2"/>
  <c r="D19" i="4"/>
  <c r="F19" i="4" s="1"/>
  <c r="D11" i="4"/>
  <c r="F11" i="4" s="1"/>
  <c r="D25" i="3"/>
  <c r="F25" i="3" s="1"/>
  <c r="G25" i="3" s="1"/>
  <c r="R25" i="3" s="1"/>
  <c r="F20" i="3"/>
  <c r="G20" i="3" s="1"/>
  <c r="R20" i="3" s="1"/>
  <c r="D27" i="3"/>
  <c r="F27" i="3" s="1"/>
  <c r="G27" i="3" s="1"/>
  <c r="R27" i="3" s="1"/>
  <c r="D26" i="3"/>
  <c r="F22" i="3"/>
  <c r="G22" i="3" s="1"/>
  <c r="R22" i="3" s="1"/>
  <c r="D14" i="3"/>
  <c r="F15" i="3" s="1"/>
  <c r="F24" i="3"/>
  <c r="C26" i="3"/>
  <c r="F19" i="3"/>
  <c r="G19" i="3" s="1"/>
  <c r="R19" i="3" s="1"/>
  <c r="F17" i="3"/>
  <c r="G17" i="3" s="1"/>
  <c r="R17" i="3" s="1"/>
  <c r="F13" i="3"/>
  <c r="F29" i="3" s="1"/>
  <c r="F27" i="2"/>
  <c r="F19" i="2"/>
  <c r="F23" i="2"/>
  <c r="D22" i="2"/>
  <c r="F22" i="2" s="1"/>
  <c r="G22" i="2" s="1"/>
  <c r="F20" i="2"/>
  <c r="F13" i="2"/>
  <c r="F11" i="2"/>
  <c r="F29" i="2"/>
  <c r="F32" i="2"/>
  <c r="H3" i="2"/>
  <c r="G8" i="5"/>
  <c r="S8" i="5" s="1"/>
  <c r="F9" i="5"/>
  <c r="F10" i="5"/>
  <c r="F14" i="5"/>
  <c r="F13" i="5"/>
  <c r="F6" i="4"/>
  <c r="L27" i="2" l="1"/>
  <c r="M27" i="2" s="1"/>
  <c r="J27" i="2"/>
  <c r="K27" i="2" s="1"/>
  <c r="H27" i="2"/>
  <c r="I27" i="2" s="1"/>
  <c r="F28" i="2"/>
  <c r="N28" i="2" s="1"/>
  <c r="O28" i="2" s="1"/>
  <c r="G22" i="4"/>
  <c r="J6" i="4"/>
  <c r="H6" i="4"/>
  <c r="G11" i="4"/>
  <c r="G19" i="4"/>
  <c r="R19" i="4"/>
  <c r="G20" i="4"/>
  <c r="R20" i="4"/>
  <c r="G18" i="4"/>
  <c r="R18" i="4"/>
  <c r="G21" i="4"/>
  <c r="R21" i="4"/>
  <c r="G14" i="4"/>
  <c r="R14" i="4"/>
  <c r="G15" i="4"/>
  <c r="R15" i="4"/>
  <c r="G6" i="4"/>
  <c r="F12" i="4"/>
  <c r="D10" i="4"/>
  <c r="F10" i="4" s="1"/>
  <c r="G13" i="5"/>
  <c r="P13" i="5"/>
  <c r="G14" i="5"/>
  <c r="P14" i="5"/>
  <c r="G10" i="5"/>
  <c r="H10" i="5"/>
  <c r="L10" i="5"/>
  <c r="M10" i="5" s="1"/>
  <c r="J10" i="5"/>
  <c r="K10" i="5" s="1"/>
  <c r="P10" i="5"/>
  <c r="Q10" i="5" s="1"/>
  <c r="N10" i="5"/>
  <c r="O10" i="5" s="1"/>
  <c r="G9" i="5"/>
  <c r="J9" i="5"/>
  <c r="N9" i="5"/>
  <c r="L9" i="5"/>
  <c r="P9" i="5"/>
  <c r="H9" i="5"/>
  <c r="F15" i="5"/>
  <c r="G24" i="3"/>
  <c r="R24" i="3" s="1"/>
  <c r="J24" i="3"/>
  <c r="K24" i="3" s="1"/>
  <c r="G15" i="3"/>
  <c r="J15" i="3"/>
  <c r="K15" i="3" s="1"/>
  <c r="H15" i="3"/>
  <c r="I15" i="3" s="1"/>
  <c r="G13" i="3"/>
  <c r="G29" i="3" s="1"/>
  <c r="J29" i="3"/>
  <c r="H29" i="3"/>
  <c r="D6" i="1" s="1"/>
  <c r="F10" i="2"/>
  <c r="N10" i="2" s="1"/>
  <c r="O10" i="2" s="1"/>
  <c r="G12" i="2"/>
  <c r="P12" i="2"/>
  <c r="Q12" i="2" s="1"/>
  <c r="N12" i="2"/>
  <c r="O12" i="2" s="1"/>
  <c r="L12" i="2"/>
  <c r="M12" i="2" s="1"/>
  <c r="J12" i="2"/>
  <c r="K12" i="2" s="1"/>
  <c r="H12" i="2"/>
  <c r="G23" i="2"/>
  <c r="N23" i="2"/>
  <c r="O23" i="2" s="1"/>
  <c r="J23" i="2"/>
  <c r="K23" i="2" s="1"/>
  <c r="P23" i="2"/>
  <c r="Q23" i="2" s="1"/>
  <c r="L23" i="2"/>
  <c r="M23" i="2" s="1"/>
  <c r="H23" i="2"/>
  <c r="I23" i="2" s="1"/>
  <c r="G19" i="2"/>
  <c r="P19" i="2"/>
  <c r="Q19" i="2" s="1"/>
  <c r="L19" i="2"/>
  <c r="M19" i="2" s="1"/>
  <c r="H19" i="2"/>
  <c r="N19" i="2"/>
  <c r="O19" i="2" s="1"/>
  <c r="J19" i="2"/>
  <c r="K19" i="2" s="1"/>
  <c r="G11" i="2"/>
  <c r="P11" i="2"/>
  <c r="Q11" i="2" s="1"/>
  <c r="N11" i="2"/>
  <c r="O11" i="2" s="1"/>
  <c r="L11" i="2"/>
  <c r="M11" i="2" s="1"/>
  <c r="J11" i="2"/>
  <c r="K11" i="2" s="1"/>
  <c r="H11" i="2"/>
  <c r="G27" i="2"/>
  <c r="N20" i="2"/>
  <c r="O20" i="2" s="1"/>
  <c r="J20" i="2"/>
  <c r="K20" i="2" s="1"/>
  <c r="P20" i="2"/>
  <c r="Q20" i="2" s="1"/>
  <c r="L20" i="2"/>
  <c r="M20" i="2" s="1"/>
  <c r="H20" i="2"/>
  <c r="I20" i="2" s="1"/>
  <c r="G13" i="2"/>
  <c r="P13" i="2"/>
  <c r="Q13" i="2" s="1"/>
  <c r="N13" i="2"/>
  <c r="O13" i="2" s="1"/>
  <c r="L13" i="2"/>
  <c r="M13" i="2" s="1"/>
  <c r="J13" i="2"/>
  <c r="K13" i="2" s="1"/>
  <c r="H13" i="2"/>
  <c r="P22" i="2"/>
  <c r="Q22" i="2" s="1"/>
  <c r="L22" i="2"/>
  <c r="M22" i="2" s="1"/>
  <c r="H22" i="2"/>
  <c r="N22" i="2"/>
  <c r="O22" i="2" s="1"/>
  <c r="J22" i="2"/>
  <c r="K22" i="2" s="1"/>
  <c r="G32" i="2"/>
  <c r="H32" i="2"/>
  <c r="R32" i="2" s="1"/>
  <c r="G29" i="2"/>
  <c r="H29" i="2"/>
  <c r="R29" i="2" s="1"/>
  <c r="G20" i="2"/>
  <c r="D16" i="4"/>
  <c r="F16" i="4" s="1"/>
  <c r="F8" i="4"/>
  <c r="F21" i="2"/>
  <c r="F26" i="3"/>
  <c r="G26" i="3" s="1"/>
  <c r="R26" i="3" s="1"/>
  <c r="F14" i="3"/>
  <c r="F9" i="2"/>
  <c r="R13" i="2" l="1"/>
  <c r="R27" i="2"/>
  <c r="R11" i="2"/>
  <c r="R12" i="2"/>
  <c r="G28" i="2"/>
  <c r="F36" i="2"/>
  <c r="G36" i="2" s="1"/>
  <c r="G8" i="4"/>
  <c r="J8" i="4"/>
  <c r="K8" i="4" s="1"/>
  <c r="H8" i="4"/>
  <c r="H23" i="4" s="1"/>
  <c r="G12" i="4"/>
  <c r="G16" i="4"/>
  <c r="R16" i="4"/>
  <c r="K6" i="4"/>
  <c r="G10" i="4"/>
  <c r="I6" i="4"/>
  <c r="F23" i="4"/>
  <c r="G23" i="4" s="1"/>
  <c r="Q9" i="5"/>
  <c r="P15" i="5"/>
  <c r="M9" i="5"/>
  <c r="L15" i="5"/>
  <c r="R10" i="5"/>
  <c r="I10" i="5"/>
  <c r="R13" i="5"/>
  <c r="Q13" i="5"/>
  <c r="O9" i="5"/>
  <c r="N15" i="5"/>
  <c r="S10" i="5"/>
  <c r="S13" i="5"/>
  <c r="I9" i="5"/>
  <c r="R9" i="5"/>
  <c r="H15" i="5"/>
  <c r="K9" i="5"/>
  <c r="J15" i="5"/>
  <c r="R14" i="5"/>
  <c r="Q14" i="5"/>
  <c r="S14" i="5" s="1"/>
  <c r="R15" i="3"/>
  <c r="G14" i="3"/>
  <c r="H14" i="3"/>
  <c r="I14" i="3" s="1"/>
  <c r="J14" i="3"/>
  <c r="K14" i="3" s="1"/>
  <c r="I13" i="3"/>
  <c r="I29" i="3" s="1"/>
  <c r="K13" i="3"/>
  <c r="K29" i="3" s="1"/>
  <c r="R29" i="3" s="1"/>
  <c r="J10" i="2"/>
  <c r="K10" i="2" s="1"/>
  <c r="L10" i="2"/>
  <c r="M10" i="2" s="1"/>
  <c r="P10" i="2"/>
  <c r="Q10" i="2" s="1"/>
  <c r="H10" i="2"/>
  <c r="G10" i="2"/>
  <c r="R20" i="2"/>
  <c r="I22" i="2"/>
  <c r="R22" i="2"/>
  <c r="I13" i="2"/>
  <c r="R23" i="2"/>
  <c r="I11" i="2"/>
  <c r="R19" i="2"/>
  <c r="I19" i="2"/>
  <c r="I12" i="2"/>
  <c r="G21" i="2"/>
  <c r="P21" i="2"/>
  <c r="Q21" i="2" s="1"/>
  <c r="L21" i="2"/>
  <c r="M21" i="2" s="1"/>
  <c r="H21" i="2"/>
  <c r="N21" i="2"/>
  <c r="O21" i="2" s="1"/>
  <c r="J21" i="2"/>
  <c r="K21" i="2" s="1"/>
  <c r="H9" i="2"/>
  <c r="G9" i="2"/>
  <c r="N9" i="2"/>
  <c r="L9" i="2"/>
  <c r="J9" i="2"/>
  <c r="P9" i="2"/>
  <c r="P35" i="2"/>
  <c r="H35" i="2"/>
  <c r="N35" i="2"/>
  <c r="L35" i="2"/>
  <c r="J35" i="2"/>
  <c r="I32" i="2"/>
  <c r="I29" i="2"/>
  <c r="B8" i="1"/>
  <c r="C8" i="1" s="1"/>
  <c r="S9" i="5" l="1"/>
  <c r="R35" i="2"/>
  <c r="H36" i="2"/>
  <c r="D5" i="1" s="1"/>
  <c r="I10" i="2"/>
  <c r="R10" i="2"/>
  <c r="R9" i="2"/>
  <c r="I35" i="2"/>
  <c r="R28" i="2"/>
  <c r="M28" i="2"/>
  <c r="K23" i="4"/>
  <c r="D7" i="1"/>
  <c r="E7" i="1" s="1"/>
  <c r="J23" i="4"/>
  <c r="F7" i="1" s="1"/>
  <c r="G7" i="1" s="1"/>
  <c r="I8" i="4"/>
  <c r="I23" i="4" s="1"/>
  <c r="B7" i="1"/>
  <c r="M15" i="5"/>
  <c r="H8" i="1"/>
  <c r="I8" i="1" s="1"/>
  <c r="Q15" i="5"/>
  <c r="L8" i="1"/>
  <c r="M8" i="1" s="1"/>
  <c r="O15" i="5"/>
  <c r="J8" i="1"/>
  <c r="K8" i="1" s="1"/>
  <c r="K15" i="5"/>
  <c r="F8" i="1"/>
  <c r="G8" i="1" s="1"/>
  <c r="D8" i="1"/>
  <c r="E8" i="1" s="1"/>
  <c r="I15" i="5"/>
  <c r="R15" i="5"/>
  <c r="E6" i="1"/>
  <c r="F6" i="1"/>
  <c r="R14" i="3"/>
  <c r="R21" i="2"/>
  <c r="I21" i="2"/>
  <c r="K9" i="2"/>
  <c r="J36" i="2"/>
  <c r="M9" i="2"/>
  <c r="L36" i="2"/>
  <c r="I9" i="2"/>
  <c r="N36" i="2"/>
  <c r="O9" i="2"/>
  <c r="P36" i="2"/>
  <c r="Q9" i="2"/>
  <c r="M35" i="2"/>
  <c r="O35" i="2"/>
  <c r="K35" i="2"/>
  <c r="Q35" i="2"/>
  <c r="B5" i="1"/>
  <c r="C11" i="6" s="1"/>
  <c r="B6" i="1"/>
  <c r="C6" i="1" s="1"/>
  <c r="R36" i="2" l="1"/>
  <c r="F11" i="6"/>
  <c r="G6" i="1"/>
  <c r="N6" i="1"/>
  <c r="R23" i="4"/>
  <c r="I36" i="2"/>
  <c r="N7" i="1"/>
  <c r="C7" i="1"/>
  <c r="O7" i="1" s="1"/>
  <c r="S15" i="5"/>
  <c r="N8" i="1"/>
  <c r="O8" i="1"/>
  <c r="C5" i="1"/>
  <c r="E5" i="1"/>
  <c r="O6" i="1"/>
  <c r="M36" i="2"/>
  <c r="M37" i="2" s="1"/>
  <c r="Q36" i="2"/>
  <c r="Q37" i="2" s="1"/>
  <c r="K36" i="2"/>
  <c r="K37" i="2" s="1"/>
  <c r="O36" i="2"/>
  <c r="O37" i="2" s="1"/>
  <c r="J5" i="1"/>
  <c r="F5" i="1"/>
  <c r="H5" i="1"/>
  <c r="L5" i="1"/>
  <c r="G11" i="6" l="1"/>
  <c r="F12" i="6"/>
  <c r="G12" i="6" s="1"/>
  <c r="L11" i="6"/>
  <c r="L12" i="6" s="1"/>
  <c r="M12" i="6" s="1"/>
  <c r="P11" i="6"/>
  <c r="Q11" i="6" s="1"/>
  <c r="J11" i="6"/>
  <c r="K11" i="6" s="1"/>
  <c r="H11" i="6"/>
  <c r="N11" i="6"/>
  <c r="O11" i="6" s="1"/>
  <c r="S36" i="2"/>
  <c r="I37" i="2"/>
  <c r="N5" i="1"/>
  <c r="M5" i="1"/>
  <c r="G5" i="1"/>
  <c r="K5" i="1"/>
  <c r="I5" i="1"/>
  <c r="P12" i="6" l="1"/>
  <c r="Q12" i="6" s="1"/>
  <c r="N12" i="6"/>
  <c r="O12" i="6" s="1"/>
  <c r="M11" i="6"/>
  <c r="R11" i="6"/>
  <c r="H12" i="6"/>
  <c r="B9" i="1"/>
  <c r="C9" i="1" s="1"/>
  <c r="I11" i="6"/>
  <c r="J12" i="6"/>
  <c r="K12" i="6" s="1"/>
  <c r="I12" i="6"/>
  <c r="O5" i="1"/>
  <c r="S11" i="6" l="1"/>
  <c r="D9" i="1"/>
  <c r="D10" i="1" s="1"/>
  <c r="S12" i="6"/>
  <c r="R12" i="6"/>
  <c r="L9" i="1"/>
  <c r="M9" i="1" s="1"/>
  <c r="C10" i="1"/>
  <c r="B10" i="1"/>
  <c r="F9" i="1"/>
  <c r="F10" i="1" s="1"/>
  <c r="G10" i="1" s="1"/>
  <c r="H9" i="1"/>
  <c r="I9" i="1" s="1"/>
  <c r="J9" i="1"/>
  <c r="K9" i="1" s="1"/>
  <c r="E9" i="1"/>
  <c r="G9" i="1" l="1"/>
  <c r="O9" i="1" s="1"/>
  <c r="L10" i="1"/>
  <c r="M10" i="1" s="1"/>
  <c r="J10" i="1"/>
  <c r="K10" i="1" s="1"/>
  <c r="N9" i="1"/>
  <c r="H10" i="1"/>
  <c r="I10" i="1" s="1"/>
  <c r="E10" i="1"/>
  <c r="N10" i="1" l="1"/>
  <c r="O10" i="1"/>
</calcChain>
</file>

<file path=xl/sharedStrings.xml><?xml version="1.0" encoding="utf-8"?>
<sst xmlns="http://schemas.openxmlformats.org/spreadsheetml/2006/main" count="325" uniqueCount="163">
  <si>
    <t xml:space="preserve">*MONITORING AND EVALUATION </t>
  </si>
  <si>
    <t>USD</t>
  </si>
  <si>
    <t>TTD</t>
  </si>
  <si>
    <t xml:space="preserve">TOTAL </t>
  </si>
  <si>
    <t>GRAND TOTAL</t>
  </si>
  <si>
    <t>COST SUMMARY</t>
  </si>
  <si>
    <t>TT-L1038: ITEMIZED BUDGET</t>
  </si>
  <si>
    <t xml:space="preserve">REPRESENTATIVE MARKET RATE </t>
  </si>
  <si>
    <t>Q</t>
  </si>
  <si>
    <t>Subtotal USD</t>
  </si>
  <si>
    <t xml:space="preserve">Average Cost per unit </t>
  </si>
  <si>
    <t>Unit</t>
  </si>
  <si>
    <t xml:space="preserve">Sector Branding Campaign </t>
  </si>
  <si>
    <t xml:space="preserve">GRAND TOTAL </t>
  </si>
  <si>
    <t>Subtotal TTD</t>
  </si>
  <si>
    <t xml:space="preserve">TT-L1038: ITEMIZED BUDGET - Monitoring and Evaluation  </t>
  </si>
  <si>
    <t xml:space="preserve">AUDITING </t>
  </si>
  <si>
    <t>Representative Market Rate: 1 USD  =</t>
  </si>
  <si>
    <t>months</t>
  </si>
  <si>
    <t>contract</t>
  </si>
  <si>
    <t>weeks</t>
  </si>
  <si>
    <t>Flights and accomodation for overseas instructors</t>
  </si>
  <si>
    <t>trainings</t>
  </si>
  <si>
    <t>press runs</t>
  </si>
  <si>
    <t>courses</t>
  </si>
  <si>
    <t>Number of export readiness trainings per year</t>
  </si>
  <si>
    <t>Average export readiness training duration</t>
  </si>
  <si>
    <t>events</t>
  </si>
  <si>
    <t>campaigns</t>
  </si>
  <si>
    <t>trips</t>
  </si>
  <si>
    <t>Length of visit for mentorship</t>
  </si>
  <si>
    <t>Average mentor group size</t>
  </si>
  <si>
    <t>Mentorship/exchange programs per year</t>
  </si>
  <si>
    <t>Networking events per year</t>
  </si>
  <si>
    <t>Workshop facilitators</t>
  </si>
  <si>
    <t xml:space="preserve">Advertising </t>
  </si>
  <si>
    <t>Rental of technical equipment</t>
  </si>
  <si>
    <t>Training materials</t>
  </si>
  <si>
    <t>Travel expenses</t>
  </si>
  <si>
    <t>Number of consultations with stakeholders</t>
  </si>
  <si>
    <t>Travel expenses for international facilitators</t>
  </si>
  <si>
    <t xml:space="preserve"> contract</t>
  </si>
  <si>
    <t>Global services promotion forums</t>
  </si>
  <si>
    <t>Mentor travel expenses</t>
  </si>
  <si>
    <t>Printing and advertising expenses</t>
  </si>
  <si>
    <t>Materials development for mentor outreach</t>
  </si>
  <si>
    <t>consultancies</t>
  </si>
  <si>
    <t>Number of technical exchanges</t>
  </si>
  <si>
    <t>Logistics (equipment and materials)</t>
  </si>
  <si>
    <t>Facilitators</t>
  </si>
  <si>
    <t>Program materials</t>
  </si>
  <si>
    <t>Number of capacity-building programs for agencies</t>
  </si>
  <si>
    <t>Average number of international participants per technical exchange</t>
  </si>
  <si>
    <t>people</t>
  </si>
  <si>
    <t>Number of days per technical exchange</t>
  </si>
  <si>
    <t>days</t>
  </si>
  <si>
    <t>Flights and accomodation for international facilitators</t>
  </si>
  <si>
    <t>Equipment rental</t>
  </si>
  <si>
    <t>Consultancies for design of capacity building programs</t>
  </si>
  <si>
    <t>programs</t>
  </si>
  <si>
    <t>Consultancy for best practices study</t>
  </si>
  <si>
    <t>Analysis of policy and agency roles to support growth</t>
  </si>
  <si>
    <t>Roundtable facilitators</t>
  </si>
  <si>
    <t>Consultancy for revision of agency manuals</t>
  </si>
  <si>
    <t>consultancy</t>
  </si>
  <si>
    <t>Consultants to identify regulatory gaps</t>
  </si>
  <si>
    <t>Number of stakeholder roundtables on agency policy and roles</t>
  </si>
  <si>
    <t>Annual audits</t>
  </si>
  <si>
    <t>audits</t>
  </si>
  <si>
    <t xml:space="preserve">Study of policy improvements </t>
  </si>
  <si>
    <t>Consultancy for design of feedback and questionnaires for firms, students, and agencies participating</t>
  </si>
  <si>
    <t>Contingency for immediate ammendments to programs</t>
  </si>
  <si>
    <t>Consultancy for administration and analysis of program evaluation system</t>
  </si>
  <si>
    <t>years</t>
  </si>
  <si>
    <t>Study of human capital impact (student placement)</t>
  </si>
  <si>
    <t>Study of branding and promotion campaign impact (brand awareness)</t>
  </si>
  <si>
    <t>Year 1</t>
  </si>
  <si>
    <t>Year 2</t>
  </si>
  <si>
    <t>Year 3</t>
  </si>
  <si>
    <t>Year 4</t>
  </si>
  <si>
    <t>Year 5</t>
  </si>
  <si>
    <t xml:space="preserve">Internationalization Training and Support </t>
  </si>
  <si>
    <t>Trainers and workshop facilitators</t>
  </si>
  <si>
    <t>purchase</t>
  </si>
  <si>
    <t>Consulting firm for technological needs for build-out</t>
  </si>
  <si>
    <t>Consulting firm for design of nursery &amp; lactation space</t>
  </si>
  <si>
    <t>Engineering and architectural services</t>
  </si>
  <si>
    <t>Initial build-out labor and materials</t>
  </si>
  <si>
    <t>Sector Data Collection &amp; Analysis</t>
  </si>
  <si>
    <t>Consultancy for Hub building management and administration</t>
  </si>
  <si>
    <t>Networking events. Missions, fairs, symposiums, workshops, etc.</t>
  </si>
  <si>
    <t>Consultancy for system administration and analysis</t>
  </si>
  <si>
    <t>Consultancy services by certification appraisers/evaluators</t>
  </si>
  <si>
    <t>certifications</t>
  </si>
  <si>
    <t>Average finishing school course size</t>
  </si>
  <si>
    <t>Number of firms seeking certification</t>
  </si>
  <si>
    <t>Flights and accomodation for certification providers</t>
  </si>
  <si>
    <t>Average number of weeks to obtain certification</t>
  </si>
  <si>
    <t>Brand dissemination events</t>
  </si>
  <si>
    <t>Number of brand dissemination events</t>
  </si>
  <si>
    <t xml:space="preserve">Consultacies for curriculum development </t>
  </si>
  <si>
    <t>Consulting firm for advertising</t>
  </si>
  <si>
    <t>Global Services Promotion Forums</t>
  </si>
  <si>
    <t>Diaspora Engagement for Internationalization</t>
  </si>
  <si>
    <t>Number of services promotion forums in TT</t>
  </si>
  <si>
    <t>Number of global services promotion events attended abroad</t>
  </si>
  <si>
    <t>Travel expenses to attend forums abroad</t>
  </si>
  <si>
    <t>Consultancy for diaspora market research</t>
  </si>
  <si>
    <t>Capacity building of investment officer for diaspora outreach</t>
  </si>
  <si>
    <t>Consultancy for career advising services</t>
  </si>
  <si>
    <t>Equipment and software</t>
  </si>
  <si>
    <t>Consultancies for data collection services</t>
  </si>
  <si>
    <t>Consulting firm for design of sector data initiative and agency capacity-building</t>
  </si>
  <si>
    <t>Transportation and expenses</t>
  </si>
  <si>
    <t>Consultancy for administrative assistant</t>
  </si>
  <si>
    <t>Annual diaspora award ceremony events</t>
  </si>
  <si>
    <t>Technical exchanges</t>
  </si>
  <si>
    <t xml:space="preserve">Capacity-building programs for agencies </t>
  </si>
  <si>
    <t>*ADMINISTRATION</t>
  </si>
  <si>
    <t>Consultancy for coordination of support services</t>
  </si>
  <si>
    <t>Consultancy for coordination of finishing schools</t>
  </si>
  <si>
    <t>Finishing Schools (short term technical training)</t>
  </si>
  <si>
    <t>Instructors</t>
  </si>
  <si>
    <t>Consultancy for gap analysis study</t>
  </si>
  <si>
    <t>firms</t>
  </si>
  <si>
    <t>Average Cost per Unit</t>
  </si>
  <si>
    <t>Office space rental cost per square foot</t>
  </si>
  <si>
    <t>TTD/sq ft</t>
  </si>
  <si>
    <t>Square footage requirement for Hub</t>
  </si>
  <si>
    <t>sq ft</t>
  </si>
  <si>
    <t>TTD/sq ft/month</t>
  </si>
  <si>
    <t>Building security contract</t>
  </si>
  <si>
    <t>Average duration of finishing school course</t>
  </si>
  <si>
    <t>Number of finishing school courses per year</t>
  </si>
  <si>
    <t>Technology, equipment, and furnishings</t>
  </si>
  <si>
    <t>Regulatory analysis and strategy</t>
  </si>
  <si>
    <t>Consulting firm to develop strategic policy framework for the ICT sector</t>
  </si>
  <si>
    <t>Consultancy for export support advisory services</t>
  </si>
  <si>
    <t>Facilitators for stakeholder consultation events</t>
  </si>
  <si>
    <t>Consulting firm for market research, branding campaign design, and advertising</t>
  </si>
  <si>
    <t>Consultancy for investment promotion technical liaison</t>
  </si>
  <si>
    <t>TT-L1038: ITEMIZED BUDGET - Administration</t>
  </si>
  <si>
    <t>Program Administration</t>
  </si>
  <si>
    <t>contingency</t>
  </si>
  <si>
    <t>TT-L1038: ITEMIZED BUDGET COMPONENT II: Sector Promotion &amp; Branding</t>
  </si>
  <si>
    <t xml:space="preserve">Collaborative Physical &amp; Technological Infrastructure </t>
  </si>
  <si>
    <t xml:space="preserve">TT-L1038: ITEMIZED BUDGET COMPONENT I: Services Internationalization Hub </t>
  </si>
  <si>
    <t>COMPONENT 1: Services Internationalization Hub</t>
  </si>
  <si>
    <t xml:space="preserve">COMPONENT 2: Sector Promotion and Branding </t>
  </si>
  <si>
    <t>COMPONENT 3: Policy and Regulatory Framework</t>
  </si>
  <si>
    <t>TT-L1038: ITEMIZED BUDGET COMPONENT III: Policy and Regulatory Framework</t>
  </si>
  <si>
    <t>Consultancy for procurement specialist</t>
  </si>
  <si>
    <t>Consultancy for project management</t>
  </si>
  <si>
    <t>Consultancy for financial specialist</t>
  </si>
  <si>
    <t>Consultancy for project assistant</t>
  </si>
  <si>
    <t>PROGRAM MONITORING</t>
  </si>
  <si>
    <t>FINAL EVALUATION</t>
  </si>
  <si>
    <t>Utilities, insurance, and maintenance</t>
  </si>
  <si>
    <t>Purchase price per square foot</t>
  </si>
  <si>
    <t>Hub building lease (first 3 years)</t>
  </si>
  <si>
    <t>Hub building purchase (option following Year 3)</t>
  </si>
  <si>
    <t>Administrative expenses</t>
  </si>
  <si>
    <t>Administrative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</si>
</sst>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$&quot;\ * #,##0.00_);_(&quot;$&quot;\ * \(#,##0.00\);_(&quot;$&quot;\ * &quot;-&quot;??_);_(@_)"/>
    <numFmt numFmtId="166" formatCode="[$$-240A]\ #,##0.00"/>
    <numFmt numFmtId="167" formatCode="_-[$$-240A]\ * #,##0_ ;_-[$$-240A]\ * \-#,##0\ ;_-[$$-240A]\ * &quot;-&quot;_ ;_-@_ "/>
    <numFmt numFmtId="168" formatCode="_(&quot;$&quot;* #,##0.0000_);_(&quot;$&quot;* \(#,##0.0000\);_(&quot;$&quot;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290">
    <xf numFmtId="0" fontId="0" fillId="0" borderId="0" xfId="0"/>
    <xf numFmtId="0" fontId="5" fillId="0" borderId="0" xfId="7" applyFont="1"/>
    <xf numFmtId="164" fontId="5" fillId="0" borderId="0" xfId="3" applyFont="1"/>
    <xf numFmtId="165" fontId="5" fillId="0" borderId="0" xfId="5" applyFont="1" applyBorder="1"/>
    <xf numFmtId="0" fontId="5" fillId="0" borderId="2" xfId="7" applyFont="1" applyBorder="1"/>
    <xf numFmtId="0" fontId="5" fillId="0" borderId="4" xfId="7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6" fillId="0" borderId="0" xfId="0" applyNumberFormat="1" applyFont="1" applyFill="1" applyBorder="1"/>
    <xf numFmtId="0" fontId="5" fillId="0" borderId="0" xfId="7" applyFont="1" applyBorder="1"/>
    <xf numFmtId="2" fontId="5" fillId="0" borderId="0" xfId="7" applyNumberFormat="1" applyFont="1" applyBorder="1"/>
    <xf numFmtId="0" fontId="0" fillId="0" borderId="0" xfId="0" applyFont="1"/>
    <xf numFmtId="44" fontId="5" fillId="0" borderId="6" xfId="4" applyFont="1" applyBorder="1"/>
    <xf numFmtId="0" fontId="5" fillId="0" borderId="1" xfId="7" applyFont="1" applyBorder="1"/>
    <xf numFmtId="0" fontId="5" fillId="0" borderId="3" xfId="7" applyFont="1" applyBorder="1"/>
    <xf numFmtId="0" fontId="6" fillId="0" borderId="8" xfId="7" applyFont="1" applyBorder="1" applyAlignment="1">
      <alignment horizontal="left" vertical="center" wrapText="1"/>
    </xf>
    <xf numFmtId="0" fontId="6" fillId="0" borderId="3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indent="1"/>
    </xf>
    <xf numFmtId="0" fontId="7" fillId="0" borderId="16" xfId="0" applyFont="1" applyBorder="1" applyAlignment="1">
      <alignment horizontal="left" vertical="center" indent="1"/>
    </xf>
    <xf numFmtId="0" fontId="5" fillId="0" borderId="15" xfId="7" applyFont="1" applyBorder="1"/>
    <xf numFmtId="0" fontId="7" fillId="0" borderId="17" xfId="0" applyFont="1" applyBorder="1" applyAlignment="1">
      <alignment horizontal="left" vertical="center" indent="1"/>
    </xf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Font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10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/>
    </xf>
    <xf numFmtId="165" fontId="6" fillId="0" borderId="5" xfId="5" applyFont="1" applyFill="1" applyBorder="1" applyAlignment="1">
      <alignment horizontal="center" vertical="center"/>
    </xf>
    <xf numFmtId="166" fontId="6" fillId="0" borderId="5" xfId="7" applyNumberFormat="1" applyFont="1" applyFill="1" applyBorder="1" applyAlignment="1">
      <alignment horizontal="center" vertical="center" wrapText="1"/>
    </xf>
    <xf numFmtId="167" fontId="5" fillId="0" borderId="15" xfId="7" applyNumberFormat="1" applyFont="1" applyBorder="1"/>
    <xf numFmtId="1" fontId="5" fillId="2" borderId="0" xfId="7" applyNumberFormat="1" applyFont="1" applyFill="1" applyBorder="1" applyAlignment="1">
      <alignment horizontal="right"/>
    </xf>
    <xf numFmtId="1" fontId="5" fillId="2" borderId="0" xfId="7" applyNumberFormat="1" applyFont="1" applyFill="1" applyBorder="1" applyAlignment="1">
      <alignment horizontal="right" vertical="center" wrapText="1"/>
    </xf>
    <xf numFmtId="0" fontId="5" fillId="0" borderId="0" xfId="7" applyFont="1" applyBorder="1" applyAlignment="1">
      <alignment horizontal="left" vertical="center" wrapText="1"/>
    </xf>
    <xf numFmtId="1" fontId="5" fillId="0" borderId="1" xfId="7" applyNumberFormat="1" applyFont="1" applyBorder="1" applyAlignment="1">
      <alignment horizontal="right" vertical="center" wrapText="1"/>
    </xf>
    <xf numFmtId="0" fontId="5" fillId="0" borderId="1" xfId="7" applyFont="1" applyBorder="1" applyAlignment="1">
      <alignment horizontal="left" vertical="center" wrapText="1"/>
    </xf>
    <xf numFmtId="1" fontId="5" fillId="2" borderId="3" xfId="7" applyNumberFormat="1" applyFont="1" applyFill="1" applyBorder="1" applyAlignment="1">
      <alignment horizontal="right" vertical="center" wrapText="1"/>
    </xf>
    <xf numFmtId="0" fontId="6" fillId="0" borderId="20" xfId="7" quotePrefix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44" fontId="5" fillId="0" borderId="0" xfId="7" applyNumberFormat="1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6" applyFont="1"/>
    <xf numFmtId="0" fontId="6" fillId="0" borderId="0" xfId="6" applyFont="1"/>
    <xf numFmtId="167" fontId="9" fillId="0" borderId="0" xfId="6" applyNumberFormat="1" applyFont="1"/>
    <xf numFmtId="167" fontId="5" fillId="0" borderId="0" xfId="6" applyNumberFormat="1" applyFont="1"/>
    <xf numFmtId="0" fontId="6" fillId="0" borderId="0" xfId="6" applyFont="1" applyBorder="1" applyAlignment="1">
      <alignment vertical="center" wrapText="1"/>
    </xf>
    <xf numFmtId="165" fontId="6" fillId="0" borderId="0" xfId="5" quotePrefix="1" applyFont="1" applyBorder="1"/>
    <xf numFmtId="170" fontId="5" fillId="0" borderId="0" xfId="4" applyNumberFormat="1" applyFont="1" applyBorder="1"/>
    <xf numFmtId="170" fontId="5" fillId="0" borderId="2" xfId="4" applyNumberFormat="1" applyFont="1" applyBorder="1"/>
    <xf numFmtId="170" fontId="5" fillId="0" borderId="1" xfId="4" applyNumberFormat="1" applyFont="1" applyBorder="1"/>
    <xf numFmtId="170" fontId="5" fillId="0" borderId="15" xfId="4" applyNumberFormat="1" applyFont="1" applyBorder="1"/>
    <xf numFmtId="170" fontId="5" fillId="0" borderId="3" xfId="4" applyNumberFormat="1" applyFont="1" applyBorder="1"/>
    <xf numFmtId="170" fontId="5" fillId="0" borderId="4" xfId="4" applyNumberFormat="1" applyFont="1" applyBorder="1"/>
    <xf numFmtId="170" fontId="6" fillId="0" borderId="3" xfId="4" applyNumberFormat="1" applyFont="1" applyBorder="1" applyAlignment="1">
      <alignment horizontal="right" vertical="center" wrapText="1"/>
    </xf>
    <xf numFmtId="0" fontId="5" fillId="0" borderId="20" xfId="7" applyFont="1" applyBorder="1" applyAlignment="1">
      <alignment horizontal="left" indent="1"/>
    </xf>
    <xf numFmtId="0" fontId="5" fillId="0" borderId="20" xfId="7" applyFont="1" applyBorder="1" applyAlignment="1">
      <alignment horizontal="left" wrapText="1" indent="1"/>
    </xf>
    <xf numFmtId="0" fontId="5" fillId="0" borderId="20" xfId="7" applyFont="1" applyFill="1" applyBorder="1" applyAlignment="1">
      <alignment horizontal="left" vertical="center" wrapText="1" indent="1"/>
    </xf>
    <xf numFmtId="0" fontId="5" fillId="0" borderId="20" xfId="7" applyFont="1" applyBorder="1" applyAlignment="1">
      <alignment horizontal="left" vertical="center" wrapText="1" indent="1"/>
    </xf>
    <xf numFmtId="0" fontId="5" fillId="0" borderId="20" xfId="7" quotePrefix="1" applyFont="1" applyBorder="1" applyAlignment="1">
      <alignment horizontal="left" vertical="center" wrapText="1" indent="1"/>
    </xf>
    <xf numFmtId="0" fontId="5" fillId="0" borderId="21" xfId="7" quotePrefix="1" applyFont="1" applyBorder="1" applyAlignment="1">
      <alignment horizontal="left" vertical="center" wrapText="1" indent="1"/>
    </xf>
    <xf numFmtId="170" fontId="5" fillId="2" borderId="7" xfId="4" applyNumberFormat="1" applyFont="1" applyFill="1" applyBorder="1"/>
    <xf numFmtId="170" fontId="5" fillId="2" borderId="7" xfId="4" applyNumberFormat="1" applyFont="1" applyFill="1" applyBorder="1" applyAlignment="1">
      <alignment horizontal="left" vertical="center" wrapText="1"/>
    </xf>
    <xf numFmtId="170" fontId="5" fillId="0" borderId="6" xfId="4" applyNumberFormat="1" applyFont="1" applyBorder="1" applyAlignment="1">
      <alignment horizontal="left" vertical="center" wrapText="1"/>
    </xf>
    <xf numFmtId="170" fontId="5" fillId="2" borderId="8" xfId="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6" fillId="3" borderId="6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6" fillId="3" borderId="22" xfId="7" applyFont="1" applyFill="1" applyBorder="1" applyAlignment="1">
      <alignment horizontal="center" vertical="center" wrapText="1"/>
    </xf>
    <xf numFmtId="0" fontId="6" fillId="3" borderId="11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6" fillId="3" borderId="12" xfId="7" applyFont="1" applyFill="1" applyBorder="1" applyAlignment="1">
      <alignment horizontal="center" vertical="center" wrapText="1"/>
    </xf>
    <xf numFmtId="170" fontId="5" fillId="0" borderId="12" xfId="4" applyNumberFormat="1" applyFont="1" applyFill="1" applyBorder="1"/>
    <xf numFmtId="170" fontId="5" fillId="0" borderId="13" xfId="4" applyNumberFormat="1" applyFont="1" applyFill="1" applyBorder="1"/>
    <xf numFmtId="170" fontId="5" fillId="0" borderId="1" xfId="4" applyNumberFormat="1" applyFont="1" applyFill="1" applyBorder="1"/>
    <xf numFmtId="170" fontId="5" fillId="0" borderId="0" xfId="4" applyNumberFormat="1" applyFont="1" applyFill="1" applyBorder="1"/>
    <xf numFmtId="0" fontId="5" fillId="0" borderId="6" xfId="6" applyFont="1" applyBorder="1"/>
    <xf numFmtId="0" fontId="5" fillId="0" borderId="7" xfId="6" applyFont="1" applyBorder="1"/>
    <xf numFmtId="169" fontId="5" fillId="3" borderId="6" xfId="1" applyNumberFormat="1" applyFont="1" applyFill="1" applyBorder="1"/>
    <xf numFmtId="169" fontId="5" fillId="3" borderId="12" xfId="1" applyNumberFormat="1" applyFont="1" applyFill="1" applyBorder="1"/>
    <xf numFmtId="169" fontId="5" fillId="3" borderId="7" xfId="1" applyNumberFormat="1" applyFont="1" applyFill="1" applyBorder="1"/>
    <xf numFmtId="169" fontId="5" fillId="3" borderId="13" xfId="1" applyNumberFormat="1" applyFont="1" applyFill="1" applyBorder="1"/>
    <xf numFmtId="169" fontId="5" fillId="3" borderId="8" xfId="1" applyNumberFormat="1" applyFont="1" applyFill="1" applyBorder="1"/>
    <xf numFmtId="169" fontId="5" fillId="3" borderId="14" xfId="1" applyNumberFormat="1" applyFont="1" applyFill="1" applyBorder="1"/>
    <xf numFmtId="169" fontId="0" fillId="3" borderId="13" xfId="1" applyNumberFormat="1" applyFont="1" applyFill="1" applyBorder="1"/>
    <xf numFmtId="169" fontId="0" fillId="3" borderId="0" xfId="1" applyNumberFormat="1" applyFont="1" applyFill="1" applyBorder="1"/>
    <xf numFmtId="169" fontId="0" fillId="3" borderId="12" xfId="1" applyNumberFormat="1" applyFont="1" applyFill="1" applyBorder="1"/>
    <xf numFmtId="169" fontId="0" fillId="3" borderId="1" xfId="1" applyNumberFormat="1" applyFont="1" applyFill="1" applyBorder="1"/>
    <xf numFmtId="169" fontId="0" fillId="3" borderId="14" xfId="1" applyNumberFormat="1" applyFont="1" applyFill="1" applyBorder="1"/>
    <xf numFmtId="169" fontId="0" fillId="3" borderId="3" xfId="1" applyNumberFormat="1" applyFont="1" applyFill="1" applyBorder="1"/>
    <xf numFmtId="169" fontId="6" fillId="3" borderId="5" xfId="1" applyNumberFormat="1" applyFont="1" applyFill="1" applyBorder="1"/>
    <xf numFmtId="169" fontId="6" fillId="3" borderId="9" xfId="1" applyNumberFormat="1" applyFont="1" applyFill="1" applyBorder="1"/>
    <xf numFmtId="0" fontId="6" fillId="0" borderId="19" xfId="7" quotePrefix="1" applyFont="1" applyBorder="1"/>
    <xf numFmtId="0" fontId="6" fillId="0" borderId="19" xfId="7" quotePrefix="1" applyFont="1" applyBorder="1" applyAlignment="1">
      <alignment horizontal="left" vertical="center" wrapText="1"/>
    </xf>
    <xf numFmtId="0" fontId="6" fillId="0" borderId="21" xfId="7" quotePrefix="1" applyFont="1" applyBorder="1" applyAlignment="1">
      <alignment horizontal="left" vertical="center" wrapText="1"/>
    </xf>
    <xf numFmtId="169" fontId="3" fillId="3" borderId="12" xfId="1" applyNumberFormat="1" applyFont="1" applyFill="1" applyBorder="1"/>
    <xf numFmtId="169" fontId="3" fillId="3" borderId="13" xfId="1" applyNumberFormat="1" applyFont="1" applyFill="1" applyBorder="1"/>
    <xf numFmtId="169" fontId="3" fillId="3" borderId="14" xfId="1" applyNumberFormat="1" applyFont="1" applyFill="1" applyBorder="1"/>
    <xf numFmtId="170" fontId="5" fillId="0" borderId="1" xfId="7" applyNumberFormat="1" applyFont="1" applyBorder="1"/>
    <xf numFmtId="169" fontId="5" fillId="0" borderId="0" xfId="7" applyNumberFormat="1" applyFont="1"/>
    <xf numFmtId="43" fontId="5" fillId="0" borderId="0" xfId="7" applyNumberFormat="1" applyFont="1"/>
    <xf numFmtId="170" fontId="6" fillId="0" borderId="4" xfId="4" applyNumberFormat="1" applyFont="1" applyBorder="1" applyAlignment="1">
      <alignment vertical="center"/>
    </xf>
    <xf numFmtId="169" fontId="5" fillId="3" borderId="8" xfId="1" applyNumberFormat="1" applyFont="1" applyFill="1" applyBorder="1" applyAlignment="1">
      <alignment vertical="center"/>
    </xf>
    <xf numFmtId="169" fontId="5" fillId="3" borderId="14" xfId="1" applyNumberFormat="1" applyFont="1" applyFill="1" applyBorder="1" applyAlignment="1">
      <alignment vertical="center"/>
    </xf>
    <xf numFmtId="169" fontId="0" fillId="3" borderId="14" xfId="1" applyNumberFormat="1" applyFont="1" applyFill="1" applyBorder="1" applyAlignment="1">
      <alignment vertical="center"/>
    </xf>
    <xf numFmtId="169" fontId="3" fillId="3" borderId="14" xfId="1" applyNumberFormat="1" applyFont="1" applyFill="1" applyBorder="1" applyAlignment="1">
      <alignment vertical="center"/>
    </xf>
    <xf numFmtId="0" fontId="6" fillId="3" borderId="10" xfId="7" applyFont="1" applyFill="1" applyBorder="1" applyAlignment="1">
      <alignment horizontal="center" wrapText="1"/>
    </xf>
    <xf numFmtId="0" fontId="6" fillId="3" borderId="11" xfId="7" applyFont="1" applyFill="1" applyBorder="1" applyAlignment="1">
      <alignment horizontal="center" wrapText="1"/>
    </xf>
    <xf numFmtId="0" fontId="6" fillId="3" borderId="5" xfId="7" applyFont="1" applyFill="1" applyBorder="1" applyAlignment="1">
      <alignment horizontal="center" wrapText="1"/>
    </xf>
    <xf numFmtId="0" fontId="5" fillId="0" borderId="6" xfId="7" applyFont="1" applyBorder="1"/>
    <xf numFmtId="44" fontId="5" fillId="0" borderId="1" xfId="4" applyFont="1" applyBorder="1"/>
    <xf numFmtId="0" fontId="5" fillId="2" borderId="0" xfId="7" applyFont="1" applyFill="1" applyBorder="1"/>
    <xf numFmtId="170" fontId="5" fillId="0" borderId="0" xfId="4" applyNumberFormat="1" applyFont="1" applyBorder="1" applyAlignment="1">
      <alignment horizontal="right"/>
    </xf>
    <xf numFmtId="170" fontId="5" fillId="0" borderId="2" xfId="7" applyNumberFormat="1" applyFont="1" applyBorder="1"/>
    <xf numFmtId="0" fontId="6" fillId="0" borderId="1" xfId="7" applyFont="1" applyBorder="1" applyAlignment="1">
      <alignment horizontal="left" vertical="center" wrapText="1"/>
    </xf>
    <xf numFmtId="170" fontId="5" fillId="0" borderId="1" xfId="4" applyNumberFormat="1" applyFont="1" applyBorder="1" applyAlignment="1">
      <alignment horizontal="right" vertical="center" wrapText="1"/>
    </xf>
    <xf numFmtId="0" fontId="6" fillId="0" borderId="20" xfId="7" applyFont="1" applyBorder="1" applyAlignment="1">
      <alignment horizontal="left" vertical="center" wrapText="1"/>
    </xf>
    <xf numFmtId="0" fontId="6" fillId="0" borderId="10" xfId="7" applyFont="1" applyBorder="1" applyAlignment="1">
      <alignment horizontal="left" vertical="center" wrapText="1"/>
    </xf>
    <xf numFmtId="0" fontId="6" fillId="0" borderId="5" xfId="7" applyFont="1" applyBorder="1" applyAlignment="1">
      <alignment horizontal="left" vertical="center" wrapText="1"/>
    </xf>
    <xf numFmtId="170" fontId="6" fillId="0" borderId="5" xfId="4" applyNumberFormat="1" applyFont="1" applyBorder="1" applyAlignment="1">
      <alignment horizontal="right" vertical="center" wrapText="1"/>
    </xf>
    <xf numFmtId="0" fontId="6" fillId="0" borderId="0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right" vertical="center" wrapText="1"/>
    </xf>
    <xf numFmtId="0" fontId="6" fillId="0" borderId="22" xfId="7" applyFont="1" applyBorder="1" applyAlignment="1">
      <alignment horizontal="left" vertical="center" wrapText="1"/>
    </xf>
    <xf numFmtId="8" fontId="0" fillId="0" borderId="0" xfId="0" applyNumberFormat="1" applyFont="1" applyBorder="1"/>
    <xf numFmtId="170" fontId="5" fillId="0" borderId="0" xfId="4" applyNumberFormat="1" applyFont="1" applyBorder="1" applyAlignment="1">
      <alignment horizontal="right" vertical="center" wrapText="1"/>
    </xf>
    <xf numFmtId="170" fontId="5" fillId="0" borderId="15" xfId="7" applyNumberFormat="1" applyFont="1" applyBorder="1"/>
    <xf numFmtId="0" fontId="5" fillId="2" borderId="3" xfId="7" applyFont="1" applyFill="1" applyBorder="1"/>
    <xf numFmtId="170" fontId="5" fillId="0" borderId="3" xfId="4" applyNumberFormat="1" applyFont="1" applyBorder="1" applyAlignment="1">
      <alignment horizontal="right"/>
    </xf>
    <xf numFmtId="170" fontId="5" fillId="0" borderId="4" xfId="7" applyNumberFormat="1" applyFont="1" applyBorder="1"/>
    <xf numFmtId="44" fontId="5" fillId="0" borderId="2" xfId="7" applyNumberFormat="1" applyFont="1" applyBorder="1"/>
    <xf numFmtId="169" fontId="5" fillId="3" borderId="0" xfId="1" applyNumberFormat="1" applyFont="1" applyFill="1" applyBorder="1"/>
    <xf numFmtId="0" fontId="5" fillId="2" borderId="0" xfId="7" applyFont="1" applyFill="1" applyBorder="1" applyAlignment="1">
      <alignment horizontal="right"/>
    </xf>
    <xf numFmtId="0" fontId="7" fillId="0" borderId="6" xfId="0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2" borderId="3" xfId="7" applyFont="1" applyFill="1" applyBorder="1" applyAlignment="1">
      <alignment horizontal="right"/>
    </xf>
    <xf numFmtId="170" fontId="5" fillId="0" borderId="7" xfId="4" applyNumberFormat="1" applyFont="1" applyBorder="1" applyAlignment="1">
      <alignment horizontal="left" vertical="center" wrapText="1"/>
    </xf>
    <xf numFmtId="1" fontId="5" fillId="0" borderId="0" xfId="7" applyNumberFormat="1" applyFont="1" applyBorder="1" applyAlignment="1">
      <alignment horizontal="right" vertical="center" wrapText="1"/>
    </xf>
    <xf numFmtId="0" fontId="5" fillId="0" borderId="3" xfId="7" applyFont="1" applyBorder="1" applyAlignment="1">
      <alignment horizontal="left" vertical="center" wrapText="1"/>
    </xf>
    <xf numFmtId="170" fontId="5" fillId="0" borderId="6" xfId="4" applyNumberFormat="1" applyFont="1" applyBorder="1"/>
    <xf numFmtId="170" fontId="6" fillId="0" borderId="6" xfId="4" applyNumberFormat="1" applyFont="1" applyBorder="1" applyAlignment="1">
      <alignment horizontal="left" vertical="center" wrapText="1"/>
    </xf>
    <xf numFmtId="170" fontId="5" fillId="2" borderId="8" xfId="4" applyNumberFormat="1" applyFont="1" applyFill="1" applyBorder="1"/>
    <xf numFmtId="170" fontId="6" fillId="0" borderId="7" xfId="4" applyNumberFormat="1" applyFont="1" applyBorder="1" applyAlignment="1">
      <alignment horizontal="left" vertical="center" wrapText="1"/>
    </xf>
    <xf numFmtId="0" fontId="6" fillId="0" borderId="6" xfId="7" applyFont="1" applyBorder="1" applyAlignment="1">
      <alignment horizontal="left" vertical="center" wrapText="1"/>
    </xf>
    <xf numFmtId="0" fontId="5" fillId="0" borderId="1" xfId="7" applyFont="1" applyBorder="1" applyAlignment="1">
      <alignment horizontal="right" vertical="center" wrapText="1"/>
    </xf>
    <xf numFmtId="170" fontId="6" fillId="0" borderId="3" xfId="4" applyNumberFormat="1" applyFont="1" applyBorder="1" applyAlignment="1">
      <alignment horizontal="center" vertical="center" wrapText="1"/>
    </xf>
    <xf numFmtId="0" fontId="6" fillId="0" borderId="3" xfId="7" applyFont="1" applyBorder="1" applyAlignment="1">
      <alignment horizontal="right" vertical="center" wrapText="1"/>
    </xf>
    <xf numFmtId="0" fontId="5" fillId="0" borderId="1" xfId="7" applyFont="1" applyBorder="1" applyAlignment="1">
      <alignment horizontal="right"/>
    </xf>
    <xf numFmtId="0" fontId="6" fillId="0" borderId="1" xfId="7" applyFont="1" applyBorder="1" applyAlignment="1">
      <alignment horizontal="right" vertical="center" wrapText="1"/>
    </xf>
    <xf numFmtId="0" fontId="6" fillId="0" borderId="0" xfId="7" applyFont="1" applyBorder="1" applyAlignment="1">
      <alignment horizontal="right" vertical="center" wrapText="1"/>
    </xf>
    <xf numFmtId="169" fontId="5" fillId="2" borderId="0" xfId="1" applyNumberFormat="1" applyFont="1" applyFill="1" applyBorder="1"/>
    <xf numFmtId="169" fontId="5" fillId="2" borderId="1" xfId="1" applyNumberFormat="1" applyFont="1" applyFill="1" applyBorder="1"/>
    <xf numFmtId="170" fontId="6" fillId="0" borderId="11" xfId="7" applyNumberFormat="1" applyFont="1" applyBorder="1" applyAlignment="1">
      <alignment vertical="center"/>
    </xf>
    <xf numFmtId="169" fontId="6" fillId="3" borderId="10" xfId="1" applyNumberFormat="1" applyFont="1" applyFill="1" applyBorder="1" applyAlignment="1">
      <alignment vertical="center"/>
    </xf>
    <xf numFmtId="169" fontId="6" fillId="3" borderId="9" xfId="1" applyNumberFormat="1" applyFont="1" applyFill="1" applyBorder="1" applyAlignment="1">
      <alignment vertical="center"/>
    </xf>
    <xf numFmtId="169" fontId="4" fillId="3" borderId="9" xfId="1" applyNumberFormat="1" applyFont="1" applyFill="1" applyBorder="1" applyAlignment="1">
      <alignment vertical="center"/>
    </xf>
    <xf numFmtId="169" fontId="4" fillId="3" borderId="5" xfId="1" applyNumberFormat="1" applyFont="1" applyFill="1" applyBorder="1" applyAlignment="1">
      <alignment vertical="center"/>
    </xf>
    <xf numFmtId="0" fontId="5" fillId="0" borderId="7" xfId="7" applyFont="1" applyBorder="1" applyAlignment="1">
      <alignment horizontal="left" vertical="center"/>
    </xf>
    <xf numFmtId="0" fontId="6" fillId="3" borderId="6" xfId="6" applyFont="1" applyFill="1" applyBorder="1" applyAlignment="1">
      <alignment horizontal="center"/>
    </xf>
    <xf numFmtId="0" fontId="6" fillId="3" borderId="15" xfId="6" applyFont="1" applyFill="1" applyBorder="1" applyAlignment="1">
      <alignment horizontal="center"/>
    </xf>
    <xf numFmtId="0" fontId="6" fillId="0" borderId="6" xfId="7" applyFont="1" applyBorder="1" applyAlignment="1">
      <alignment vertical="center"/>
    </xf>
    <xf numFmtId="44" fontId="5" fillId="0" borderId="6" xfId="4" applyFont="1" applyBorder="1" applyAlignment="1">
      <alignment vertical="center"/>
    </xf>
    <xf numFmtId="0" fontId="5" fillId="0" borderId="1" xfId="7" applyFont="1" applyBorder="1" applyAlignment="1">
      <alignment vertical="center"/>
    </xf>
    <xf numFmtId="44" fontId="5" fillId="0" borderId="1" xfId="4" applyFont="1" applyBorder="1" applyAlignment="1">
      <alignment horizontal="center" vertical="center"/>
    </xf>
    <xf numFmtId="44" fontId="5" fillId="0" borderId="15" xfId="4" applyFont="1" applyBorder="1" applyAlignment="1">
      <alignment vertical="center"/>
    </xf>
    <xf numFmtId="170" fontId="5" fillId="2" borderId="7" xfId="4" applyNumberFormat="1" applyFont="1" applyFill="1" applyBorder="1" applyAlignment="1">
      <alignment vertical="center"/>
    </xf>
    <xf numFmtId="0" fontId="5" fillId="2" borderId="0" xfId="7" applyFont="1" applyFill="1" applyBorder="1" applyAlignment="1">
      <alignment horizontal="right" vertical="center"/>
    </xf>
    <xf numFmtId="0" fontId="5" fillId="0" borderId="0" xfId="7" applyFont="1" applyBorder="1" applyAlignment="1">
      <alignment vertical="center"/>
    </xf>
    <xf numFmtId="0" fontId="5" fillId="0" borderId="7" xfId="7" applyFont="1" applyBorder="1" applyAlignment="1">
      <alignment horizontal="left" vertical="center" wrapText="1"/>
    </xf>
    <xf numFmtId="0" fontId="5" fillId="2" borderId="0" xfId="7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3" borderId="10" xfId="7" applyFont="1" applyFill="1" applyBorder="1" applyAlignment="1">
      <alignment horizontal="center" vertical="center" wrapText="1"/>
    </xf>
    <xf numFmtId="0" fontId="8" fillId="3" borderId="9" xfId="7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8" fontId="3" fillId="0" borderId="7" xfId="4" applyNumberFormat="1" applyFont="1" applyBorder="1" applyAlignment="1">
      <alignment vertical="center"/>
    </xf>
    <xf numFmtId="168" fontId="3" fillId="0" borderId="0" xfId="4" applyNumberFormat="1" applyFont="1" applyBorder="1" applyAlignment="1">
      <alignment vertical="center"/>
    </xf>
    <xf numFmtId="169" fontId="0" fillId="3" borderId="6" xfId="1" applyNumberFormat="1" applyFont="1" applyFill="1" applyBorder="1" applyAlignment="1">
      <alignment vertical="center"/>
    </xf>
    <xf numFmtId="169" fontId="0" fillId="3" borderId="12" xfId="1" applyNumberFormat="1" applyFont="1" applyFill="1" applyBorder="1" applyAlignment="1">
      <alignment vertical="center"/>
    </xf>
    <xf numFmtId="0" fontId="0" fillId="0" borderId="7" xfId="0" quotePrefix="1" applyFont="1" applyBorder="1" applyAlignment="1">
      <alignment horizontal="left" vertical="center"/>
    </xf>
    <xf numFmtId="170" fontId="0" fillId="2" borderId="0" xfId="4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0" fontId="3" fillId="0" borderId="7" xfId="4" applyNumberFormat="1" applyFont="1" applyBorder="1" applyAlignment="1">
      <alignment vertical="center"/>
    </xf>
    <xf numFmtId="169" fontId="0" fillId="3" borderId="7" xfId="1" applyNumberFormat="1" applyFont="1" applyFill="1" applyBorder="1" applyAlignment="1">
      <alignment vertical="center"/>
    </xf>
    <xf numFmtId="169" fontId="0" fillId="3" borderId="13" xfId="1" applyNumberFormat="1" applyFont="1" applyFill="1" applyBorder="1" applyAlignment="1">
      <alignment vertical="center"/>
    </xf>
    <xf numFmtId="170" fontId="3" fillId="0" borderId="0" xfId="4" applyNumberFormat="1" applyFont="1" applyBorder="1" applyAlignment="1">
      <alignment vertical="center"/>
    </xf>
    <xf numFmtId="169" fontId="0" fillId="3" borderId="8" xfId="1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170" fontId="0" fillId="0" borderId="1" xfId="4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0" fontId="3" fillId="0" borderId="6" xfId="4" applyNumberFormat="1" applyFont="1" applyBorder="1" applyAlignment="1">
      <alignment vertical="center"/>
    </xf>
    <xf numFmtId="170" fontId="3" fillId="0" borderId="1" xfId="4" applyNumberFormat="1" applyFont="1" applyBorder="1" applyAlignment="1">
      <alignment vertical="center"/>
    </xf>
    <xf numFmtId="0" fontId="0" fillId="0" borderId="7" xfId="0" quotePrefix="1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70" fontId="3" fillId="0" borderId="8" xfId="4" applyNumberFormat="1" applyFont="1" applyBorder="1" applyAlignment="1">
      <alignment vertical="center"/>
    </xf>
    <xf numFmtId="170" fontId="3" fillId="0" borderId="3" xfId="4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0" fontId="4" fillId="0" borderId="8" xfId="4" applyNumberFormat="1" applyFont="1" applyBorder="1" applyAlignment="1">
      <alignment vertical="center"/>
    </xf>
    <xf numFmtId="0" fontId="0" fillId="0" borderId="8" xfId="0" quotePrefix="1" applyFont="1" applyBorder="1" applyAlignment="1">
      <alignment horizontal="left" vertical="center" wrapText="1"/>
    </xf>
    <xf numFmtId="170" fontId="0" fillId="2" borderId="3" xfId="4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9" fontId="4" fillId="3" borderId="8" xfId="1" applyNumberFormat="1" applyFont="1" applyFill="1" applyBorder="1" applyAlignment="1">
      <alignment vertical="center"/>
    </xf>
    <xf numFmtId="169" fontId="4" fillId="3" borderId="14" xfId="1" applyNumberFormat="1" applyFont="1" applyFill="1" applyBorder="1" applyAlignment="1">
      <alignment vertical="center"/>
    </xf>
    <xf numFmtId="0" fontId="4" fillId="0" borderId="6" xfId="0" quotePrefix="1" applyFont="1" applyBorder="1" applyAlignment="1">
      <alignment vertical="center"/>
    </xf>
    <xf numFmtId="171" fontId="5" fillId="0" borderId="2" xfId="7" applyNumberFormat="1" applyFont="1" applyBorder="1"/>
    <xf numFmtId="0" fontId="7" fillId="0" borderId="18" xfId="0" applyFont="1" applyBorder="1" applyAlignment="1">
      <alignment horizontal="left" vertical="center" indent="1"/>
    </xf>
    <xf numFmtId="169" fontId="5" fillId="2" borderId="3" xfId="1" applyNumberFormat="1" applyFont="1" applyFill="1" applyBorder="1"/>
    <xf numFmtId="0" fontId="6" fillId="2" borderId="6" xfId="6" applyFont="1" applyFill="1" applyBorder="1" applyAlignment="1">
      <alignment horizontal="centerContinuous"/>
    </xf>
    <xf numFmtId="0" fontId="6" fillId="2" borderId="15" xfId="6" applyFont="1" applyFill="1" applyBorder="1" applyAlignment="1">
      <alignment horizontal="centerContinuous"/>
    </xf>
    <xf numFmtId="0" fontId="6" fillId="2" borderId="6" xfId="6" applyFont="1" applyFill="1" applyBorder="1" applyAlignment="1">
      <alignment horizontal="center"/>
    </xf>
    <xf numFmtId="0" fontId="6" fillId="2" borderId="15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right"/>
    </xf>
    <xf numFmtId="167" fontId="6" fillId="2" borderId="5" xfId="6" applyNumberFormat="1" applyFont="1" applyFill="1" applyBorder="1"/>
    <xf numFmtId="167" fontId="6" fillId="2" borderId="11" xfId="6" applyNumberFormat="1" applyFont="1" applyFill="1" applyBorder="1"/>
    <xf numFmtId="170" fontId="5" fillId="0" borderId="0" xfId="4" applyNumberFormat="1" applyFont="1" applyBorder="1" applyAlignment="1">
      <alignment horizontal="center" vertical="center"/>
    </xf>
    <xf numFmtId="170" fontId="5" fillId="0" borderId="2" xfId="4" applyNumberFormat="1" applyFont="1" applyBorder="1" applyAlignment="1">
      <alignment vertical="center"/>
    </xf>
    <xf numFmtId="170" fontId="5" fillId="0" borderId="4" xfId="4" applyNumberFormat="1" applyFont="1" applyBorder="1" applyAlignment="1">
      <alignment vertical="center"/>
    </xf>
    <xf numFmtId="170" fontId="5" fillId="0" borderId="1" xfId="4" applyNumberFormat="1" applyFont="1" applyBorder="1" applyAlignment="1">
      <alignment horizontal="center" vertical="center" wrapText="1"/>
    </xf>
    <xf numFmtId="170" fontId="5" fillId="0" borderId="15" xfId="4" applyNumberFormat="1" applyFont="1" applyBorder="1" applyAlignment="1">
      <alignment vertical="center"/>
    </xf>
    <xf numFmtId="170" fontId="5" fillId="0" borderId="0" xfId="4" applyNumberFormat="1" applyFont="1" applyBorder="1" applyAlignment="1">
      <alignment horizontal="center" vertical="center" wrapText="1"/>
    </xf>
    <xf numFmtId="170" fontId="5" fillId="0" borderId="3" xfId="4" applyNumberFormat="1" applyFont="1" applyBorder="1" applyAlignment="1">
      <alignment horizontal="center" vertical="center" wrapText="1"/>
    </xf>
    <xf numFmtId="44" fontId="0" fillId="0" borderId="0" xfId="0" applyNumberFormat="1" applyFont="1"/>
    <xf numFmtId="169" fontId="5" fillId="3" borderId="3" xfId="1" applyNumberFormat="1" applyFont="1" applyFill="1" applyBorder="1"/>
    <xf numFmtId="44" fontId="5" fillId="0" borderId="2" xfId="4" applyNumberFormat="1" applyFont="1" applyBorder="1"/>
    <xf numFmtId="43" fontId="5" fillId="3" borderId="13" xfId="1" applyNumberFormat="1" applyFont="1" applyFill="1" applyBorder="1"/>
    <xf numFmtId="0" fontId="5" fillId="4" borderId="21" xfId="7" applyFont="1" applyFill="1" applyBorder="1" applyAlignment="1">
      <alignment horizontal="left" wrapText="1" indent="1"/>
    </xf>
    <xf numFmtId="0" fontId="6" fillId="4" borderId="10" xfId="7" applyFont="1" applyFill="1" applyBorder="1" applyAlignment="1">
      <alignment horizontal="center" wrapText="1"/>
    </xf>
    <xf numFmtId="0" fontId="6" fillId="4" borderId="5" xfId="7" applyFont="1" applyFill="1" applyBorder="1" applyAlignment="1">
      <alignment horizontal="center"/>
    </xf>
    <xf numFmtId="165" fontId="6" fillId="4" borderId="5" xfId="5" applyFont="1" applyFill="1" applyBorder="1" applyAlignment="1">
      <alignment horizontal="center"/>
    </xf>
    <xf numFmtId="166" fontId="6" fillId="4" borderId="5" xfId="7" applyNumberFormat="1" applyFont="1" applyFill="1" applyBorder="1" applyAlignment="1">
      <alignment horizontal="center" wrapText="1"/>
    </xf>
    <xf numFmtId="166" fontId="6" fillId="4" borderId="11" xfId="7" applyNumberFormat="1" applyFont="1" applyFill="1" applyBorder="1" applyAlignment="1">
      <alignment horizontal="center" wrapText="1"/>
    </xf>
    <xf numFmtId="170" fontId="4" fillId="0" borderId="3" xfId="4" applyNumberFormat="1" applyFont="1" applyBorder="1" applyAlignment="1">
      <alignment vertical="center"/>
    </xf>
    <xf numFmtId="0" fontId="6" fillId="0" borderId="8" xfId="7" applyFont="1" applyBorder="1" applyAlignment="1">
      <alignment horizontal="right" vertical="center" wrapText="1"/>
    </xf>
    <xf numFmtId="0" fontId="5" fillId="0" borderId="8" xfId="7" applyFont="1" applyBorder="1" applyAlignment="1">
      <alignment horizontal="left" vertical="center" wrapText="1"/>
    </xf>
    <xf numFmtId="170" fontId="5" fillId="2" borderId="8" xfId="4" applyNumberFormat="1" applyFont="1" applyFill="1" applyBorder="1" applyAlignment="1">
      <alignment vertical="center"/>
    </xf>
    <xf numFmtId="0" fontId="5" fillId="2" borderId="3" xfId="7" applyFont="1" applyFill="1" applyBorder="1" applyAlignment="1">
      <alignment horizontal="right" vertical="center"/>
    </xf>
    <xf numFmtId="169" fontId="5" fillId="2" borderId="1" xfId="1" applyNumberFormat="1" applyFont="1" applyFill="1" applyBorder="1" applyAlignment="1">
      <alignment horizontal="right"/>
    </xf>
    <xf numFmtId="169" fontId="5" fillId="2" borderId="0" xfId="1" applyNumberFormat="1" applyFont="1" applyFill="1" applyBorder="1" applyAlignment="1">
      <alignment horizontal="right"/>
    </xf>
    <xf numFmtId="169" fontId="5" fillId="2" borderId="3" xfId="1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5" fillId="0" borderId="0" xfId="7" applyFont="1" applyAlignment="1">
      <alignment wrapText="1"/>
    </xf>
    <xf numFmtId="0" fontId="6" fillId="0" borderId="19" xfId="7" applyFont="1" applyBorder="1" applyAlignment="1">
      <alignment wrapText="1"/>
    </xf>
    <xf numFmtId="0" fontId="5" fillId="0" borderId="20" xfId="7" applyFont="1" applyBorder="1" applyAlignment="1">
      <alignment horizontal="left" wrapText="1"/>
    </xf>
    <xf numFmtId="0" fontId="5" fillId="0" borderId="20" xfId="7" applyFont="1" applyBorder="1" applyAlignment="1">
      <alignment horizontal="left" vertical="center" wrapText="1"/>
    </xf>
    <xf numFmtId="0" fontId="5" fillId="0" borderId="21" xfId="7" applyFont="1" applyBorder="1" applyAlignment="1">
      <alignment horizontal="left" vertical="center" wrapText="1"/>
    </xf>
    <xf numFmtId="0" fontId="5" fillId="0" borderId="20" xfId="7" applyFont="1" applyFill="1" applyBorder="1" applyAlignment="1">
      <alignment horizontal="left" vertical="center" wrapText="1"/>
    </xf>
    <xf numFmtId="0" fontId="5" fillId="0" borderId="0" xfId="7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" fillId="0" borderId="0" xfId="0" applyFont="1"/>
    <xf numFmtId="170" fontId="5" fillId="0" borderId="0" xfId="6" applyNumberFormat="1" applyFont="1"/>
    <xf numFmtId="169" fontId="0" fillId="0" borderId="0" xfId="1" applyNumberFormat="1" applyFont="1"/>
    <xf numFmtId="44" fontId="5" fillId="0" borderId="4" xfId="4" applyNumberFormat="1" applyFont="1" applyBorder="1"/>
    <xf numFmtId="169" fontId="5" fillId="0" borderId="0" xfId="1" applyNumberFormat="1" applyFont="1" applyFill="1" applyBorder="1" applyAlignment="1">
      <alignment horizontal="right"/>
    </xf>
    <xf numFmtId="0" fontId="5" fillId="0" borderId="0" xfId="7" applyFont="1" applyFill="1"/>
    <xf numFmtId="0" fontId="7" fillId="0" borderId="0" xfId="0" applyFont="1" applyFill="1" applyBorder="1" applyAlignment="1">
      <alignment horizontal="left" vertical="center"/>
    </xf>
    <xf numFmtId="9" fontId="5" fillId="0" borderId="0" xfId="8" applyFont="1" applyFill="1" applyBorder="1" applyAlignment="1">
      <alignment horizontal="right"/>
    </xf>
    <xf numFmtId="0" fontId="5" fillId="0" borderId="3" xfId="7" applyFont="1" applyBorder="1" applyAlignment="1">
      <alignment horizontal="left"/>
    </xf>
    <xf numFmtId="0" fontId="5" fillId="0" borderId="4" xfId="7" applyFont="1" applyBorder="1" applyAlignment="1">
      <alignment horizontal="left"/>
    </xf>
    <xf numFmtId="170" fontId="0" fillId="0" borderId="0" xfId="0" applyNumberFormat="1" applyFont="1"/>
    <xf numFmtId="0" fontId="6" fillId="3" borderId="10" xfId="6" applyFont="1" applyFill="1" applyBorder="1" applyAlignment="1">
      <alignment horizontal="center"/>
    </xf>
    <xf numFmtId="0" fontId="6" fillId="3" borderId="11" xfId="6" applyFont="1" applyFill="1" applyBorder="1" applyAlignment="1">
      <alignment horizontal="center"/>
    </xf>
    <xf numFmtId="0" fontId="5" fillId="0" borderId="0" xfId="7" applyFont="1" applyFill="1" applyBorder="1" applyAlignment="1">
      <alignment horizontal="left"/>
    </xf>
    <xf numFmtId="0" fontId="5" fillId="0" borderId="2" xfId="7" applyFont="1" applyBorder="1" applyAlignment="1">
      <alignment horizontal="left"/>
    </xf>
    <xf numFmtId="0" fontId="5" fillId="0" borderId="0" xfId="7" applyFont="1" applyBorder="1" applyAlignment="1">
      <alignment horizontal="left"/>
    </xf>
    <xf numFmtId="0" fontId="5" fillId="0" borderId="1" xfId="7" applyFont="1" applyBorder="1" applyAlignment="1">
      <alignment horizontal="left"/>
    </xf>
    <xf numFmtId="0" fontId="5" fillId="0" borderId="15" xfId="7" applyFont="1" applyBorder="1" applyAlignment="1">
      <alignment horizontal="left"/>
    </xf>
    <xf numFmtId="0" fontId="5" fillId="0" borderId="2" xfId="7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0" borderId="0" xfId="6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3"/>
    <cellStyle name="Currency" xfId="4" builtinId="4"/>
    <cellStyle name="Currency 2" xfId="5"/>
    <cellStyle name="Normal" xfId="0" builtinId="0"/>
    <cellStyle name="Normal 2" xfId="6"/>
    <cellStyle name="Normal 3" xfId="7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zoomScale="85" zoomScaleNormal="85" workbookViewId="0"/>
  </sheetViews>
  <sheetFormatPr defaultRowHeight="15" x14ac:dyDescent="0.25"/>
  <cols>
    <col min="1" max="1" width="55.7109375" style="11" customWidth="1"/>
    <col min="2" max="2" width="22.5703125" style="11" bestFit="1" customWidth="1"/>
    <col min="3" max="3" width="20.85546875" style="11" bestFit="1" customWidth="1"/>
    <col min="4" max="4" width="11.5703125" style="11" bestFit="1" customWidth="1"/>
    <col min="5" max="5" width="10.5703125" style="11" bestFit="1" customWidth="1"/>
    <col min="6" max="6" width="11.5703125" style="11" bestFit="1" customWidth="1"/>
    <col min="7" max="7" width="10.5703125" style="11" bestFit="1" customWidth="1"/>
    <col min="8" max="8" width="11.5703125" style="11" bestFit="1" customWidth="1"/>
    <col min="9" max="9" width="10.5703125" style="11" bestFit="1" customWidth="1"/>
    <col min="10" max="10" width="11.5703125" style="11" bestFit="1" customWidth="1"/>
    <col min="11" max="11" width="10.5703125" style="11" bestFit="1" customWidth="1"/>
    <col min="12" max="12" width="11.5703125" style="11" bestFit="1" customWidth="1"/>
    <col min="13" max="13" width="10.5703125" style="11" bestFit="1" customWidth="1"/>
    <col min="14" max="16384" width="9.140625" style="11"/>
  </cols>
  <sheetData>
    <row r="2" spans="1:15" ht="15.75" thickBot="1" x14ac:dyDescent="0.3">
      <c r="A2" s="51" t="s">
        <v>6</v>
      </c>
      <c r="B2" s="51"/>
      <c r="C2" s="51"/>
      <c r="D2" s="51"/>
      <c r="E2" s="51"/>
      <c r="F2" s="51"/>
      <c r="G2" s="51"/>
      <c r="H2" s="47"/>
      <c r="I2" s="47"/>
    </row>
    <row r="3" spans="1:15" ht="15.75" thickBot="1" x14ac:dyDescent="0.3">
      <c r="A3" s="47" t="s">
        <v>5</v>
      </c>
      <c r="B3" s="218" t="s">
        <v>3</v>
      </c>
      <c r="C3" s="219"/>
      <c r="D3" s="275" t="s">
        <v>76</v>
      </c>
      <c r="E3" s="276"/>
      <c r="F3" s="275" t="s">
        <v>77</v>
      </c>
      <c r="G3" s="276"/>
      <c r="H3" s="275" t="s">
        <v>78</v>
      </c>
      <c r="I3" s="276"/>
      <c r="J3" s="275" t="s">
        <v>79</v>
      </c>
      <c r="K3" s="276"/>
      <c r="L3" s="275" t="s">
        <v>80</v>
      </c>
      <c r="M3" s="276"/>
    </row>
    <row r="4" spans="1:15" ht="15.75" thickBot="1" x14ac:dyDescent="0.3">
      <c r="A4" s="48"/>
      <c r="B4" s="220" t="s">
        <v>2</v>
      </c>
      <c r="C4" s="221" t="s">
        <v>1</v>
      </c>
      <c r="D4" s="163" t="s">
        <v>2</v>
      </c>
      <c r="E4" s="164" t="s">
        <v>1</v>
      </c>
      <c r="F4" s="163" t="s">
        <v>2</v>
      </c>
      <c r="G4" s="164" t="s">
        <v>1</v>
      </c>
      <c r="H4" s="163" t="s">
        <v>2</v>
      </c>
      <c r="I4" s="164" t="s">
        <v>1</v>
      </c>
      <c r="J4" s="163" t="s">
        <v>2</v>
      </c>
      <c r="K4" s="164" t="s">
        <v>1</v>
      </c>
      <c r="L4" s="163" t="s">
        <v>2</v>
      </c>
      <c r="M4" s="164" t="s">
        <v>1</v>
      </c>
    </row>
    <row r="5" spans="1:15" ht="19.5" customHeight="1" x14ac:dyDescent="0.25">
      <c r="A5" s="81" t="s">
        <v>147</v>
      </c>
      <c r="B5" s="79">
        <f>+'C1 Hub '!F36</f>
        <v>66736880</v>
      </c>
      <c r="C5" s="77">
        <f>B5/$B$14</f>
        <v>10395152.647975078</v>
      </c>
      <c r="D5" s="83">
        <f>'C1 Hub '!H36</f>
        <v>18994124</v>
      </c>
      <c r="E5" s="84">
        <f t="shared" ref="E5:E10" si="0">D5/$B$14</f>
        <v>2958586.292834891</v>
      </c>
      <c r="F5" s="83">
        <f>'C1 Hub '!J36</f>
        <v>8665689</v>
      </c>
      <c r="G5" s="84">
        <f t="shared" ref="G5:G10" si="1">F5/$B$14</f>
        <v>1349795.7943925234</v>
      </c>
      <c r="H5" s="83">
        <f>'C1 Hub '!L36</f>
        <v>7825689</v>
      </c>
      <c r="I5" s="84">
        <f t="shared" ref="I5:I10" si="2">H5/$B$14</f>
        <v>1218954.6728971964</v>
      </c>
      <c r="J5" s="83">
        <f>'C1 Hub '!N36</f>
        <v>26305689</v>
      </c>
      <c r="K5" s="84">
        <f t="shared" ref="K5:K10" si="3">J5/$B$14</f>
        <v>4097459.3457943927</v>
      </c>
      <c r="L5" s="83">
        <f>'C1 Hub '!P36</f>
        <v>4945689</v>
      </c>
      <c r="M5" s="84">
        <f t="shared" ref="M5:M10" si="4">L5/$B$14</f>
        <v>770356.54205607483</v>
      </c>
      <c r="N5" s="11" t="str">
        <f>IF(D5+F5+H5+J5+L5=B5,"","FALSE")</f>
        <v/>
      </c>
      <c r="O5" s="11" t="str">
        <f>IF(E5+G5+I5+K5+M5=C5,"","FALSE")</f>
        <v/>
      </c>
    </row>
    <row r="6" spans="1:15" ht="19.5" customHeight="1" x14ac:dyDescent="0.25">
      <c r="A6" s="82" t="s">
        <v>148</v>
      </c>
      <c r="B6" s="80">
        <f>+'C2 Promotion'!F29</f>
        <v>33132832</v>
      </c>
      <c r="C6" s="78">
        <f>B6/$B$14</f>
        <v>5160877.2585669784</v>
      </c>
      <c r="D6" s="85">
        <f>'C2 Promotion'!H29</f>
        <v>5206038.9333333336</v>
      </c>
      <c r="E6" s="86">
        <f t="shared" si="0"/>
        <v>810909.49117341649</v>
      </c>
      <c r="F6" s="85">
        <f>'C2 Promotion'!J29</f>
        <v>8347043.0666666664</v>
      </c>
      <c r="G6" s="86">
        <f t="shared" si="1"/>
        <v>1300162.4714434061</v>
      </c>
      <c r="H6" s="85">
        <f>'C2 Promotion'!L29</f>
        <v>5664716.666666666</v>
      </c>
      <c r="I6" s="86">
        <f t="shared" si="2"/>
        <v>882354.62097611616</v>
      </c>
      <c r="J6" s="85">
        <f>'C2 Promotion'!N29</f>
        <v>8164716.666666666</v>
      </c>
      <c r="K6" s="86">
        <f t="shared" si="3"/>
        <v>1271762.7206645897</v>
      </c>
      <c r="L6" s="85">
        <f>'C2 Promotion'!P29</f>
        <v>5750316.666666666</v>
      </c>
      <c r="M6" s="86">
        <f t="shared" si="4"/>
        <v>895687.95430944953</v>
      </c>
      <c r="N6" s="11" t="str">
        <f>IF(D6+F6+H6+J6+L6=B6,"","FALSE")</f>
        <v/>
      </c>
      <c r="O6" s="11" t="str">
        <f t="shared" ref="O6:O9" si="5">IF(E6+G6+I6+K6+M6=C6,"","FALSE")</f>
        <v/>
      </c>
    </row>
    <row r="7" spans="1:15" ht="19.5" customHeight="1" x14ac:dyDescent="0.25">
      <c r="A7" s="82" t="s">
        <v>149</v>
      </c>
      <c r="B7" s="80">
        <f>+'C3 Regulatory'!F23</f>
        <v>6911656</v>
      </c>
      <c r="C7" s="78">
        <f>B7/$B$14</f>
        <v>1076581.9314641745</v>
      </c>
      <c r="D7" s="85">
        <f>'C3 Regulatory'!H23</f>
        <v>2526194</v>
      </c>
      <c r="E7" s="86">
        <f t="shared" si="0"/>
        <v>393488.16199376946</v>
      </c>
      <c r="F7" s="85">
        <f>'C3 Regulatory'!J23</f>
        <v>2221162</v>
      </c>
      <c r="G7" s="86">
        <f t="shared" si="1"/>
        <v>345975.3894080997</v>
      </c>
      <c r="H7" s="85">
        <f>'C3 Regulatory'!L23</f>
        <v>961500</v>
      </c>
      <c r="I7" s="86">
        <f t="shared" si="2"/>
        <v>149766.3551401869</v>
      </c>
      <c r="J7" s="85">
        <f>'C3 Regulatory'!N23</f>
        <v>659500</v>
      </c>
      <c r="K7" s="86">
        <f t="shared" si="3"/>
        <v>102725.85669781931</v>
      </c>
      <c r="L7" s="85">
        <f>'C3 Regulatory'!P23</f>
        <v>543300</v>
      </c>
      <c r="M7" s="86">
        <f t="shared" si="4"/>
        <v>84626.168224299065</v>
      </c>
      <c r="N7" s="11" t="str">
        <f t="shared" ref="N7:N9" si="6">IF(D7+F7+H7+J7+L7=B7,"","FALSE")</f>
        <v/>
      </c>
      <c r="O7" s="11" t="str">
        <f t="shared" si="5"/>
        <v/>
      </c>
    </row>
    <row r="8" spans="1:15" ht="19.5" customHeight="1" x14ac:dyDescent="0.25">
      <c r="A8" s="21" t="s">
        <v>0</v>
      </c>
      <c r="B8" s="80">
        <f>'M&amp;E'!F15</f>
        <v>2630000</v>
      </c>
      <c r="C8" s="78">
        <f>B8/$B$14</f>
        <v>409657.32087227417</v>
      </c>
      <c r="D8" s="85">
        <f>'M&amp;E'!H15</f>
        <v>595000</v>
      </c>
      <c r="E8" s="86">
        <f t="shared" si="0"/>
        <v>92679.127725856699</v>
      </c>
      <c r="F8" s="85">
        <f>'M&amp;E'!J15</f>
        <v>415000</v>
      </c>
      <c r="G8" s="86">
        <f t="shared" si="1"/>
        <v>64641.744548286602</v>
      </c>
      <c r="H8" s="85">
        <f>'M&amp;E'!L15</f>
        <v>415000</v>
      </c>
      <c r="I8" s="86">
        <f t="shared" si="2"/>
        <v>64641.744548286602</v>
      </c>
      <c r="J8" s="85">
        <f>'M&amp;E'!N15</f>
        <v>415000</v>
      </c>
      <c r="K8" s="86">
        <f t="shared" si="3"/>
        <v>64641.744548286602</v>
      </c>
      <c r="L8" s="85">
        <f>'M&amp;E'!P15</f>
        <v>790000</v>
      </c>
      <c r="M8" s="86">
        <f t="shared" si="4"/>
        <v>123052.95950155763</v>
      </c>
      <c r="N8" s="11" t="str">
        <f t="shared" si="6"/>
        <v/>
      </c>
      <c r="O8" s="11" t="str">
        <f t="shared" si="5"/>
        <v/>
      </c>
    </row>
    <row r="9" spans="1:15" ht="19.5" customHeight="1" thickBot="1" x14ac:dyDescent="0.3">
      <c r="A9" s="21" t="s">
        <v>118</v>
      </c>
      <c r="B9" s="80">
        <f>Admin!F12</f>
        <v>6148632</v>
      </c>
      <c r="C9" s="78">
        <f>B9/$B$14</f>
        <v>957730.84112149535</v>
      </c>
      <c r="D9" s="85">
        <f>$B9/5</f>
        <v>1229726.3999999999</v>
      </c>
      <c r="E9" s="86">
        <f t="shared" si="0"/>
        <v>191546.16822429906</v>
      </c>
      <c r="F9" s="85">
        <f>$B9/5</f>
        <v>1229726.3999999999</v>
      </c>
      <c r="G9" s="86">
        <f t="shared" si="1"/>
        <v>191546.16822429906</v>
      </c>
      <c r="H9" s="85">
        <f>$B9/5</f>
        <v>1229726.3999999999</v>
      </c>
      <c r="I9" s="86">
        <f t="shared" si="2"/>
        <v>191546.16822429906</v>
      </c>
      <c r="J9" s="85">
        <f>$B9/5</f>
        <v>1229726.3999999999</v>
      </c>
      <c r="K9" s="86">
        <f t="shared" si="3"/>
        <v>191546.16822429906</v>
      </c>
      <c r="L9" s="85">
        <f>$B9/5</f>
        <v>1229726.3999999999</v>
      </c>
      <c r="M9" s="86">
        <f t="shared" si="4"/>
        <v>191546.16822429906</v>
      </c>
      <c r="N9" s="11" t="str">
        <f t="shared" si="6"/>
        <v/>
      </c>
      <c r="O9" s="11" t="str">
        <f t="shared" si="5"/>
        <v/>
      </c>
    </row>
    <row r="10" spans="1:15" ht="20.25" customHeight="1" thickBot="1" x14ac:dyDescent="0.3">
      <c r="A10" s="222" t="s">
        <v>4</v>
      </c>
      <c r="B10" s="223">
        <f>SUM(B5:B9)</f>
        <v>115560000</v>
      </c>
      <c r="C10" s="224">
        <f>SUM(C5:C9)</f>
        <v>18000000</v>
      </c>
      <c r="D10" s="95">
        <f>SUM(D5:D9)</f>
        <v>28551083.333333332</v>
      </c>
      <c r="E10" s="96">
        <f t="shared" si="0"/>
        <v>4447209.2419522321</v>
      </c>
      <c r="F10" s="95">
        <f>SUM(F5:F9)</f>
        <v>20878620.466666665</v>
      </c>
      <c r="G10" s="96">
        <f t="shared" si="1"/>
        <v>3252121.5680166143</v>
      </c>
      <c r="H10" s="95">
        <f>SUM(H5:H9)</f>
        <v>16096632.066666666</v>
      </c>
      <c r="I10" s="96">
        <f t="shared" si="2"/>
        <v>2507263.5617860854</v>
      </c>
      <c r="J10" s="95">
        <f>SUM(J5:J9)</f>
        <v>36774632.066666663</v>
      </c>
      <c r="K10" s="96">
        <f t="shared" si="3"/>
        <v>5728135.8359293863</v>
      </c>
      <c r="L10" s="95">
        <f>SUM(L5:L9)</f>
        <v>13259032.066666666</v>
      </c>
      <c r="M10" s="96">
        <f t="shared" si="4"/>
        <v>2065269.7923156801</v>
      </c>
      <c r="N10" s="11" t="str">
        <f>IF(D10+F10+H10+J10+L10=B10,"","FALSE")</f>
        <v/>
      </c>
      <c r="O10" s="11" t="str">
        <f>IF(E10+G10+I10+K10+M10=C10,"","FALSE")</f>
        <v/>
      </c>
    </row>
    <row r="11" spans="1:15" x14ac:dyDescent="0.25">
      <c r="A11" s="47"/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5" x14ac:dyDescent="0.25">
      <c r="A12" s="47"/>
      <c r="B12" s="50"/>
      <c r="C12" s="47"/>
      <c r="D12" s="47"/>
      <c r="E12" s="47"/>
      <c r="F12" s="47"/>
      <c r="G12" s="47"/>
      <c r="H12" s="47"/>
      <c r="I12" s="47"/>
    </row>
    <row r="13" spans="1:15" x14ac:dyDescent="0.25">
      <c r="A13" s="48" t="s">
        <v>7</v>
      </c>
      <c r="B13" s="48"/>
      <c r="C13" s="48"/>
      <c r="D13" s="265"/>
      <c r="E13" s="47"/>
      <c r="F13" s="47"/>
      <c r="G13" s="47"/>
      <c r="H13" s="47"/>
      <c r="I13" s="47"/>
    </row>
    <row r="14" spans="1:15" x14ac:dyDescent="0.25">
      <c r="A14" s="43" t="s">
        <v>17</v>
      </c>
      <c r="B14" s="3">
        <v>6.42</v>
      </c>
      <c r="C14" s="9" t="s">
        <v>2</v>
      </c>
    </row>
    <row r="15" spans="1:15" x14ac:dyDescent="0.25">
      <c r="A15" s="47"/>
      <c r="B15" s="50"/>
    </row>
    <row r="18" spans="1:3" x14ac:dyDescent="0.25">
      <c r="A18" s="47"/>
      <c r="B18" s="47"/>
    </row>
    <row r="20" spans="1:3" x14ac:dyDescent="0.25">
      <c r="C20" s="232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zoomScale="85" zoomScaleNormal="85" zoomScaleSheetLayoutView="85" workbookViewId="0"/>
  </sheetViews>
  <sheetFormatPr defaultRowHeight="15" x14ac:dyDescent="0.25"/>
  <cols>
    <col min="1" max="1" width="9.140625" style="11"/>
    <col min="2" max="2" width="59.5703125" style="11" customWidth="1"/>
    <col min="3" max="3" width="21" style="11" customWidth="1"/>
    <col min="4" max="4" width="10.85546875" style="11" bestFit="1" customWidth="1"/>
    <col min="5" max="5" width="13.5703125" style="11" customWidth="1"/>
    <col min="6" max="7" width="16.85546875" style="11" customWidth="1"/>
    <col min="8" max="8" width="11.5703125" style="11" bestFit="1" customWidth="1"/>
    <col min="9" max="9" width="13.28515625" style="11" bestFit="1" customWidth="1"/>
    <col min="10" max="11" width="10.5703125" style="11" bestFit="1" customWidth="1"/>
    <col min="12" max="12" width="11.5703125" style="11" bestFit="1" customWidth="1"/>
    <col min="13" max="13" width="10.5703125" style="11" bestFit="1" customWidth="1"/>
    <col min="14" max="14" width="11.5703125" style="11" bestFit="1" customWidth="1"/>
    <col min="15" max="16" width="10.5703125" style="11" bestFit="1" customWidth="1"/>
    <col min="17" max="17" width="11.5703125" style="11" bestFit="1" customWidth="1"/>
    <col min="18" max="16384" width="9.140625" style="11"/>
  </cols>
  <sheetData>
    <row r="1" spans="2:18" x14ac:dyDescent="0.25">
      <c r="B1" s="285" t="s">
        <v>146</v>
      </c>
      <c r="C1" s="285"/>
      <c r="D1" s="285"/>
      <c r="E1" s="285"/>
      <c r="F1" s="285"/>
      <c r="G1" s="285"/>
      <c r="H1" s="285"/>
    </row>
    <row r="2" spans="2:18" ht="15.75" thickBot="1" x14ac:dyDescent="0.3"/>
    <row r="3" spans="2:18" ht="15.75" thickBot="1" x14ac:dyDescent="0.3">
      <c r="H3" s="286" t="str">
        <f>Summary!$D$3</f>
        <v>Year 1</v>
      </c>
      <c r="I3" s="283"/>
      <c r="J3" s="286" t="str">
        <f>Summary!$F$3</f>
        <v>Year 2</v>
      </c>
      <c r="K3" s="284"/>
      <c r="L3" s="283" t="str">
        <f>Summary!$H$3</f>
        <v>Year 3</v>
      </c>
      <c r="M3" s="284"/>
      <c r="N3" s="283" t="str">
        <f>Summary!$J$3</f>
        <v>Year 4</v>
      </c>
      <c r="O3" s="284"/>
      <c r="P3" s="283" t="str">
        <f>Summary!$L$3</f>
        <v>Year 5</v>
      </c>
      <c r="Q3" s="284"/>
    </row>
    <row r="4" spans="2:18" ht="30" customHeight="1" thickBot="1" x14ac:dyDescent="0.3">
      <c r="B4" s="1"/>
      <c r="C4" s="31" t="s">
        <v>10</v>
      </c>
      <c r="D4" s="32" t="s">
        <v>8</v>
      </c>
      <c r="E4" s="32" t="s">
        <v>11</v>
      </c>
      <c r="F4" s="33" t="s">
        <v>14</v>
      </c>
      <c r="G4" s="34" t="s">
        <v>9</v>
      </c>
      <c r="H4" s="71" t="s">
        <v>2</v>
      </c>
      <c r="I4" s="72" t="s">
        <v>1</v>
      </c>
      <c r="J4" s="73" t="s">
        <v>2</v>
      </c>
      <c r="K4" s="74" t="s">
        <v>1</v>
      </c>
      <c r="L4" s="75" t="s">
        <v>2</v>
      </c>
      <c r="M4" s="76" t="s">
        <v>1</v>
      </c>
      <c r="N4" s="75" t="s">
        <v>2</v>
      </c>
      <c r="O4" s="76" t="s">
        <v>1</v>
      </c>
      <c r="P4" s="75" t="s">
        <v>2</v>
      </c>
      <c r="Q4" s="76" t="s">
        <v>1</v>
      </c>
    </row>
    <row r="5" spans="2:18" x14ac:dyDescent="0.25">
      <c r="B5" s="98" t="s">
        <v>81</v>
      </c>
      <c r="C5" s="68"/>
      <c r="D5" s="39"/>
      <c r="E5" s="40"/>
      <c r="F5" s="55"/>
      <c r="G5" s="56"/>
      <c r="H5" s="83"/>
      <c r="I5" s="84"/>
      <c r="J5" s="83"/>
      <c r="K5" s="91"/>
      <c r="L5" s="92"/>
      <c r="M5" s="100"/>
      <c r="N5" s="92"/>
      <c r="O5" s="100"/>
      <c r="P5" s="92"/>
      <c r="Q5" s="100"/>
    </row>
    <row r="6" spans="2:18" x14ac:dyDescent="0.25">
      <c r="B6" s="62" t="s">
        <v>119</v>
      </c>
      <c r="C6" s="67">
        <v>22000</v>
      </c>
      <c r="D6" s="37">
        <v>60</v>
      </c>
      <c r="E6" s="38" t="s">
        <v>18</v>
      </c>
      <c r="F6" s="53">
        <f t="shared" ref="F6:F13" si="0">C6*D6</f>
        <v>1320000</v>
      </c>
      <c r="G6" s="54">
        <f>F6/Summary!$B$14</f>
        <v>205607.47663551403</v>
      </c>
      <c r="H6" s="85">
        <f>$F6/5</f>
        <v>264000</v>
      </c>
      <c r="I6" s="86">
        <f>H6/Summary!$B$14</f>
        <v>41121.495327102806</v>
      </c>
      <c r="J6" s="85">
        <f>$F6/5</f>
        <v>264000</v>
      </c>
      <c r="K6" s="89">
        <f>J6/Summary!$B$14</f>
        <v>41121.495327102806</v>
      </c>
      <c r="L6" s="85">
        <f>$F6/5</f>
        <v>264000</v>
      </c>
      <c r="M6" s="101">
        <f>L6/Summary!$B$14</f>
        <v>41121.495327102806</v>
      </c>
      <c r="N6" s="85">
        <f>$F6/5</f>
        <v>264000</v>
      </c>
      <c r="O6" s="101">
        <f>N6/Summary!$B$14</f>
        <v>41121.495327102806</v>
      </c>
      <c r="P6" s="85">
        <f>$F6/5</f>
        <v>264000</v>
      </c>
      <c r="Q6" s="101">
        <f>P6/Summary!$B$14</f>
        <v>41121.495327102806</v>
      </c>
      <c r="R6" s="11" t="str">
        <f>IF(H6+J6+L6+N6+P6=F6,"","FALSE")</f>
        <v/>
      </c>
    </row>
    <row r="7" spans="2:18" x14ac:dyDescent="0.25">
      <c r="B7" s="62" t="s">
        <v>137</v>
      </c>
      <c r="C7" s="67">
        <v>18000</v>
      </c>
      <c r="D7" s="37">
        <v>60</v>
      </c>
      <c r="E7" s="38" t="s">
        <v>18</v>
      </c>
      <c r="F7" s="53">
        <f t="shared" ref="F7" si="1">C7*D7</f>
        <v>1080000</v>
      </c>
      <c r="G7" s="54">
        <f>F7/Summary!$B$14</f>
        <v>168224.29906542055</v>
      </c>
      <c r="H7" s="85">
        <f>$F$7/5</f>
        <v>216000</v>
      </c>
      <c r="I7" s="86">
        <f>H7/Summary!$B$14</f>
        <v>33644.859813084113</v>
      </c>
      <c r="J7" s="85">
        <f>$F$7/5</f>
        <v>216000</v>
      </c>
      <c r="K7" s="89">
        <f>J7/Summary!$B$14</f>
        <v>33644.859813084113</v>
      </c>
      <c r="L7" s="85">
        <f>$F$7/5</f>
        <v>216000</v>
      </c>
      <c r="M7" s="101">
        <f>L7/Summary!$B$14</f>
        <v>33644.859813084113</v>
      </c>
      <c r="N7" s="85">
        <f>$F$7/5</f>
        <v>216000</v>
      </c>
      <c r="O7" s="101">
        <f>N7/Summary!$B$14</f>
        <v>33644.859813084113</v>
      </c>
      <c r="P7" s="85">
        <f>$F$7/5</f>
        <v>216000</v>
      </c>
      <c r="Q7" s="101">
        <f>P7/Summary!$B$14</f>
        <v>33644.859813084113</v>
      </c>
      <c r="R7" s="11" t="str">
        <f t="shared" ref="R7:R15" si="2">IF(H7+J7+L7+N7+P7=F7,"","FALSE")</f>
        <v/>
      </c>
    </row>
    <row r="8" spans="2:18" x14ac:dyDescent="0.25">
      <c r="B8" s="62" t="s">
        <v>140</v>
      </c>
      <c r="C8" s="67">
        <v>18000</v>
      </c>
      <c r="D8" s="37">
        <v>60</v>
      </c>
      <c r="E8" s="38" t="s">
        <v>18</v>
      </c>
      <c r="F8" s="53">
        <f t="shared" ref="F8" si="3">C8*D8</f>
        <v>1080000</v>
      </c>
      <c r="G8" s="54">
        <f>F8/Summary!$B$14</f>
        <v>168224.29906542055</v>
      </c>
      <c r="H8" s="85">
        <f>$F$8/5</f>
        <v>216000</v>
      </c>
      <c r="I8" s="86">
        <f>H8/Summary!$B$14</f>
        <v>33644.859813084113</v>
      </c>
      <c r="J8" s="85">
        <f>$F$8/5</f>
        <v>216000</v>
      </c>
      <c r="K8" s="89">
        <f>J8/Summary!$B$14</f>
        <v>33644.859813084113</v>
      </c>
      <c r="L8" s="85">
        <f>$F$8/5</f>
        <v>216000</v>
      </c>
      <c r="M8" s="101">
        <f>L8/Summary!$B$14</f>
        <v>33644.859813084113</v>
      </c>
      <c r="N8" s="85">
        <f>$F$8/5</f>
        <v>216000</v>
      </c>
      <c r="O8" s="101">
        <f>N8/Summary!$B$14</f>
        <v>33644.859813084113</v>
      </c>
      <c r="P8" s="85">
        <f>$F$8/5</f>
        <v>216000</v>
      </c>
      <c r="Q8" s="101">
        <f>P8/Summary!$B$14</f>
        <v>33644.859813084113</v>
      </c>
      <c r="R8" s="11" t="str">
        <f t="shared" si="2"/>
        <v/>
      </c>
    </row>
    <row r="9" spans="2:18" x14ac:dyDescent="0.25">
      <c r="B9" s="62" t="s">
        <v>82</v>
      </c>
      <c r="C9" s="67">
        <f>15000/5</f>
        <v>3000</v>
      </c>
      <c r="D9" s="37">
        <f>C38*C39*5</f>
        <v>180</v>
      </c>
      <c r="E9" s="38" t="s">
        <v>55</v>
      </c>
      <c r="F9" s="53">
        <f t="shared" si="0"/>
        <v>540000</v>
      </c>
      <c r="G9" s="54">
        <f>F9/Summary!$B$14</f>
        <v>84112.149532710275</v>
      </c>
      <c r="H9" s="85">
        <f>$F9/5</f>
        <v>108000</v>
      </c>
      <c r="I9" s="86">
        <f>H9/Summary!$B$14</f>
        <v>16822.429906542056</v>
      </c>
      <c r="J9" s="85">
        <f>$F9/5</f>
        <v>108000</v>
      </c>
      <c r="K9" s="89">
        <f>J9/Summary!$B$14</f>
        <v>16822.429906542056</v>
      </c>
      <c r="L9" s="85">
        <f>$F9/5</f>
        <v>108000</v>
      </c>
      <c r="M9" s="101">
        <f>L9/Summary!$B$14</f>
        <v>16822.429906542056</v>
      </c>
      <c r="N9" s="85">
        <f>$F9/5</f>
        <v>108000</v>
      </c>
      <c r="O9" s="101">
        <f>N9/Summary!$B$14</f>
        <v>16822.429906542056</v>
      </c>
      <c r="P9" s="85">
        <f>$F9/5</f>
        <v>108000</v>
      </c>
      <c r="Q9" s="101">
        <f>P9/Summary!$B$14</f>
        <v>16822.429906542056</v>
      </c>
      <c r="R9" s="11" t="str">
        <f t="shared" si="2"/>
        <v/>
      </c>
    </row>
    <row r="10" spans="2:18" x14ac:dyDescent="0.25">
      <c r="B10" s="62" t="s">
        <v>56</v>
      </c>
      <c r="C10" s="67">
        <f>(1000*6.42)+(350*6.42*(C39+2)*C39)</f>
        <v>40125</v>
      </c>
      <c r="D10" s="37">
        <f>ROUNDUP(C38*(C39+2)*0.33,0)</f>
        <v>20</v>
      </c>
      <c r="E10" s="38" t="s">
        <v>24</v>
      </c>
      <c r="F10" s="53">
        <f t="shared" si="0"/>
        <v>802500</v>
      </c>
      <c r="G10" s="54">
        <f>F10/Summary!$B$14</f>
        <v>125000</v>
      </c>
      <c r="H10" s="85">
        <f t="shared" ref="H10:P13" si="4">$F10/5</f>
        <v>160500</v>
      </c>
      <c r="I10" s="86">
        <f>H10/Summary!$B$14</f>
        <v>25000</v>
      </c>
      <c r="J10" s="85">
        <f t="shared" si="4"/>
        <v>160500</v>
      </c>
      <c r="K10" s="89">
        <f>J10/Summary!$B$14</f>
        <v>25000</v>
      </c>
      <c r="L10" s="85">
        <f t="shared" si="4"/>
        <v>160500</v>
      </c>
      <c r="M10" s="101">
        <f>L10/Summary!$B$14</f>
        <v>25000</v>
      </c>
      <c r="N10" s="85">
        <f t="shared" si="4"/>
        <v>160500</v>
      </c>
      <c r="O10" s="101">
        <f>N10/Summary!$B$14</f>
        <v>25000</v>
      </c>
      <c r="P10" s="85">
        <f t="shared" si="4"/>
        <v>160500</v>
      </c>
      <c r="Q10" s="101">
        <f>P10/Summary!$B$14</f>
        <v>25000</v>
      </c>
      <c r="R10" s="11" t="str">
        <f t="shared" si="2"/>
        <v/>
      </c>
    </row>
    <row r="11" spans="2:18" x14ac:dyDescent="0.25">
      <c r="B11" s="63" t="s">
        <v>35</v>
      </c>
      <c r="C11" s="67">
        <v>3200</v>
      </c>
      <c r="D11" s="37">
        <f>$C$38*5/2</f>
        <v>30</v>
      </c>
      <c r="E11" s="38" t="s">
        <v>23</v>
      </c>
      <c r="F11" s="53">
        <f t="shared" si="0"/>
        <v>96000</v>
      </c>
      <c r="G11" s="54">
        <f>F11/Summary!$B$14</f>
        <v>14953.271028037383</v>
      </c>
      <c r="H11" s="85">
        <f t="shared" si="4"/>
        <v>19200</v>
      </c>
      <c r="I11" s="86">
        <f>H11/Summary!$B$14</f>
        <v>2990.6542056074768</v>
      </c>
      <c r="J11" s="85">
        <f t="shared" si="4"/>
        <v>19200</v>
      </c>
      <c r="K11" s="89">
        <f>J11/Summary!$B$14</f>
        <v>2990.6542056074768</v>
      </c>
      <c r="L11" s="85">
        <f t="shared" si="4"/>
        <v>19200</v>
      </c>
      <c r="M11" s="101">
        <f>L11/Summary!$B$14</f>
        <v>2990.6542056074768</v>
      </c>
      <c r="N11" s="85">
        <f t="shared" si="4"/>
        <v>19200</v>
      </c>
      <c r="O11" s="101">
        <f>N11/Summary!$B$14</f>
        <v>2990.6542056074768</v>
      </c>
      <c r="P11" s="85">
        <f t="shared" si="4"/>
        <v>19200</v>
      </c>
      <c r="Q11" s="101">
        <f>P11/Summary!$B$14</f>
        <v>2990.6542056074768</v>
      </c>
      <c r="R11" s="11" t="str">
        <f>IF(H11+J11+L11+N11+P11=F11,"","FALSE")</f>
        <v/>
      </c>
    </row>
    <row r="12" spans="2:18" x14ac:dyDescent="0.25">
      <c r="B12" s="63" t="s">
        <v>36</v>
      </c>
      <c r="C12" s="67">
        <v>5000</v>
      </c>
      <c r="D12" s="37">
        <f>ROUNDUP($C$38*5*0.33,0)</f>
        <v>20</v>
      </c>
      <c r="E12" s="38" t="s">
        <v>22</v>
      </c>
      <c r="F12" s="53">
        <f t="shared" si="0"/>
        <v>100000</v>
      </c>
      <c r="G12" s="54">
        <f>F12/Summary!$B$14</f>
        <v>15576.323987538941</v>
      </c>
      <c r="H12" s="85">
        <f t="shared" si="4"/>
        <v>20000</v>
      </c>
      <c r="I12" s="86">
        <f>H12/Summary!$B$14</f>
        <v>3115.264797507788</v>
      </c>
      <c r="J12" s="85">
        <f t="shared" si="4"/>
        <v>20000</v>
      </c>
      <c r="K12" s="89">
        <f>J12/Summary!$B$14</f>
        <v>3115.264797507788</v>
      </c>
      <c r="L12" s="85">
        <f t="shared" si="4"/>
        <v>20000</v>
      </c>
      <c r="M12" s="101">
        <f>L12/Summary!$B$14</f>
        <v>3115.264797507788</v>
      </c>
      <c r="N12" s="85">
        <f t="shared" si="4"/>
        <v>20000</v>
      </c>
      <c r="O12" s="101">
        <f>N12/Summary!$B$14</f>
        <v>3115.264797507788</v>
      </c>
      <c r="P12" s="85">
        <f t="shared" si="4"/>
        <v>20000</v>
      </c>
      <c r="Q12" s="101">
        <f>P12/Summary!$B$14</f>
        <v>3115.264797507788</v>
      </c>
      <c r="R12" s="11" t="str">
        <f t="shared" si="2"/>
        <v/>
      </c>
    </row>
    <row r="13" spans="2:18" x14ac:dyDescent="0.25">
      <c r="B13" s="63" t="s">
        <v>37</v>
      </c>
      <c r="C13" s="67">
        <v>4000</v>
      </c>
      <c r="D13" s="37">
        <f>ROUNDUP($C$38*5/2,0)</f>
        <v>30</v>
      </c>
      <c r="E13" s="38" t="s">
        <v>22</v>
      </c>
      <c r="F13" s="53">
        <f t="shared" si="0"/>
        <v>120000</v>
      </c>
      <c r="G13" s="54">
        <f>F13/Summary!$B$14</f>
        <v>18691.58878504673</v>
      </c>
      <c r="H13" s="85">
        <f t="shared" si="4"/>
        <v>24000</v>
      </c>
      <c r="I13" s="86">
        <f>H13/Summary!$B$14</f>
        <v>3738.3177570093458</v>
      </c>
      <c r="J13" s="85">
        <f t="shared" si="4"/>
        <v>24000</v>
      </c>
      <c r="K13" s="89">
        <f>J13/Summary!$B$14</f>
        <v>3738.3177570093458</v>
      </c>
      <c r="L13" s="85">
        <f t="shared" si="4"/>
        <v>24000</v>
      </c>
      <c r="M13" s="101">
        <f>L13/Summary!$B$14</f>
        <v>3738.3177570093458</v>
      </c>
      <c r="N13" s="85">
        <f t="shared" si="4"/>
        <v>24000</v>
      </c>
      <c r="O13" s="101">
        <f>N13/Summary!$B$14</f>
        <v>3738.3177570093458</v>
      </c>
      <c r="P13" s="85">
        <f t="shared" si="4"/>
        <v>24000</v>
      </c>
      <c r="Q13" s="101">
        <f>P13/Summary!$B$14</f>
        <v>3738.3177570093458</v>
      </c>
      <c r="R13" s="11" t="str">
        <f t="shared" si="2"/>
        <v/>
      </c>
    </row>
    <row r="14" spans="2:18" x14ac:dyDescent="0.25">
      <c r="B14" s="63" t="s">
        <v>92</v>
      </c>
      <c r="C14" s="67">
        <f>(10000*Summary!B14)*C41</f>
        <v>321000</v>
      </c>
      <c r="D14" s="37">
        <f>C40</f>
        <v>4</v>
      </c>
      <c r="E14" s="38" t="s">
        <v>93</v>
      </c>
      <c r="F14" s="53">
        <f t="shared" ref="F14" si="5">C14*D14</f>
        <v>1284000</v>
      </c>
      <c r="G14" s="54">
        <f>F14/Summary!$B$14</f>
        <v>200000</v>
      </c>
      <c r="H14" s="85">
        <v>0</v>
      </c>
      <c r="I14" s="86">
        <f>H14/Summary!$B$14</f>
        <v>0</v>
      </c>
      <c r="J14" s="85">
        <f>$F14*1/4</f>
        <v>321000</v>
      </c>
      <c r="K14" s="89">
        <f>J14/Summary!$B$14</f>
        <v>50000</v>
      </c>
      <c r="L14" s="85">
        <f>$F14*1/4</f>
        <v>321000</v>
      </c>
      <c r="M14" s="101">
        <f>L14/Summary!$B$14</f>
        <v>50000</v>
      </c>
      <c r="N14" s="85">
        <f>$F14*1/4</f>
        <v>321000</v>
      </c>
      <c r="O14" s="101">
        <f>N14/Summary!$B$14</f>
        <v>50000</v>
      </c>
      <c r="P14" s="85">
        <f>$F14*1/4</f>
        <v>321000</v>
      </c>
      <c r="Q14" s="101">
        <f>P14/Summary!$B$14</f>
        <v>50000</v>
      </c>
      <c r="R14" s="11" t="str">
        <f t="shared" si="2"/>
        <v/>
      </c>
    </row>
    <row r="15" spans="2:18" ht="15.75" thickBot="1" x14ac:dyDescent="0.3">
      <c r="B15" s="63" t="s">
        <v>96</v>
      </c>
      <c r="C15" s="66">
        <f>(1000*Summary!B14)+(350*Summary!B14*7*C41)</f>
        <v>85065</v>
      </c>
      <c r="D15" s="37">
        <f>C40</f>
        <v>4</v>
      </c>
      <c r="E15" s="38" t="s">
        <v>29</v>
      </c>
      <c r="F15" s="53">
        <f>C15*D15</f>
        <v>340260</v>
      </c>
      <c r="G15" s="54">
        <f>F15/Summary!$B$14</f>
        <v>53000</v>
      </c>
      <c r="H15" s="85">
        <v>0</v>
      </c>
      <c r="I15" s="86">
        <f>H15/Summary!$B$14</f>
        <v>0</v>
      </c>
      <c r="J15" s="85">
        <f>$F15*1/4</f>
        <v>85065</v>
      </c>
      <c r="K15" s="89">
        <f>J15/Summary!$B$14</f>
        <v>13250</v>
      </c>
      <c r="L15" s="135">
        <f>$F15*1/4</f>
        <v>85065</v>
      </c>
      <c r="M15" s="101">
        <f>L15/Summary!$B$14</f>
        <v>13250</v>
      </c>
      <c r="N15" s="135">
        <f>$F15*1/4</f>
        <v>85065</v>
      </c>
      <c r="O15" s="101">
        <f>N15/Summary!$B$14</f>
        <v>13250</v>
      </c>
      <c r="P15" s="135">
        <f>$F15*1/4</f>
        <v>85065</v>
      </c>
      <c r="Q15" s="101">
        <f>P15/Summary!$B$14</f>
        <v>13250</v>
      </c>
      <c r="R15" s="11" t="str">
        <f t="shared" si="2"/>
        <v/>
      </c>
    </row>
    <row r="16" spans="2:18" x14ac:dyDescent="0.25">
      <c r="B16" s="97" t="s">
        <v>121</v>
      </c>
      <c r="C16" s="12"/>
      <c r="D16" s="13"/>
      <c r="E16" s="13"/>
      <c r="F16" s="103"/>
      <c r="G16" s="56"/>
      <c r="H16" s="83"/>
      <c r="I16" s="84"/>
      <c r="J16" s="83"/>
      <c r="K16" s="91"/>
      <c r="L16" s="92"/>
      <c r="M16" s="91"/>
      <c r="N16" s="92"/>
      <c r="O16" s="91"/>
      <c r="P16" s="92"/>
      <c r="Q16" s="91"/>
      <c r="R16" s="11" t="str">
        <f t="shared" ref="R16:R35" si="6">IF(H16+J16+L16+N16+P16=F16,"","FALSE")</f>
        <v/>
      </c>
    </row>
    <row r="17" spans="2:18" x14ac:dyDescent="0.25">
      <c r="B17" s="60" t="s">
        <v>123</v>
      </c>
      <c r="C17" s="66">
        <v>500000</v>
      </c>
      <c r="D17" s="36">
        <v>1</v>
      </c>
      <c r="E17" s="9" t="s">
        <v>19</v>
      </c>
      <c r="F17" s="53">
        <f>C17*D17</f>
        <v>500000</v>
      </c>
      <c r="G17" s="54">
        <f>F17/Summary!$B$14</f>
        <v>77881.619937694704</v>
      </c>
      <c r="H17" s="85">
        <f>F17</f>
        <v>500000</v>
      </c>
      <c r="I17" s="86">
        <f>H17/Summary!$B$14</f>
        <v>77881.619937694704</v>
      </c>
      <c r="J17" s="85">
        <v>0</v>
      </c>
      <c r="K17" s="89">
        <f>J17/Summary!$B$14</f>
        <v>0</v>
      </c>
      <c r="L17" s="90">
        <v>0</v>
      </c>
      <c r="M17" s="89">
        <f>L17/Summary!$B$14</f>
        <v>0</v>
      </c>
      <c r="N17" s="90">
        <v>0</v>
      </c>
      <c r="O17" s="89">
        <f>N17/Summary!$B$14</f>
        <v>0</v>
      </c>
      <c r="P17" s="90">
        <v>0</v>
      </c>
      <c r="Q17" s="89">
        <f>P17/Summary!$B$14</f>
        <v>0</v>
      </c>
      <c r="R17" s="11" t="str">
        <f t="shared" si="6"/>
        <v/>
      </c>
    </row>
    <row r="18" spans="2:18" x14ac:dyDescent="0.25">
      <c r="B18" s="60" t="s">
        <v>120</v>
      </c>
      <c r="C18" s="66">
        <v>18000</v>
      </c>
      <c r="D18" s="36">
        <v>60</v>
      </c>
      <c r="E18" s="9" t="s">
        <v>18</v>
      </c>
      <c r="F18" s="53">
        <f>C18*D18</f>
        <v>1080000</v>
      </c>
      <c r="G18" s="54">
        <f>F18/Summary!$B$14</f>
        <v>168224.29906542055</v>
      </c>
      <c r="H18" s="85">
        <f>$F18/5</f>
        <v>216000</v>
      </c>
      <c r="I18" s="235">
        <f>H18/Summary!$B$14</f>
        <v>33644.859813084113</v>
      </c>
      <c r="J18" s="85">
        <f>$F18/5</f>
        <v>216000</v>
      </c>
      <c r="K18" s="89">
        <f>J18/Summary!$B$14</f>
        <v>33644.859813084113</v>
      </c>
      <c r="L18" s="85">
        <f>$F18/5</f>
        <v>216000</v>
      </c>
      <c r="M18" s="101">
        <f>L18/Summary!$B$14</f>
        <v>33644.859813084113</v>
      </c>
      <c r="N18" s="85">
        <f>$F18/5</f>
        <v>216000</v>
      </c>
      <c r="O18" s="101">
        <f>N18/Summary!$B$14</f>
        <v>33644.859813084113</v>
      </c>
      <c r="P18" s="85">
        <f>$F18/5</f>
        <v>216000</v>
      </c>
      <c r="Q18" s="101">
        <f>P18/Summary!$B$14</f>
        <v>33644.859813084113</v>
      </c>
      <c r="R18" s="11" t="str">
        <f t="shared" si="6"/>
        <v/>
      </c>
    </row>
    <row r="19" spans="2:18" x14ac:dyDescent="0.25">
      <c r="B19" s="60" t="s">
        <v>100</v>
      </c>
      <c r="C19" s="66">
        <v>37450</v>
      </c>
      <c r="D19" s="36">
        <v>26</v>
      </c>
      <c r="E19" s="9" t="s">
        <v>24</v>
      </c>
      <c r="F19" s="53">
        <f>C19*D19</f>
        <v>973700</v>
      </c>
      <c r="G19" s="54">
        <f>F19/Summary!$B$14</f>
        <v>151666.66666666666</v>
      </c>
      <c r="H19" s="85">
        <f>$F19/5</f>
        <v>194740</v>
      </c>
      <c r="I19" s="86">
        <f>H19/Summary!$B$14</f>
        <v>30333.333333333332</v>
      </c>
      <c r="J19" s="85">
        <f t="shared" ref="J19:J23" si="7">$F19/5</f>
        <v>194740</v>
      </c>
      <c r="K19" s="89">
        <f>J19/Summary!$B$14</f>
        <v>30333.333333333332</v>
      </c>
      <c r="L19" s="85">
        <f t="shared" ref="L19:L23" si="8">$F19/5</f>
        <v>194740</v>
      </c>
      <c r="M19" s="101">
        <f>L19/Summary!$B$14</f>
        <v>30333.333333333332</v>
      </c>
      <c r="N19" s="85">
        <f t="shared" ref="N19:N23" si="9">$F19/5</f>
        <v>194740</v>
      </c>
      <c r="O19" s="101">
        <f>N19/Summary!$B$14</f>
        <v>30333.333333333332</v>
      </c>
      <c r="P19" s="85">
        <f t="shared" ref="P19:P23" si="10">$F19/5</f>
        <v>194740</v>
      </c>
      <c r="Q19" s="101">
        <f>P19/Summary!$B$14</f>
        <v>30333.333333333332</v>
      </c>
      <c r="R19" s="11" t="str">
        <f t="shared" si="6"/>
        <v/>
      </c>
    </row>
    <row r="20" spans="2:18" x14ac:dyDescent="0.25">
      <c r="B20" s="61" t="s">
        <v>122</v>
      </c>
      <c r="C20" s="66">
        <v>32100</v>
      </c>
      <c r="D20" s="36">
        <f>C43*C44*5</f>
        <v>280</v>
      </c>
      <c r="E20" s="9" t="s">
        <v>18</v>
      </c>
      <c r="F20" s="53">
        <f t="shared" ref="F20:F27" si="11">C20*D20</f>
        <v>8988000</v>
      </c>
      <c r="G20" s="54">
        <f>F20/Summary!$B$14</f>
        <v>1400000</v>
      </c>
      <c r="H20" s="85">
        <f t="shared" ref="H20:H23" si="12">$F20/5</f>
        <v>1797600</v>
      </c>
      <c r="I20" s="86">
        <f>H20/Summary!$B$14</f>
        <v>280000</v>
      </c>
      <c r="J20" s="85">
        <f t="shared" si="7"/>
        <v>1797600</v>
      </c>
      <c r="K20" s="89">
        <f>J20/Summary!$B$14</f>
        <v>280000</v>
      </c>
      <c r="L20" s="85">
        <f t="shared" si="8"/>
        <v>1797600</v>
      </c>
      <c r="M20" s="101">
        <f>L20/Summary!$B$14</f>
        <v>280000</v>
      </c>
      <c r="N20" s="85">
        <f t="shared" si="9"/>
        <v>1797600</v>
      </c>
      <c r="O20" s="101">
        <f>N20/Summary!$B$14</f>
        <v>280000</v>
      </c>
      <c r="P20" s="85">
        <f t="shared" si="10"/>
        <v>1797600</v>
      </c>
      <c r="Q20" s="101">
        <f>P20/Summary!$B$14</f>
        <v>280000</v>
      </c>
      <c r="R20" s="11" t="str">
        <f t="shared" si="6"/>
        <v/>
      </c>
    </row>
    <row r="21" spans="2:18" x14ac:dyDescent="0.25">
      <c r="B21" s="61" t="s">
        <v>21</v>
      </c>
      <c r="C21" s="66">
        <f>1000*6.42+350*6.42*30</f>
        <v>73830</v>
      </c>
      <c r="D21" s="36">
        <f>ROUNDUP(C43*5*0.33,0)</f>
        <v>24</v>
      </c>
      <c r="E21" s="9" t="s">
        <v>24</v>
      </c>
      <c r="F21" s="53">
        <f t="shared" si="11"/>
        <v>1771920</v>
      </c>
      <c r="G21" s="54">
        <f>F21/Summary!$B$14</f>
        <v>276000</v>
      </c>
      <c r="H21" s="85">
        <f t="shared" si="12"/>
        <v>354384</v>
      </c>
      <c r="I21" s="86">
        <f>H21/Summary!$B$14</f>
        <v>55200</v>
      </c>
      <c r="J21" s="85">
        <f t="shared" si="7"/>
        <v>354384</v>
      </c>
      <c r="K21" s="89">
        <f>J21/Summary!$B$14</f>
        <v>55200</v>
      </c>
      <c r="L21" s="85">
        <f t="shared" si="8"/>
        <v>354384</v>
      </c>
      <c r="M21" s="101">
        <f>L21/Summary!$B$14</f>
        <v>55200</v>
      </c>
      <c r="N21" s="85">
        <f t="shared" si="9"/>
        <v>354384</v>
      </c>
      <c r="O21" s="101">
        <f>N21/Summary!$B$14</f>
        <v>55200</v>
      </c>
      <c r="P21" s="85">
        <f t="shared" si="10"/>
        <v>354384</v>
      </c>
      <c r="Q21" s="101">
        <f>P21/Summary!$B$14</f>
        <v>55200</v>
      </c>
      <c r="R21" s="11" t="str">
        <f t="shared" si="6"/>
        <v/>
      </c>
    </row>
    <row r="22" spans="2:18" x14ac:dyDescent="0.25">
      <c r="B22" s="61" t="s">
        <v>37</v>
      </c>
      <c r="C22" s="66">
        <v>3200</v>
      </c>
      <c r="D22" s="36">
        <f>C43*5</f>
        <v>70</v>
      </c>
      <c r="E22" s="9" t="s">
        <v>24</v>
      </c>
      <c r="F22" s="53">
        <f t="shared" si="11"/>
        <v>224000</v>
      </c>
      <c r="G22" s="234">
        <f>F22/Summary!$B$14</f>
        <v>34890.965732087228</v>
      </c>
      <c r="H22" s="85">
        <f t="shared" si="12"/>
        <v>44800</v>
      </c>
      <c r="I22" s="86">
        <f>H22/Summary!$B$14</f>
        <v>6978.1931464174459</v>
      </c>
      <c r="J22" s="85">
        <f t="shared" si="7"/>
        <v>44800</v>
      </c>
      <c r="K22" s="89">
        <f>J22/Summary!$B$14</f>
        <v>6978.1931464174459</v>
      </c>
      <c r="L22" s="85">
        <f t="shared" si="8"/>
        <v>44800</v>
      </c>
      <c r="M22" s="101">
        <f>L22/Summary!$B$14</f>
        <v>6978.1931464174459</v>
      </c>
      <c r="N22" s="85">
        <f t="shared" si="9"/>
        <v>44800</v>
      </c>
      <c r="O22" s="101">
        <f>N22/Summary!$B$14</f>
        <v>6978.1931464174459</v>
      </c>
      <c r="P22" s="85">
        <f t="shared" si="10"/>
        <v>44800</v>
      </c>
      <c r="Q22" s="101">
        <f>P22/Summary!$B$14</f>
        <v>6978.1931464174459</v>
      </c>
      <c r="R22" s="11" t="str">
        <f t="shared" si="6"/>
        <v/>
      </c>
    </row>
    <row r="23" spans="2:18" x14ac:dyDescent="0.25">
      <c r="B23" s="61" t="s">
        <v>35</v>
      </c>
      <c r="C23" s="66">
        <v>3200</v>
      </c>
      <c r="D23" s="36">
        <f>C43*5/2</f>
        <v>35</v>
      </c>
      <c r="E23" s="9" t="s">
        <v>23</v>
      </c>
      <c r="F23" s="53">
        <f t="shared" si="11"/>
        <v>112000</v>
      </c>
      <c r="G23" s="54">
        <f>F23/Summary!$B$14</f>
        <v>17445.482866043614</v>
      </c>
      <c r="H23" s="85">
        <f t="shared" si="12"/>
        <v>22400</v>
      </c>
      <c r="I23" s="86">
        <f>H23/Summary!$B$14</f>
        <v>3489.0965732087229</v>
      </c>
      <c r="J23" s="85">
        <f t="shared" si="7"/>
        <v>22400</v>
      </c>
      <c r="K23" s="89">
        <f>J23/Summary!$B$14</f>
        <v>3489.0965732087229</v>
      </c>
      <c r="L23" s="85">
        <f t="shared" si="8"/>
        <v>22400</v>
      </c>
      <c r="M23" s="101">
        <f>L23/Summary!$B$14</f>
        <v>3489.0965732087229</v>
      </c>
      <c r="N23" s="85">
        <f t="shared" si="9"/>
        <v>22400</v>
      </c>
      <c r="O23" s="101">
        <f>N23/Summary!$B$14</f>
        <v>3489.0965732087229</v>
      </c>
      <c r="P23" s="85">
        <f t="shared" si="10"/>
        <v>22400</v>
      </c>
      <c r="Q23" s="101">
        <f>P23/Summary!$B$14</f>
        <v>3489.0965732087229</v>
      </c>
      <c r="R23" s="11" t="str">
        <f t="shared" si="6"/>
        <v/>
      </c>
    </row>
    <row r="24" spans="2:18" ht="15.75" thickBot="1" x14ac:dyDescent="0.3">
      <c r="B24" s="236" t="s">
        <v>109</v>
      </c>
      <c r="C24" s="69">
        <v>18000</v>
      </c>
      <c r="D24" s="41">
        <f>6+12*4</f>
        <v>54</v>
      </c>
      <c r="E24" s="143" t="s">
        <v>18</v>
      </c>
      <c r="F24" s="57">
        <f t="shared" si="11"/>
        <v>972000</v>
      </c>
      <c r="G24" s="58">
        <f>F24/Summary!$B$14</f>
        <v>151401.86915887852</v>
      </c>
      <c r="H24" s="87">
        <f>$F24*6/$D$24</f>
        <v>108000</v>
      </c>
      <c r="I24" s="88">
        <f>H24/Summary!$B$14</f>
        <v>16822.429906542056</v>
      </c>
      <c r="J24" s="87">
        <f>$F24*12/$D$24</f>
        <v>216000</v>
      </c>
      <c r="K24" s="93">
        <f>J24/Summary!$B$14</f>
        <v>33644.859813084113</v>
      </c>
      <c r="L24" s="233">
        <f>$F24*12/$D$24</f>
        <v>216000</v>
      </c>
      <c r="M24" s="102">
        <f>L24/Summary!$B$14</f>
        <v>33644.859813084113</v>
      </c>
      <c r="N24" s="233">
        <f>$F24*12/$D$24</f>
        <v>216000</v>
      </c>
      <c r="O24" s="102">
        <f>N24/Summary!$B$14</f>
        <v>33644.859813084113</v>
      </c>
      <c r="P24" s="233">
        <f>$F24*12/$D$24</f>
        <v>216000</v>
      </c>
      <c r="Q24" s="102">
        <f>P24/Summary!$B$14</f>
        <v>33644.859813084113</v>
      </c>
      <c r="R24" s="11" t="str">
        <f t="shared" si="6"/>
        <v/>
      </c>
    </row>
    <row r="25" spans="2:18" x14ac:dyDescent="0.25">
      <c r="B25" s="42" t="s">
        <v>145</v>
      </c>
      <c r="C25" s="141"/>
      <c r="D25" s="142"/>
      <c r="E25" s="38"/>
      <c r="F25" s="53"/>
      <c r="G25" s="54"/>
      <c r="H25" s="85"/>
      <c r="I25" s="86"/>
      <c r="J25" s="85"/>
      <c r="K25" s="89"/>
      <c r="L25" s="90"/>
      <c r="M25" s="101"/>
      <c r="N25" s="90"/>
      <c r="O25" s="101"/>
      <c r="P25" s="90"/>
      <c r="Q25" s="101"/>
      <c r="R25" s="11" t="str">
        <f t="shared" si="6"/>
        <v/>
      </c>
    </row>
    <row r="26" spans="2:18" x14ac:dyDescent="0.25">
      <c r="B26" s="64" t="s">
        <v>89</v>
      </c>
      <c r="C26" s="67">
        <v>28000</v>
      </c>
      <c r="D26" s="37">
        <v>60</v>
      </c>
      <c r="E26" s="9" t="s">
        <v>18</v>
      </c>
      <c r="F26" s="53">
        <f t="shared" ref="F26" si="13">C26*D26</f>
        <v>1680000</v>
      </c>
      <c r="G26" s="54">
        <f>F26/Summary!$B$14</f>
        <v>261682.24299065419</v>
      </c>
      <c r="H26" s="85">
        <f>F26/2</f>
        <v>840000</v>
      </c>
      <c r="I26" s="86">
        <f>H26/Summary!$B$14</f>
        <v>130841.1214953271</v>
      </c>
      <c r="J26" s="85">
        <f>F26/2</f>
        <v>840000</v>
      </c>
      <c r="K26" s="89">
        <f>J26/Summary!$B$14</f>
        <v>130841.1214953271</v>
      </c>
      <c r="L26" s="85">
        <v>0</v>
      </c>
      <c r="M26" s="101">
        <f>L26/Summary!$B$14</f>
        <v>0</v>
      </c>
      <c r="N26" s="85">
        <v>0</v>
      </c>
      <c r="O26" s="101">
        <f>N26/Summary!$B$14</f>
        <v>0</v>
      </c>
      <c r="P26" s="85">
        <v>0</v>
      </c>
      <c r="Q26" s="101">
        <f>P26/Summary!$B$14</f>
        <v>0</v>
      </c>
      <c r="R26" s="11" t="str">
        <f t="shared" si="6"/>
        <v/>
      </c>
    </row>
    <row r="27" spans="2:18" x14ac:dyDescent="0.25">
      <c r="B27" s="64" t="s">
        <v>159</v>
      </c>
      <c r="C27" s="67">
        <f>C46*C45</f>
        <v>240000</v>
      </c>
      <c r="D27" s="37">
        <f>12*3</f>
        <v>36</v>
      </c>
      <c r="E27" s="9" t="s">
        <v>18</v>
      </c>
      <c r="F27" s="53">
        <f t="shared" si="11"/>
        <v>8640000</v>
      </c>
      <c r="G27" s="54">
        <f>F27/Summary!$B$14</f>
        <v>1345794.3925233644</v>
      </c>
      <c r="H27" s="85">
        <f>$F27/3</f>
        <v>2880000</v>
      </c>
      <c r="I27" s="235">
        <f>H27/Summary!$B$14</f>
        <v>448598.13084112148</v>
      </c>
      <c r="J27" s="85">
        <f>$F27/3</f>
        <v>2880000</v>
      </c>
      <c r="K27" s="89">
        <f>J27/Summary!$B$14</f>
        <v>448598.13084112148</v>
      </c>
      <c r="L27" s="85">
        <f>$F27/3</f>
        <v>2880000</v>
      </c>
      <c r="M27" s="101">
        <f>L27/Summary!$B$14</f>
        <v>448598.13084112148</v>
      </c>
      <c r="N27" s="85">
        <v>0</v>
      </c>
      <c r="O27" s="101">
        <f>N27/Summary!$B$14</f>
        <v>0</v>
      </c>
      <c r="P27" s="85">
        <v>0</v>
      </c>
      <c r="Q27" s="101">
        <f>P27/Summary!$B$14</f>
        <v>0</v>
      </c>
      <c r="R27" s="11" t="str">
        <f t="shared" si="6"/>
        <v/>
      </c>
    </row>
    <row r="28" spans="2:18" x14ac:dyDescent="0.25">
      <c r="B28" s="64" t="s">
        <v>160</v>
      </c>
      <c r="C28" s="67">
        <f>(C46*C47)-F27</f>
        <v>21360000</v>
      </c>
      <c r="D28" s="37">
        <v>1</v>
      </c>
      <c r="E28" s="9" t="s">
        <v>83</v>
      </c>
      <c r="F28" s="53">
        <f>C28*D28</f>
        <v>21360000</v>
      </c>
      <c r="G28" s="54">
        <f>F28/Summary!$B$14</f>
        <v>3327102.8037383179</v>
      </c>
      <c r="H28" s="85">
        <v>0</v>
      </c>
      <c r="I28" s="86">
        <f>H28/Summary!$B$14</f>
        <v>0</v>
      </c>
      <c r="J28" s="85">
        <v>0</v>
      </c>
      <c r="K28" s="89">
        <f>J28/Summary!$B$14</f>
        <v>0</v>
      </c>
      <c r="L28" s="85">
        <v>0</v>
      </c>
      <c r="M28" s="101">
        <f>L28/Summary!$B$14</f>
        <v>0</v>
      </c>
      <c r="N28" s="85">
        <f>F28</f>
        <v>21360000</v>
      </c>
      <c r="O28" s="101">
        <f>N28/Summary!$B$14</f>
        <v>3327102.8037383179</v>
      </c>
      <c r="P28" s="85">
        <v>0</v>
      </c>
      <c r="Q28" s="101">
        <f>P28/Summary!$B$14</f>
        <v>0</v>
      </c>
      <c r="R28" s="11" t="str">
        <f t="shared" si="6"/>
        <v/>
      </c>
    </row>
    <row r="29" spans="2:18" x14ac:dyDescent="0.25">
      <c r="B29" s="64" t="s">
        <v>84</v>
      </c>
      <c r="C29" s="67">
        <v>300000</v>
      </c>
      <c r="D29" s="37">
        <v>1</v>
      </c>
      <c r="E29" s="9" t="s">
        <v>19</v>
      </c>
      <c r="F29" s="53">
        <f t="shared" ref="F29:F34" si="14">C29*D29</f>
        <v>300000</v>
      </c>
      <c r="G29" s="54">
        <f>F29/Summary!$B$14</f>
        <v>46728.971962616823</v>
      </c>
      <c r="H29" s="85">
        <f t="shared" ref="H29:H33" si="15">F29</f>
        <v>300000</v>
      </c>
      <c r="I29" s="86">
        <f>H29/Summary!$B$14</f>
        <v>46728.971962616823</v>
      </c>
      <c r="J29" s="85">
        <v>0</v>
      </c>
      <c r="K29" s="89">
        <f>J29/Summary!$B$14</f>
        <v>0</v>
      </c>
      <c r="L29" s="85">
        <v>0</v>
      </c>
      <c r="M29" s="101">
        <f>L29/Summary!$B$14</f>
        <v>0</v>
      </c>
      <c r="N29" s="85">
        <v>0</v>
      </c>
      <c r="O29" s="101">
        <f>N29/Summary!$B$14</f>
        <v>0</v>
      </c>
      <c r="P29" s="85">
        <v>0</v>
      </c>
      <c r="Q29" s="101">
        <f>P29/Summary!$B$14</f>
        <v>0</v>
      </c>
      <c r="R29" s="11" t="str">
        <f t="shared" si="6"/>
        <v/>
      </c>
    </row>
    <row r="30" spans="2:18" x14ac:dyDescent="0.25">
      <c r="B30" s="64" t="s">
        <v>85</v>
      </c>
      <c r="C30" s="67">
        <v>150000</v>
      </c>
      <c r="D30" s="37">
        <v>1</v>
      </c>
      <c r="E30" s="9" t="s">
        <v>19</v>
      </c>
      <c r="F30" s="53">
        <f t="shared" si="14"/>
        <v>150000</v>
      </c>
      <c r="G30" s="54">
        <f>F30/Summary!$B$14</f>
        <v>23364.485981308411</v>
      </c>
      <c r="H30" s="85">
        <f t="shared" si="15"/>
        <v>150000</v>
      </c>
      <c r="I30" s="86">
        <f>H30/Summary!$B$14</f>
        <v>23364.485981308411</v>
      </c>
      <c r="J30" s="85">
        <v>0</v>
      </c>
      <c r="K30" s="89">
        <f>J30/Summary!$B$14</f>
        <v>0</v>
      </c>
      <c r="L30" s="85">
        <v>0</v>
      </c>
      <c r="M30" s="101">
        <f>L30/Summary!$B$14</f>
        <v>0</v>
      </c>
      <c r="N30" s="85">
        <v>0</v>
      </c>
      <c r="O30" s="101">
        <f>N30/Summary!$B$14</f>
        <v>0</v>
      </c>
      <c r="P30" s="85">
        <v>0</v>
      </c>
      <c r="Q30" s="101">
        <f>P30/Summary!$B$14</f>
        <v>0</v>
      </c>
      <c r="R30" s="11" t="str">
        <f t="shared" si="6"/>
        <v/>
      </c>
    </row>
    <row r="31" spans="2:18" x14ac:dyDescent="0.25">
      <c r="B31" s="64" t="s">
        <v>86</v>
      </c>
      <c r="C31" s="67">
        <v>650000</v>
      </c>
      <c r="D31" s="37">
        <v>1</v>
      </c>
      <c r="E31" s="9" t="s">
        <v>19</v>
      </c>
      <c r="F31" s="53">
        <f t="shared" si="14"/>
        <v>650000</v>
      </c>
      <c r="G31" s="54">
        <f>F31/Summary!$B$14</f>
        <v>101246.10591900312</v>
      </c>
      <c r="H31" s="85">
        <f t="shared" si="15"/>
        <v>650000</v>
      </c>
      <c r="I31" s="86">
        <f>H31/Summary!$B$14</f>
        <v>101246.10591900312</v>
      </c>
      <c r="J31" s="85">
        <v>0</v>
      </c>
      <c r="K31" s="89">
        <f>J31/Summary!$B$14</f>
        <v>0</v>
      </c>
      <c r="L31" s="85">
        <v>0</v>
      </c>
      <c r="M31" s="101">
        <f>L31/Summary!$B$14</f>
        <v>0</v>
      </c>
      <c r="N31" s="85">
        <v>0</v>
      </c>
      <c r="O31" s="101">
        <f>N31/Summary!$B$14</f>
        <v>0</v>
      </c>
      <c r="P31" s="85">
        <v>0</v>
      </c>
      <c r="Q31" s="101">
        <f>P31/Summary!$B$14</f>
        <v>0</v>
      </c>
      <c r="R31" s="11" t="str">
        <f t="shared" si="6"/>
        <v/>
      </c>
    </row>
    <row r="32" spans="2:18" x14ac:dyDescent="0.25">
      <c r="B32" s="64" t="s">
        <v>87</v>
      </c>
      <c r="C32" s="67">
        <v>3200000</v>
      </c>
      <c r="D32" s="37">
        <v>1</v>
      </c>
      <c r="E32" s="9" t="s">
        <v>19</v>
      </c>
      <c r="F32" s="53">
        <f t="shared" si="14"/>
        <v>3200000</v>
      </c>
      <c r="G32" s="54">
        <f>F32/Summary!$B$14</f>
        <v>498442.36760124611</v>
      </c>
      <c r="H32" s="85">
        <f t="shared" si="15"/>
        <v>3200000</v>
      </c>
      <c r="I32" s="86">
        <f>H32/Summary!$B$14</f>
        <v>498442.36760124611</v>
      </c>
      <c r="J32" s="85">
        <v>0</v>
      </c>
      <c r="K32" s="89">
        <f>J32/Summary!$B$14</f>
        <v>0</v>
      </c>
      <c r="L32" s="85">
        <v>0</v>
      </c>
      <c r="M32" s="101">
        <f>L32/Summary!$B$14</f>
        <v>0</v>
      </c>
      <c r="N32" s="85">
        <v>0</v>
      </c>
      <c r="O32" s="101">
        <f>N32/Summary!$B$14</f>
        <v>0</v>
      </c>
      <c r="P32" s="85">
        <v>0</v>
      </c>
      <c r="Q32" s="101">
        <f>P32/Summary!$B$14</f>
        <v>0</v>
      </c>
      <c r="R32" s="11" t="str">
        <f t="shared" si="6"/>
        <v/>
      </c>
    </row>
    <row r="33" spans="2:19" x14ac:dyDescent="0.25">
      <c r="B33" s="64" t="s">
        <v>134</v>
      </c>
      <c r="C33" s="67">
        <v>6000000</v>
      </c>
      <c r="D33" s="37">
        <v>1</v>
      </c>
      <c r="E33" s="9" t="s">
        <v>19</v>
      </c>
      <c r="F33" s="53">
        <f t="shared" si="14"/>
        <v>6000000</v>
      </c>
      <c r="G33" s="54">
        <f>F33/Summary!$B$14</f>
        <v>934579.43925233651</v>
      </c>
      <c r="H33" s="85">
        <f t="shared" si="15"/>
        <v>6000000</v>
      </c>
      <c r="I33" s="86">
        <f>H33/Summary!$B$14</f>
        <v>934579.43925233651</v>
      </c>
      <c r="J33" s="85">
        <v>0</v>
      </c>
      <c r="K33" s="89">
        <f>J33/Summary!$B$14</f>
        <v>0</v>
      </c>
      <c r="L33" s="85">
        <v>0</v>
      </c>
      <c r="M33" s="101">
        <f>L33/Summary!$B$14</f>
        <v>0</v>
      </c>
      <c r="N33" s="85">
        <v>0</v>
      </c>
      <c r="O33" s="101">
        <f>N33/Summary!$B$14</f>
        <v>0</v>
      </c>
      <c r="P33" s="85">
        <v>0</v>
      </c>
      <c r="Q33" s="101">
        <f>P33/Summary!$B$14</f>
        <v>0</v>
      </c>
      <c r="R33" s="11" t="str">
        <f t="shared" si="6"/>
        <v/>
      </c>
    </row>
    <row r="34" spans="2:19" x14ac:dyDescent="0.25">
      <c r="B34" s="64" t="s">
        <v>131</v>
      </c>
      <c r="C34" s="67">
        <v>1372500</v>
      </c>
      <c r="D34" s="37">
        <v>1</v>
      </c>
      <c r="E34" s="9" t="s">
        <v>19</v>
      </c>
      <c r="F34" s="53">
        <f t="shared" si="14"/>
        <v>1372500</v>
      </c>
      <c r="G34" s="54">
        <f>F34/Summary!$B$14</f>
        <v>213785.04672897197</v>
      </c>
      <c r="H34" s="85">
        <f>F34-J34-L34-N34-P34</f>
        <v>308500</v>
      </c>
      <c r="I34" s="86">
        <f>H34/Summary!$B$14</f>
        <v>48052.959501557634</v>
      </c>
      <c r="J34" s="85">
        <v>266000</v>
      </c>
      <c r="K34" s="89">
        <f>J34/Summary!$B$14</f>
        <v>41433.021806853583</v>
      </c>
      <c r="L34" s="135">
        <v>266000</v>
      </c>
      <c r="M34" s="101">
        <f>L34/Summary!$B$14</f>
        <v>41433.021806853583</v>
      </c>
      <c r="N34" s="135">
        <v>266000</v>
      </c>
      <c r="O34" s="101">
        <f>N34/Summary!$B$14</f>
        <v>41433.021806853583</v>
      </c>
      <c r="P34" s="135">
        <v>266000</v>
      </c>
      <c r="Q34" s="101">
        <f>P34/Summary!$B$14</f>
        <v>41433.021806853583</v>
      </c>
      <c r="R34" s="11" t="str">
        <f>IF(H34+J34+L34+N34+P34=F34,"","FALSE")</f>
        <v/>
      </c>
    </row>
    <row r="35" spans="2:19" ht="15.75" thickBot="1" x14ac:dyDescent="0.3">
      <c r="B35" s="65" t="s">
        <v>157</v>
      </c>
      <c r="C35" s="69">
        <v>400000</v>
      </c>
      <c r="D35" s="41">
        <v>5</v>
      </c>
      <c r="E35" s="14" t="s">
        <v>73</v>
      </c>
      <c r="F35" s="57">
        <f>C35*D35</f>
        <v>2000000</v>
      </c>
      <c r="G35" s="267">
        <f>F35/Summary!$B$14</f>
        <v>311526.47975077882</v>
      </c>
      <c r="H35" s="87">
        <f>F35/5</f>
        <v>400000</v>
      </c>
      <c r="I35" s="88">
        <f>H35/Summary!$B$14</f>
        <v>62305.295950155763</v>
      </c>
      <c r="J35" s="87">
        <f>F35/5</f>
        <v>400000</v>
      </c>
      <c r="K35" s="93">
        <f>J35/Summary!$B$14</f>
        <v>62305.295950155763</v>
      </c>
      <c r="L35" s="94">
        <f>F35/5</f>
        <v>400000</v>
      </c>
      <c r="M35" s="102">
        <f>L35/Summary!$B$14</f>
        <v>62305.295950155763</v>
      </c>
      <c r="N35" s="94">
        <f>F35/5</f>
        <v>400000</v>
      </c>
      <c r="O35" s="102">
        <f>N35/Summary!$B$14</f>
        <v>62305.295950155763</v>
      </c>
      <c r="P35" s="94">
        <f>F35/5</f>
        <v>400000</v>
      </c>
      <c r="Q35" s="102">
        <f>P35/Summary!$B$14</f>
        <v>62305.295950155763</v>
      </c>
      <c r="R35" s="11" t="str">
        <f t="shared" si="6"/>
        <v/>
      </c>
    </row>
    <row r="36" spans="2:19" ht="24" customHeight="1" thickBot="1" x14ac:dyDescent="0.3">
      <c r="B36" s="99" t="s">
        <v>4</v>
      </c>
      <c r="C36" s="15"/>
      <c r="D36" s="16"/>
      <c r="E36" s="16"/>
      <c r="F36" s="59">
        <f>SUM(F6:F35)</f>
        <v>66736880</v>
      </c>
      <c r="G36" s="106">
        <f>F36/Summary!$B$14</f>
        <v>10395152.647975078</v>
      </c>
      <c r="H36" s="107">
        <f>SUM(H5:H35)</f>
        <v>18994124</v>
      </c>
      <c r="I36" s="108">
        <f>SUM(I6:I35)</f>
        <v>2958586.2928348905</v>
      </c>
      <c r="J36" s="107">
        <f t="shared" ref="J36:Q36" si="16">SUM(J5:J35)</f>
        <v>8665689</v>
      </c>
      <c r="K36" s="109">
        <f t="shared" si="16"/>
        <v>1349795.7943925234</v>
      </c>
      <c r="L36" s="107">
        <f t="shared" si="16"/>
        <v>7825689</v>
      </c>
      <c r="M36" s="110">
        <f t="shared" si="16"/>
        <v>1218954.6728971961</v>
      </c>
      <c r="N36" s="107">
        <f t="shared" si="16"/>
        <v>26305689</v>
      </c>
      <c r="O36" s="110">
        <f t="shared" si="16"/>
        <v>4097459.3457943923</v>
      </c>
      <c r="P36" s="107">
        <f t="shared" si="16"/>
        <v>4945689</v>
      </c>
      <c r="Q36" s="110">
        <f t="shared" si="16"/>
        <v>770356.54205607483</v>
      </c>
      <c r="R36" s="11" t="str">
        <f>IF(H36+J36+L36+N36+P36=F36,"","FALSE")</f>
        <v/>
      </c>
      <c r="S36" s="264" t="str">
        <f>IF(SUM(I36,K36,M36,O36,Q36)=G36,"","FALSE")</f>
        <v/>
      </c>
    </row>
    <row r="37" spans="2:19" ht="21.75" customHeight="1" thickBot="1" x14ac:dyDescent="0.3">
      <c r="B37" s="17"/>
      <c r="C37" s="17"/>
      <c r="D37" s="17"/>
      <c r="E37" s="17"/>
      <c r="F37" s="3"/>
      <c r="G37" s="52"/>
      <c r="H37" s="1"/>
      <c r="I37" s="1" t="str">
        <f>IF(SUM(I5:I35)=I36,"","FALSE")</f>
        <v/>
      </c>
      <c r="J37" s="1"/>
      <c r="K37" s="1" t="str">
        <f>IF(SUM(K5:K35)=K36,"","FALSE")</f>
        <v/>
      </c>
      <c r="M37" s="1" t="str">
        <f>IF(SUM(M5:M35)=M36,"","FALSE")</f>
        <v/>
      </c>
      <c r="N37" s="22"/>
      <c r="O37" s="1" t="str">
        <f>IF(SUM(O5:O35)=O36,"","FALSE")</f>
        <v/>
      </c>
      <c r="Q37" s="1" t="str">
        <f>IF(SUM(Q5:Q35)=Q36,"","FALSE")</f>
        <v/>
      </c>
    </row>
    <row r="38" spans="2:19" x14ac:dyDescent="0.25">
      <c r="B38" s="137" t="s">
        <v>25</v>
      </c>
      <c r="C38" s="247">
        <v>12</v>
      </c>
      <c r="D38" s="280" t="s">
        <v>22</v>
      </c>
      <c r="E38" s="281"/>
      <c r="F38" s="1"/>
      <c r="G38" s="1"/>
      <c r="H38" s="2"/>
      <c r="I38" s="104"/>
      <c r="J38" s="1"/>
    </row>
    <row r="39" spans="2:19" x14ac:dyDescent="0.25">
      <c r="B39" s="138" t="s">
        <v>26</v>
      </c>
      <c r="C39" s="248">
        <v>3</v>
      </c>
      <c r="D39" s="282" t="s">
        <v>55</v>
      </c>
      <c r="E39" s="282"/>
      <c r="F39" s="1"/>
      <c r="G39" s="44"/>
      <c r="H39" s="2"/>
      <c r="I39" s="1"/>
      <c r="J39" s="1"/>
    </row>
    <row r="40" spans="2:19" x14ac:dyDescent="0.25">
      <c r="B40" s="138" t="s">
        <v>95</v>
      </c>
      <c r="C40" s="248">
        <v>4</v>
      </c>
      <c r="D40" s="282" t="s">
        <v>124</v>
      </c>
      <c r="E40" s="282"/>
      <c r="F40" s="1"/>
      <c r="G40" s="44"/>
      <c r="H40" s="2"/>
      <c r="I40" s="1"/>
      <c r="J40" s="1"/>
    </row>
    <row r="41" spans="2:19" x14ac:dyDescent="0.25">
      <c r="B41" s="138" t="s">
        <v>97</v>
      </c>
      <c r="C41" s="248">
        <v>5</v>
      </c>
      <c r="D41" s="282" t="s">
        <v>20</v>
      </c>
      <c r="E41" s="282"/>
      <c r="F41" s="1"/>
      <c r="G41" s="1"/>
      <c r="H41" s="2"/>
      <c r="I41" s="1"/>
      <c r="J41" s="1"/>
    </row>
    <row r="42" spans="2:19" x14ac:dyDescent="0.25">
      <c r="B42" s="43" t="s">
        <v>94</v>
      </c>
      <c r="C42" s="248">
        <v>25</v>
      </c>
      <c r="D42" s="278" t="s">
        <v>53</v>
      </c>
      <c r="E42" s="278"/>
      <c r="F42" s="3"/>
      <c r="G42" s="3"/>
      <c r="H42" s="104"/>
      <c r="I42" s="105"/>
      <c r="J42" s="1"/>
    </row>
    <row r="43" spans="2:19" x14ac:dyDescent="0.25">
      <c r="B43" s="43" t="s">
        <v>133</v>
      </c>
      <c r="C43" s="248">
        <v>14</v>
      </c>
      <c r="D43" s="278" t="s">
        <v>24</v>
      </c>
      <c r="E43" s="278"/>
      <c r="F43" s="1"/>
      <c r="G43" s="1"/>
      <c r="H43" s="2"/>
      <c r="I43" s="1"/>
      <c r="J43" s="1"/>
    </row>
    <row r="44" spans="2:19" x14ac:dyDescent="0.25">
      <c r="B44" s="43" t="s">
        <v>132</v>
      </c>
      <c r="C44" s="248">
        <v>4</v>
      </c>
      <c r="D44" s="279" t="s">
        <v>18</v>
      </c>
      <c r="E44" s="278"/>
      <c r="F44" s="1"/>
      <c r="G44" s="1"/>
      <c r="H44" s="2"/>
      <c r="I44" s="1"/>
      <c r="J44" s="1"/>
    </row>
    <row r="45" spans="2:19" x14ac:dyDescent="0.25">
      <c r="B45" s="43" t="s">
        <v>126</v>
      </c>
      <c r="C45" s="248">
        <v>8</v>
      </c>
      <c r="D45" s="278" t="s">
        <v>130</v>
      </c>
      <c r="E45" s="278"/>
      <c r="F45" s="44"/>
      <c r="G45" s="1"/>
      <c r="H45" s="2"/>
      <c r="I45" s="1"/>
      <c r="J45" s="1"/>
    </row>
    <row r="46" spans="2:19" x14ac:dyDescent="0.25">
      <c r="B46" s="43" t="s">
        <v>128</v>
      </c>
      <c r="C46" s="248">
        <v>30000</v>
      </c>
      <c r="D46" s="278" t="s">
        <v>129</v>
      </c>
      <c r="E46" s="278"/>
      <c r="F46" s="1"/>
      <c r="G46" s="1"/>
      <c r="H46" s="2"/>
      <c r="I46" s="1"/>
      <c r="J46" s="1"/>
    </row>
    <row r="47" spans="2:19" ht="15.75" thickBot="1" x14ac:dyDescent="0.3">
      <c r="B47" s="139" t="s">
        <v>158</v>
      </c>
      <c r="C47" s="249">
        <v>1000</v>
      </c>
      <c r="D47" s="272" t="s">
        <v>127</v>
      </c>
      <c r="E47" s="273"/>
      <c r="F47" s="1"/>
      <c r="G47" s="1"/>
      <c r="H47" s="2"/>
      <c r="I47" s="1"/>
      <c r="J47" s="1"/>
    </row>
    <row r="48" spans="2:19" x14ac:dyDescent="0.25">
      <c r="B48" s="270"/>
      <c r="C48" s="268"/>
      <c r="D48" s="277"/>
      <c r="E48" s="277"/>
      <c r="F48" s="269"/>
      <c r="G48" s="1"/>
      <c r="H48" s="2"/>
    </row>
    <row r="49" spans="2:8" x14ac:dyDescent="0.25">
      <c r="B49" s="270"/>
      <c r="C49" s="271"/>
      <c r="D49" s="277"/>
      <c r="E49" s="277"/>
      <c r="F49" s="269"/>
      <c r="G49" s="1"/>
      <c r="H49" s="2"/>
    </row>
    <row r="50" spans="2:8" x14ac:dyDescent="0.25">
      <c r="B50" s="269"/>
      <c r="C50" s="269"/>
      <c r="D50" s="269"/>
      <c r="E50" s="269"/>
      <c r="F50" s="269"/>
      <c r="G50" s="1"/>
      <c r="H50" s="2"/>
    </row>
    <row r="51" spans="2:8" x14ac:dyDescent="0.25">
      <c r="B51" s="9"/>
      <c r="C51" s="9"/>
      <c r="D51" s="9"/>
      <c r="E51" s="1"/>
      <c r="F51" s="1"/>
      <c r="G51" s="1"/>
      <c r="H51" s="2"/>
    </row>
    <row r="52" spans="2:8" x14ac:dyDescent="0.25">
      <c r="B52" s="45"/>
      <c r="C52" s="10"/>
      <c r="D52" s="9"/>
      <c r="E52" s="1"/>
      <c r="F52" s="1"/>
      <c r="G52" s="1"/>
      <c r="H52" s="2"/>
    </row>
    <row r="53" spans="2:8" x14ac:dyDescent="0.25">
      <c r="B53" s="45"/>
      <c r="C53" s="10"/>
      <c r="D53" s="9"/>
      <c r="E53" s="1"/>
      <c r="F53" s="1"/>
      <c r="G53" s="1"/>
      <c r="H53" s="2"/>
    </row>
    <row r="54" spans="2:8" x14ac:dyDescent="0.25">
      <c r="B54" s="46"/>
      <c r="C54" s="10"/>
      <c r="D54" s="9"/>
      <c r="E54" s="1"/>
      <c r="F54" s="1"/>
      <c r="G54" s="1"/>
      <c r="H54" s="2"/>
    </row>
    <row r="55" spans="2:8" x14ac:dyDescent="0.25">
      <c r="B55" s="9"/>
      <c r="C55" s="9"/>
      <c r="D55" s="9"/>
      <c r="E55" s="1"/>
      <c r="F55" s="1"/>
      <c r="G55" s="1"/>
      <c r="H55" s="2"/>
    </row>
    <row r="56" spans="2:8" x14ac:dyDescent="0.25">
      <c r="B56" s="22"/>
      <c r="C56" s="22"/>
      <c r="D56" s="22"/>
    </row>
  </sheetData>
  <mergeCells count="17">
    <mergeCell ref="P3:Q3"/>
    <mergeCell ref="B1:H1"/>
    <mergeCell ref="H3:I3"/>
    <mergeCell ref="J3:K3"/>
    <mergeCell ref="L3:M3"/>
    <mergeCell ref="N3:O3"/>
    <mergeCell ref="D38:E38"/>
    <mergeCell ref="D39:E39"/>
    <mergeCell ref="D40:E40"/>
    <mergeCell ref="D41:E41"/>
    <mergeCell ref="D42:E42"/>
    <mergeCell ref="D48:E48"/>
    <mergeCell ref="D49:E49"/>
    <mergeCell ref="D43:E43"/>
    <mergeCell ref="D45:E45"/>
    <mergeCell ref="D46:E46"/>
    <mergeCell ref="D44:E44"/>
  </mergeCells>
  <pageMargins left="0.7" right="0.7" top="0.75" bottom="0.75" header="0.3" footer="0.3"/>
  <pageSetup scale="62" orientation="landscape" r:id="rId1"/>
  <colBreaks count="1" manualBreakCount="1">
    <brk id="7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view="pageBreakPreview" topLeftCell="B1" zoomScale="85" zoomScaleNormal="85" zoomScaleSheetLayoutView="85" workbookViewId="0">
      <selection activeCell="B1" sqref="B1:G1"/>
    </sheetView>
  </sheetViews>
  <sheetFormatPr defaultRowHeight="15" x14ac:dyDescent="0.25"/>
  <cols>
    <col min="1" max="1" width="9.140625" style="11"/>
    <col min="2" max="2" width="62" style="250" customWidth="1"/>
    <col min="3" max="3" width="14" style="11" customWidth="1"/>
    <col min="4" max="4" width="10.85546875" style="11" customWidth="1"/>
    <col min="5" max="5" width="11" style="11" bestFit="1" customWidth="1"/>
    <col min="6" max="6" width="13.85546875" style="11" customWidth="1"/>
    <col min="7" max="7" width="14.42578125" style="11" customWidth="1"/>
    <col min="8" max="8" width="10.5703125" style="11" bestFit="1" customWidth="1"/>
    <col min="9" max="9" width="9" style="11" bestFit="1" customWidth="1"/>
    <col min="10" max="12" width="10.5703125" style="11" bestFit="1" customWidth="1"/>
    <col min="13" max="13" width="9" style="11" bestFit="1" customWidth="1"/>
    <col min="14" max="16" width="10.5703125" style="11" bestFit="1" customWidth="1"/>
    <col min="17" max="17" width="9" style="11" bestFit="1" customWidth="1"/>
    <col min="18" max="16384" width="9.140625" style="11"/>
  </cols>
  <sheetData>
    <row r="1" spans="2:18" ht="15" customHeight="1" x14ac:dyDescent="0.25">
      <c r="B1" s="285" t="s">
        <v>144</v>
      </c>
      <c r="C1" s="285"/>
      <c r="D1" s="285"/>
      <c r="E1" s="285"/>
      <c r="F1" s="285"/>
      <c r="G1" s="285"/>
      <c r="H1" s="51"/>
    </row>
    <row r="2" spans="2:18" ht="15.75" thickBot="1" x14ac:dyDescent="0.3"/>
    <row r="3" spans="2:18" ht="15.75" thickBot="1" x14ac:dyDescent="0.3">
      <c r="H3" s="286" t="str">
        <f>Summary!$D$3</f>
        <v>Year 1</v>
      </c>
      <c r="I3" s="284"/>
      <c r="J3" s="286" t="str">
        <f>Summary!$F$3</f>
        <v>Year 2</v>
      </c>
      <c r="K3" s="284"/>
      <c r="L3" s="286" t="str">
        <f>Summary!$H$3</f>
        <v>Year 3</v>
      </c>
      <c r="M3" s="284"/>
      <c r="N3" s="286" t="str">
        <f>Summary!$J$3</f>
        <v>Year 4</v>
      </c>
      <c r="O3" s="284"/>
      <c r="P3" s="286" t="str">
        <f>Summary!$L$3</f>
        <v>Year 5</v>
      </c>
      <c r="Q3" s="284"/>
    </row>
    <row r="4" spans="2:18" ht="30.75" thickBot="1" x14ac:dyDescent="0.3">
      <c r="B4" s="251"/>
      <c r="C4" s="237" t="s">
        <v>10</v>
      </c>
      <c r="D4" s="238" t="s">
        <v>8</v>
      </c>
      <c r="E4" s="238" t="s">
        <v>11</v>
      </c>
      <c r="F4" s="239" t="s">
        <v>14</v>
      </c>
      <c r="G4" s="240" t="s">
        <v>9</v>
      </c>
      <c r="H4" s="111" t="s">
        <v>2</v>
      </c>
      <c r="I4" s="112" t="s">
        <v>1</v>
      </c>
      <c r="J4" s="111" t="s">
        <v>2</v>
      </c>
      <c r="K4" s="112" t="s">
        <v>1</v>
      </c>
      <c r="L4" s="113" t="s">
        <v>2</v>
      </c>
      <c r="M4" s="112" t="s">
        <v>1</v>
      </c>
      <c r="N4" s="113" t="s">
        <v>2</v>
      </c>
      <c r="O4" s="112" t="s">
        <v>1</v>
      </c>
      <c r="P4" s="113" t="s">
        <v>2</v>
      </c>
      <c r="Q4" s="112" t="s">
        <v>1</v>
      </c>
    </row>
    <row r="5" spans="2:18" x14ac:dyDescent="0.25">
      <c r="B5" s="252" t="s">
        <v>88</v>
      </c>
      <c r="C5" s="114"/>
      <c r="D5" s="13"/>
      <c r="E5" s="13"/>
      <c r="F5" s="115"/>
      <c r="G5" s="35"/>
      <c r="H5" s="83"/>
      <c r="I5" s="84"/>
      <c r="J5" s="83"/>
      <c r="K5" s="91"/>
      <c r="L5" s="92"/>
      <c r="M5" s="91"/>
      <c r="N5" s="92"/>
      <c r="O5" s="91"/>
      <c r="P5" s="92"/>
      <c r="Q5" s="91"/>
    </row>
    <row r="6" spans="2:18" ht="30" x14ac:dyDescent="0.25">
      <c r="B6" s="253" t="s">
        <v>112</v>
      </c>
      <c r="C6" s="66">
        <v>400000</v>
      </c>
      <c r="D6" s="136">
        <v>1</v>
      </c>
      <c r="E6" s="9" t="s">
        <v>19</v>
      </c>
      <c r="F6" s="117">
        <f>C6*D6</f>
        <v>400000</v>
      </c>
      <c r="G6" s="118">
        <f>F6/Summary!$B$14</f>
        <v>62305.295950155763</v>
      </c>
      <c r="H6" s="85">
        <f>F6</f>
        <v>400000</v>
      </c>
      <c r="I6" s="86">
        <f>H6/Summary!$B$14</f>
        <v>62305.295950155763</v>
      </c>
      <c r="J6" s="85">
        <v>0</v>
      </c>
      <c r="K6" s="89">
        <f>J6/Summary!$B$14</f>
        <v>0</v>
      </c>
      <c r="L6" s="90">
        <v>0</v>
      </c>
      <c r="M6" s="89">
        <f>L6/Summary!$B$14</f>
        <v>0</v>
      </c>
      <c r="N6" s="90">
        <v>0</v>
      </c>
      <c r="O6" s="89">
        <f>N6/Summary!$B$14</f>
        <v>0</v>
      </c>
      <c r="P6" s="90">
        <v>0</v>
      </c>
      <c r="Q6" s="89">
        <f>P6/Summary!$B$14</f>
        <v>0</v>
      </c>
      <c r="R6" s="11" t="str">
        <f>IF(I6+K6+M6+O6+Q6=G6,"","FALSE")</f>
        <v/>
      </c>
    </row>
    <row r="7" spans="2:18" x14ac:dyDescent="0.25">
      <c r="B7" s="253" t="s">
        <v>110</v>
      </c>
      <c r="C7" s="66">
        <v>120000</v>
      </c>
      <c r="D7" s="136">
        <v>1</v>
      </c>
      <c r="E7" s="9" t="s">
        <v>83</v>
      </c>
      <c r="F7" s="117">
        <f t="shared" ref="F7:F9" si="0">C7*D7</f>
        <v>120000</v>
      </c>
      <c r="G7" s="118">
        <f>F7/Summary!$B$14</f>
        <v>18691.58878504673</v>
      </c>
      <c r="H7" s="85">
        <f>F7</f>
        <v>120000</v>
      </c>
      <c r="I7" s="86">
        <f>H7/Summary!$B$14</f>
        <v>18691.58878504673</v>
      </c>
      <c r="J7" s="85">
        <v>0</v>
      </c>
      <c r="K7" s="89">
        <f>J7/Summary!$B$14</f>
        <v>0</v>
      </c>
      <c r="L7" s="90">
        <v>0</v>
      </c>
      <c r="M7" s="89">
        <f>L7/Summary!$B$14</f>
        <v>0</v>
      </c>
      <c r="N7" s="90">
        <v>0</v>
      </c>
      <c r="O7" s="89">
        <f>N7/Summary!$B$14</f>
        <v>0</v>
      </c>
      <c r="P7" s="90">
        <v>0</v>
      </c>
      <c r="Q7" s="89">
        <f>P7/Summary!$B$14</f>
        <v>0</v>
      </c>
      <c r="R7" s="11" t="str">
        <f t="shared" ref="R7:R27" si="1">IF(I7+K7+M7+O7+Q7=G7,"","FALSE")</f>
        <v/>
      </c>
    </row>
    <row r="8" spans="2:18" x14ac:dyDescent="0.25">
      <c r="B8" s="253" t="s">
        <v>111</v>
      </c>
      <c r="C8" s="66">
        <v>10700</v>
      </c>
      <c r="D8" s="136">
        <f>12*3</f>
        <v>36</v>
      </c>
      <c r="E8" s="9" t="s">
        <v>18</v>
      </c>
      <c r="F8" s="117">
        <f t="shared" ref="F8" si="2">C8*D8</f>
        <v>385200</v>
      </c>
      <c r="G8" s="118">
        <f>F8/Summary!$B$14</f>
        <v>60000</v>
      </c>
      <c r="H8" s="85">
        <f>F8*12/D8</f>
        <v>128400</v>
      </c>
      <c r="I8" s="86">
        <f>H8/Summary!$B$14</f>
        <v>20000</v>
      </c>
      <c r="J8" s="85">
        <f>$F$8*4/$D$8</f>
        <v>42800</v>
      </c>
      <c r="K8" s="89">
        <f>J8/Summary!$B$14</f>
        <v>6666.666666666667</v>
      </c>
      <c r="L8" s="85">
        <f>$F$8*4/$D$8</f>
        <v>42800</v>
      </c>
      <c r="M8" s="89">
        <f>L8/Summary!$B$14</f>
        <v>6666.666666666667</v>
      </c>
      <c r="N8" s="85">
        <f>$F$8*4/$D$8</f>
        <v>42800</v>
      </c>
      <c r="O8" s="89">
        <f>N8/Summary!$B$14</f>
        <v>6666.666666666667</v>
      </c>
      <c r="P8" s="90">
        <f>F8*12/D8</f>
        <v>128400</v>
      </c>
      <c r="Q8" s="89">
        <f>P8/Summary!$B$14</f>
        <v>20000</v>
      </c>
      <c r="R8" s="11" t="str">
        <f t="shared" si="1"/>
        <v/>
      </c>
    </row>
    <row r="9" spans="2:18" x14ac:dyDescent="0.25">
      <c r="B9" s="253" t="s">
        <v>91</v>
      </c>
      <c r="C9" s="66">
        <v>30000</v>
      </c>
      <c r="D9" s="136">
        <v>60</v>
      </c>
      <c r="E9" s="9" t="s">
        <v>18</v>
      </c>
      <c r="F9" s="117">
        <f t="shared" si="0"/>
        <v>1800000</v>
      </c>
      <c r="G9" s="118">
        <f>F9/Summary!$B$14</f>
        <v>280373.83177570096</v>
      </c>
      <c r="H9" s="85">
        <f>$F9/5</f>
        <v>360000</v>
      </c>
      <c r="I9" s="86">
        <f>H9/Summary!$B$14</f>
        <v>56074.766355140186</v>
      </c>
      <c r="J9" s="85">
        <f t="shared" ref="J9:J10" si="3">$F9/5</f>
        <v>360000</v>
      </c>
      <c r="K9" s="89">
        <f>J9/Summary!$B$14</f>
        <v>56074.766355140186</v>
      </c>
      <c r="L9" s="85">
        <f t="shared" ref="L9:L10" si="4">$F9/5</f>
        <v>360000</v>
      </c>
      <c r="M9" s="89">
        <f>L9/Summary!$B$14</f>
        <v>56074.766355140186</v>
      </c>
      <c r="N9" s="85">
        <f t="shared" ref="N9:N10" si="5">$F9/5</f>
        <v>360000</v>
      </c>
      <c r="O9" s="89">
        <f>N9/Summary!$B$14</f>
        <v>56074.766355140186</v>
      </c>
      <c r="P9" s="85">
        <f t="shared" ref="P9:P10" si="6">$F9/5</f>
        <v>360000</v>
      </c>
      <c r="Q9" s="89">
        <f>P9/Summary!$B$14</f>
        <v>56074.766355140186</v>
      </c>
      <c r="R9" s="11" t="str">
        <f t="shared" si="1"/>
        <v/>
      </c>
    </row>
    <row r="10" spans="2:18" x14ac:dyDescent="0.25">
      <c r="B10" s="253" t="s">
        <v>114</v>
      </c>
      <c r="C10" s="66">
        <v>12000</v>
      </c>
      <c r="D10" s="136">
        <v>60</v>
      </c>
      <c r="E10" s="9" t="s">
        <v>18</v>
      </c>
      <c r="F10" s="117">
        <f>C10*D10</f>
        <v>720000</v>
      </c>
      <c r="G10" s="118">
        <f>F10/Summary!$B$14</f>
        <v>112149.53271028037</v>
      </c>
      <c r="H10" s="85">
        <f t="shared" ref="H10" si="7">$F10/5</f>
        <v>144000</v>
      </c>
      <c r="I10" s="86">
        <f>H10/Summary!$B$14</f>
        <v>22429.906542056076</v>
      </c>
      <c r="J10" s="85">
        <f t="shared" si="3"/>
        <v>144000</v>
      </c>
      <c r="K10" s="89">
        <f>J10/Summary!$B$14</f>
        <v>22429.906542056076</v>
      </c>
      <c r="L10" s="85">
        <f t="shared" si="4"/>
        <v>144000</v>
      </c>
      <c r="M10" s="89">
        <f>L10/Summary!$B$14</f>
        <v>22429.906542056076</v>
      </c>
      <c r="N10" s="85">
        <f t="shared" si="5"/>
        <v>144000</v>
      </c>
      <c r="O10" s="89">
        <f>N10/Summary!$B$14</f>
        <v>22429.906542056076</v>
      </c>
      <c r="P10" s="85">
        <f t="shared" si="6"/>
        <v>144000</v>
      </c>
      <c r="Q10" s="89">
        <f>P10/Summary!$B$14</f>
        <v>22429.906542056076</v>
      </c>
      <c r="R10" s="11" t="str">
        <f t="shared" si="1"/>
        <v/>
      </c>
    </row>
    <row r="11" spans="2:18" ht="15.75" thickBot="1" x14ac:dyDescent="0.3">
      <c r="B11" s="253" t="s">
        <v>113</v>
      </c>
      <c r="C11" s="66">
        <v>8000</v>
      </c>
      <c r="D11" s="136">
        <v>60</v>
      </c>
      <c r="E11" s="9" t="s">
        <v>18</v>
      </c>
      <c r="F11" s="117">
        <f>C11*D11</f>
        <v>480000</v>
      </c>
      <c r="G11" s="134">
        <f>F11/Summary!$B$14</f>
        <v>74766.355140186919</v>
      </c>
      <c r="H11" s="85">
        <f>$F$11/5</f>
        <v>96000</v>
      </c>
      <c r="I11" s="86">
        <f>H11/Summary!$B$14</f>
        <v>14953.271028037383</v>
      </c>
      <c r="J11" s="85">
        <f>$F$11/5</f>
        <v>96000</v>
      </c>
      <c r="K11" s="89">
        <f>J11/Summary!$B$14</f>
        <v>14953.271028037383</v>
      </c>
      <c r="L11" s="85">
        <f>$F$11/5</f>
        <v>96000</v>
      </c>
      <c r="M11" s="89">
        <f>L11/Summary!$B$14</f>
        <v>14953.271028037383</v>
      </c>
      <c r="N11" s="85">
        <f>$F$11/5</f>
        <v>96000</v>
      </c>
      <c r="O11" s="89">
        <f>N11/Summary!$B$14</f>
        <v>14953.271028037383</v>
      </c>
      <c r="P11" s="85">
        <f>$F$11/5</f>
        <v>96000</v>
      </c>
      <c r="Q11" s="89">
        <f>P11/Summary!$B$14</f>
        <v>14953.271028037383</v>
      </c>
      <c r="R11" s="11" t="str">
        <f t="shared" si="1"/>
        <v/>
      </c>
    </row>
    <row r="12" spans="2:18" x14ac:dyDescent="0.25">
      <c r="B12" s="252" t="s">
        <v>12</v>
      </c>
      <c r="C12" s="144"/>
      <c r="D12" s="152"/>
      <c r="E12" s="13"/>
      <c r="F12" s="115"/>
      <c r="G12" s="35"/>
      <c r="H12" s="83"/>
      <c r="I12" s="84"/>
      <c r="J12" s="83"/>
      <c r="K12" s="91"/>
      <c r="L12" s="92"/>
      <c r="M12" s="91"/>
      <c r="N12" s="92"/>
      <c r="O12" s="91"/>
      <c r="P12" s="92"/>
      <c r="Q12" s="91"/>
      <c r="R12" s="11" t="str">
        <f t="shared" si="1"/>
        <v/>
      </c>
    </row>
    <row r="13" spans="2:18" ht="30" x14ac:dyDescent="0.25">
      <c r="B13" s="253" t="s">
        <v>139</v>
      </c>
      <c r="C13" s="66">
        <f>4000000</f>
        <v>4000000</v>
      </c>
      <c r="D13" s="136">
        <v>1</v>
      </c>
      <c r="E13" s="9" t="s">
        <v>19</v>
      </c>
      <c r="F13" s="117">
        <f>C13*D13</f>
        <v>4000000</v>
      </c>
      <c r="G13" s="118">
        <f>F13/Summary!$B$14</f>
        <v>623052.95950155763</v>
      </c>
      <c r="H13" s="85">
        <f>F13*2/6</f>
        <v>1333333.3333333333</v>
      </c>
      <c r="I13" s="86">
        <f>H13/Summary!$B$14</f>
        <v>207684.31983385253</v>
      </c>
      <c r="J13" s="85">
        <f>$F$13*1/6</f>
        <v>666666.66666666663</v>
      </c>
      <c r="K13" s="89">
        <f>J13/Summary!$B$14</f>
        <v>103842.15991692626</v>
      </c>
      <c r="L13" s="85">
        <f>$F$13*1/6</f>
        <v>666666.66666666663</v>
      </c>
      <c r="M13" s="89">
        <f>L13/Summary!$B$14</f>
        <v>103842.15991692626</v>
      </c>
      <c r="N13" s="85">
        <f>$F$13*1/6</f>
        <v>666666.66666666663</v>
      </c>
      <c r="O13" s="89">
        <f>N13/Summary!$B$14</f>
        <v>103842.15991692626</v>
      </c>
      <c r="P13" s="85">
        <f>$F$13*1/6</f>
        <v>666666.66666666663</v>
      </c>
      <c r="Q13" s="89">
        <f>P13/Summary!$B$14</f>
        <v>103842.15991692626</v>
      </c>
      <c r="R13" s="11" t="str">
        <f>IF(I13+K13+M13+O13+Q13=G13,"","FALSE")</f>
        <v/>
      </c>
    </row>
    <row r="14" spans="2:18" x14ac:dyDescent="0.25">
      <c r="B14" s="253" t="s">
        <v>138</v>
      </c>
      <c r="C14" s="66">
        <v>250000</v>
      </c>
      <c r="D14" s="136">
        <f>C36</f>
        <v>4</v>
      </c>
      <c r="E14" s="9" t="s">
        <v>27</v>
      </c>
      <c r="F14" s="117">
        <f t="shared" ref="F14:F17" si="8">C14*D14</f>
        <v>1000000</v>
      </c>
      <c r="G14" s="118">
        <f>F14/Summary!$B$14</f>
        <v>155763.23987538941</v>
      </c>
      <c r="H14" s="85">
        <f>F14*0.8</f>
        <v>800000</v>
      </c>
      <c r="I14" s="86">
        <f>H14/Summary!$B$14</f>
        <v>124610.59190031153</v>
      </c>
      <c r="J14" s="85">
        <f>F14*0.2</f>
        <v>200000</v>
      </c>
      <c r="K14" s="89">
        <f>J14/Summary!$B$14</f>
        <v>31152.647975077882</v>
      </c>
      <c r="L14" s="90"/>
      <c r="M14" s="89">
        <f>L14/Summary!$B$14</f>
        <v>0</v>
      </c>
      <c r="N14" s="90"/>
      <c r="O14" s="89">
        <f>N14/Summary!$B$14</f>
        <v>0</v>
      </c>
      <c r="P14" s="90"/>
      <c r="Q14" s="89">
        <f>P14/Summary!$B$14</f>
        <v>0</v>
      </c>
      <c r="R14" s="11" t="str">
        <f t="shared" si="1"/>
        <v/>
      </c>
    </row>
    <row r="15" spans="2:18" x14ac:dyDescent="0.25">
      <c r="B15" s="253" t="s">
        <v>40</v>
      </c>
      <c r="C15" s="66">
        <f>1000*6.42+350*6.42*4</f>
        <v>15408</v>
      </c>
      <c r="D15" s="136">
        <f>C36</f>
        <v>4</v>
      </c>
      <c r="E15" s="9" t="s">
        <v>27</v>
      </c>
      <c r="F15" s="117">
        <f t="shared" ref="F15" si="9">C15*D15</f>
        <v>61632</v>
      </c>
      <c r="G15" s="118">
        <f>F15/Summary!$B$14</f>
        <v>9600</v>
      </c>
      <c r="H15" s="85">
        <f>F15*0.8</f>
        <v>49305.600000000006</v>
      </c>
      <c r="I15" s="86">
        <f>H15/Summary!$B$14</f>
        <v>7680.0000000000009</v>
      </c>
      <c r="J15" s="85">
        <f>F15*0.2</f>
        <v>12326.400000000001</v>
      </c>
      <c r="K15" s="89">
        <f>J15/Summary!$B$14</f>
        <v>1920.0000000000002</v>
      </c>
      <c r="L15" s="90"/>
      <c r="M15" s="89">
        <f>L15/Summary!$B$14</f>
        <v>0</v>
      </c>
      <c r="N15" s="90"/>
      <c r="O15" s="89">
        <f>N15/Summary!$B$14</f>
        <v>0</v>
      </c>
      <c r="P15" s="90"/>
      <c r="Q15" s="89">
        <f>P15/Summary!$B$14</f>
        <v>0</v>
      </c>
      <c r="R15" s="11" t="str">
        <f t="shared" si="1"/>
        <v/>
      </c>
    </row>
    <row r="16" spans="2:18" x14ac:dyDescent="0.25">
      <c r="B16" s="253" t="s">
        <v>101</v>
      </c>
      <c r="C16" s="66">
        <v>750000</v>
      </c>
      <c r="D16" s="136">
        <v>1</v>
      </c>
      <c r="E16" s="9" t="s">
        <v>19</v>
      </c>
      <c r="F16" s="117">
        <f t="shared" ref="F16" si="10">C16*D16</f>
        <v>750000</v>
      </c>
      <c r="G16" s="118">
        <f>F16/Summary!$B$14</f>
        <v>116822.42990654206</v>
      </c>
      <c r="H16" s="85">
        <v>0</v>
      </c>
      <c r="I16" s="86">
        <f>H16/Summary!$B$14</f>
        <v>0</v>
      </c>
      <c r="J16" s="85">
        <f>F16*2/5</f>
        <v>300000</v>
      </c>
      <c r="K16" s="89">
        <f>J16/Summary!$B$14</f>
        <v>46728.971962616823</v>
      </c>
      <c r="L16" s="90">
        <f>F16*1/5</f>
        <v>150000</v>
      </c>
      <c r="M16" s="89">
        <f>L16/Summary!$B$14</f>
        <v>23364.485981308411</v>
      </c>
      <c r="N16" s="90">
        <f>F16*1/5</f>
        <v>150000</v>
      </c>
      <c r="O16" s="89">
        <f>N16/Summary!$B$14</f>
        <v>23364.485981308411</v>
      </c>
      <c r="P16" s="90">
        <f>F16*1/5</f>
        <v>150000</v>
      </c>
      <c r="Q16" s="89">
        <f>P16/Summary!$B$14</f>
        <v>23364.485981308411</v>
      </c>
    </row>
    <row r="17" spans="2:18" ht="15.75" thickBot="1" x14ac:dyDescent="0.3">
      <c r="B17" s="253" t="s">
        <v>98</v>
      </c>
      <c r="C17" s="66">
        <v>650000</v>
      </c>
      <c r="D17" s="136">
        <f>C37</f>
        <v>3</v>
      </c>
      <c r="E17" s="9" t="s">
        <v>27</v>
      </c>
      <c r="F17" s="117">
        <f t="shared" si="8"/>
        <v>1950000</v>
      </c>
      <c r="G17" s="118">
        <f>F17/Summary!$B$14</f>
        <v>303738.31775700935</v>
      </c>
      <c r="H17" s="85">
        <v>0</v>
      </c>
      <c r="I17" s="86">
        <f>H17/Summary!$B$14</f>
        <v>0</v>
      </c>
      <c r="J17" s="85">
        <v>0</v>
      </c>
      <c r="K17" s="89">
        <f>J17/Summary!$B$14</f>
        <v>0</v>
      </c>
      <c r="L17" s="90">
        <f>F17/3</f>
        <v>650000</v>
      </c>
      <c r="M17" s="89">
        <f>L17/Summary!$B$14</f>
        <v>101246.10591900312</v>
      </c>
      <c r="N17" s="90">
        <f>F17/3</f>
        <v>650000</v>
      </c>
      <c r="O17" s="89">
        <f>N17/Summary!$B$14</f>
        <v>101246.10591900312</v>
      </c>
      <c r="P17" s="90">
        <f>F17/3</f>
        <v>650000</v>
      </c>
      <c r="Q17" s="89">
        <f>P17/Summary!$B$14</f>
        <v>101246.10591900312</v>
      </c>
      <c r="R17" s="11" t="str">
        <f t="shared" si="1"/>
        <v/>
      </c>
    </row>
    <row r="18" spans="2:18" x14ac:dyDescent="0.25">
      <c r="B18" s="98" t="s">
        <v>102</v>
      </c>
      <c r="C18" s="145"/>
      <c r="D18" s="153"/>
      <c r="E18" s="119"/>
      <c r="F18" s="120"/>
      <c r="G18" s="130"/>
      <c r="H18" s="83"/>
      <c r="I18" s="84"/>
      <c r="J18" s="83"/>
      <c r="K18" s="91"/>
      <c r="L18" s="92"/>
      <c r="M18" s="91"/>
      <c r="N18" s="92"/>
      <c r="O18" s="91"/>
      <c r="P18" s="92"/>
      <c r="Q18" s="91"/>
      <c r="R18" s="11" t="str">
        <f t="shared" si="1"/>
        <v/>
      </c>
    </row>
    <row r="19" spans="2:18" x14ac:dyDescent="0.25">
      <c r="B19" s="254" t="s">
        <v>42</v>
      </c>
      <c r="C19" s="66">
        <v>2500000</v>
      </c>
      <c r="D19" s="136">
        <f>C38</f>
        <v>2</v>
      </c>
      <c r="E19" s="9" t="s">
        <v>27</v>
      </c>
      <c r="F19" s="117">
        <f>C19*D19</f>
        <v>5000000</v>
      </c>
      <c r="G19" s="118">
        <f>F19/Summary!$B$14</f>
        <v>778816.19937694701</v>
      </c>
      <c r="H19" s="85">
        <v>0</v>
      </c>
      <c r="I19" s="86">
        <f>H19/Summary!$B$14</f>
        <v>0</v>
      </c>
      <c r="J19" s="85">
        <f>F19/2</f>
        <v>2500000</v>
      </c>
      <c r="K19" s="89">
        <f>J19/Summary!$B$14</f>
        <v>389408.09968847351</v>
      </c>
      <c r="L19" s="90">
        <v>0</v>
      </c>
      <c r="M19" s="89">
        <f>L19/Summary!$B$14</f>
        <v>0</v>
      </c>
      <c r="N19" s="90">
        <f>F19/2</f>
        <v>2500000</v>
      </c>
      <c r="O19" s="89">
        <f>N19/Summary!$B$14</f>
        <v>389408.09968847351</v>
      </c>
      <c r="P19" s="90">
        <v>0</v>
      </c>
      <c r="Q19" s="89">
        <f>P19/Summary!$B$14</f>
        <v>0</v>
      </c>
      <c r="R19" s="11" t="str">
        <f t="shared" si="1"/>
        <v/>
      </c>
    </row>
    <row r="20" spans="2:18" ht="15.75" thickBot="1" x14ac:dyDescent="0.3">
      <c r="B20" s="255" t="s">
        <v>106</v>
      </c>
      <c r="C20" s="146">
        <v>35000</v>
      </c>
      <c r="D20" s="140">
        <f>C39</f>
        <v>10</v>
      </c>
      <c r="E20" s="14" t="s">
        <v>27</v>
      </c>
      <c r="F20" s="132">
        <f t="shared" ref="F20" si="11">C20*D20</f>
        <v>350000</v>
      </c>
      <c r="G20" s="133">
        <f>F20/Summary!$B$14</f>
        <v>54517.133956386293</v>
      </c>
      <c r="H20" s="87">
        <f>$F$20*1/5</f>
        <v>70000</v>
      </c>
      <c r="I20" s="88">
        <f>H20/Summary!$B$14</f>
        <v>10903.426791277259</v>
      </c>
      <c r="J20" s="87">
        <f>$F$20*1/5</f>
        <v>70000</v>
      </c>
      <c r="K20" s="93">
        <f>J20/Summary!$B$14</f>
        <v>10903.426791277259</v>
      </c>
      <c r="L20" s="87">
        <f>$F$20*1/5</f>
        <v>70000</v>
      </c>
      <c r="M20" s="93">
        <f>L20/Summary!$B$14</f>
        <v>10903.426791277259</v>
      </c>
      <c r="N20" s="87">
        <f>$F$20*1/5</f>
        <v>70000</v>
      </c>
      <c r="O20" s="93">
        <f>N20/Summary!$B$14</f>
        <v>10903.426791277259</v>
      </c>
      <c r="P20" s="87">
        <f>$F$20*1/5</f>
        <v>70000</v>
      </c>
      <c r="Q20" s="93">
        <f>P20/Summary!$B$14</f>
        <v>10903.426791277259</v>
      </c>
      <c r="R20" s="11" t="str">
        <f t="shared" si="1"/>
        <v/>
      </c>
    </row>
    <row r="21" spans="2:18" x14ac:dyDescent="0.25">
      <c r="B21" s="121" t="s">
        <v>103</v>
      </c>
      <c r="C21" s="147"/>
      <c r="D21" s="154"/>
      <c r="E21" s="125"/>
      <c r="F21" s="129"/>
      <c r="G21" s="118"/>
      <c r="H21" s="85"/>
      <c r="I21" s="86"/>
      <c r="J21" s="85"/>
      <c r="K21" s="89"/>
      <c r="L21" s="90"/>
      <c r="M21" s="89"/>
      <c r="N21" s="90"/>
      <c r="O21" s="89"/>
      <c r="P21" s="90"/>
      <c r="Q21" s="89"/>
      <c r="R21" s="11" t="str">
        <f t="shared" si="1"/>
        <v/>
      </c>
    </row>
    <row r="22" spans="2:18" x14ac:dyDescent="0.25">
      <c r="B22" s="254" t="s">
        <v>107</v>
      </c>
      <c r="C22" s="66">
        <v>425000</v>
      </c>
      <c r="D22" s="136">
        <v>1</v>
      </c>
      <c r="E22" s="9" t="s">
        <v>41</v>
      </c>
      <c r="F22" s="117">
        <f t="shared" ref="F22" si="12">C22*D22</f>
        <v>425000</v>
      </c>
      <c r="G22" s="118">
        <f>F22/Summary!$B$14</f>
        <v>66199.376947040495</v>
      </c>
      <c r="H22" s="85">
        <f>F22</f>
        <v>425000</v>
      </c>
      <c r="I22" s="86">
        <f>H22/Summary!$B$14</f>
        <v>66199.376947040495</v>
      </c>
      <c r="J22" s="85">
        <v>0</v>
      </c>
      <c r="K22" s="89">
        <f>J22/Summary!$B$14</f>
        <v>0</v>
      </c>
      <c r="L22" s="90">
        <v>0</v>
      </c>
      <c r="M22" s="89">
        <f>L22/Summary!$B$14</f>
        <v>0</v>
      </c>
      <c r="N22" s="90">
        <v>0</v>
      </c>
      <c r="O22" s="89">
        <f>N22/Summary!$B$14</f>
        <v>0</v>
      </c>
      <c r="P22" s="90">
        <v>0</v>
      </c>
      <c r="Q22" s="89">
        <f>P22/Summary!$B$14</f>
        <v>0</v>
      </c>
      <c r="R22" s="11" t="str">
        <f t="shared" si="1"/>
        <v/>
      </c>
    </row>
    <row r="23" spans="2:18" x14ac:dyDescent="0.25">
      <c r="B23" s="256" t="s">
        <v>108</v>
      </c>
      <c r="C23" s="66">
        <v>300000</v>
      </c>
      <c r="D23" s="136">
        <v>1</v>
      </c>
      <c r="E23" s="9" t="s">
        <v>41</v>
      </c>
      <c r="F23" s="117">
        <f t="shared" ref="F23" si="13">C23*D23</f>
        <v>300000</v>
      </c>
      <c r="G23" s="118">
        <f>F23/Summary!$B$14</f>
        <v>46728.971962616823</v>
      </c>
      <c r="H23" s="85">
        <f>F23*0.6</f>
        <v>180000</v>
      </c>
      <c r="I23" s="86">
        <f>H23/Summary!$B$14</f>
        <v>28037.383177570093</v>
      </c>
      <c r="J23" s="85">
        <f>F23*0.4</f>
        <v>120000</v>
      </c>
      <c r="K23" s="89">
        <f>J23/Summary!$B$14</f>
        <v>18691.58878504673</v>
      </c>
      <c r="L23" s="90">
        <v>0</v>
      </c>
      <c r="M23" s="89">
        <f>L23/Summary!$B$14</f>
        <v>0</v>
      </c>
      <c r="N23" s="90">
        <v>0</v>
      </c>
      <c r="O23" s="89">
        <f>N23/Summary!$B$14</f>
        <v>0</v>
      </c>
      <c r="P23" s="90">
        <v>0</v>
      </c>
      <c r="Q23" s="89">
        <f>P23/Summary!$B$14</f>
        <v>0</v>
      </c>
      <c r="R23" s="11" t="str">
        <f t="shared" ref="R23" si="14">IF(I23+K23+M23+O23+Q23=G23,"","FALSE")</f>
        <v/>
      </c>
    </row>
    <row r="24" spans="2:18" x14ac:dyDescent="0.25">
      <c r="B24" s="254" t="s">
        <v>45</v>
      </c>
      <c r="C24" s="66">
        <v>350000</v>
      </c>
      <c r="D24" s="136">
        <v>1</v>
      </c>
      <c r="E24" s="9" t="s">
        <v>19</v>
      </c>
      <c r="F24" s="117">
        <f>C24*D24</f>
        <v>350000</v>
      </c>
      <c r="G24" s="118">
        <f>F24/Summary!$B$14</f>
        <v>54517.133956386293</v>
      </c>
      <c r="H24" s="85">
        <v>0</v>
      </c>
      <c r="I24" s="86">
        <f>H24/Summary!$B$14</f>
        <v>0</v>
      </c>
      <c r="J24" s="85">
        <f>F24</f>
        <v>350000</v>
      </c>
      <c r="K24" s="89">
        <f>J24/Summary!$B$14</f>
        <v>54517.133956386293</v>
      </c>
      <c r="L24" s="90">
        <v>0</v>
      </c>
      <c r="M24" s="89">
        <f>L24/Summary!$B$14</f>
        <v>0</v>
      </c>
      <c r="N24" s="90">
        <v>0</v>
      </c>
      <c r="O24" s="89">
        <f>N24/Summary!$B$14</f>
        <v>0</v>
      </c>
      <c r="P24" s="90">
        <v>0</v>
      </c>
      <c r="Q24" s="89">
        <f>P24/Summary!$B$14</f>
        <v>0</v>
      </c>
      <c r="R24" s="11" t="str">
        <f>IF(I24+K24+M24+O24+Q24=G24,"","FALSE")</f>
        <v/>
      </c>
    </row>
    <row r="25" spans="2:18" x14ac:dyDescent="0.25">
      <c r="B25" s="254" t="s">
        <v>44</v>
      </c>
      <c r="C25" s="66">
        <v>50000</v>
      </c>
      <c r="D25" s="136">
        <f>5*10</f>
        <v>50</v>
      </c>
      <c r="E25" s="9" t="s">
        <v>28</v>
      </c>
      <c r="F25" s="117">
        <f t="shared" ref="F25" si="15">C25*D25</f>
        <v>2500000</v>
      </c>
      <c r="G25" s="118">
        <f>F25/Summary!$B$14</f>
        <v>389408.09968847351</v>
      </c>
      <c r="H25" s="85">
        <v>0</v>
      </c>
      <c r="I25" s="86">
        <f>H25/Summary!$B$14</f>
        <v>0</v>
      </c>
      <c r="J25" s="85">
        <f>$F$25/4</f>
        <v>625000</v>
      </c>
      <c r="K25" s="89">
        <f>J25/Summary!$B$14</f>
        <v>97352.024922118377</v>
      </c>
      <c r="L25" s="85">
        <f>$F$25/4</f>
        <v>625000</v>
      </c>
      <c r="M25" s="89">
        <f>L25/Summary!$B$14</f>
        <v>97352.024922118377</v>
      </c>
      <c r="N25" s="85">
        <f>$F$25/4</f>
        <v>625000</v>
      </c>
      <c r="O25" s="89">
        <f>N25/Summary!$B$14</f>
        <v>97352.024922118377</v>
      </c>
      <c r="P25" s="85">
        <f>$F$25/4</f>
        <v>625000</v>
      </c>
      <c r="Q25" s="89">
        <f>P25/Summary!$B$14</f>
        <v>97352.024922118377</v>
      </c>
      <c r="R25" s="11" t="str">
        <f t="shared" si="1"/>
        <v/>
      </c>
    </row>
    <row r="26" spans="2:18" x14ac:dyDescent="0.25">
      <c r="B26" s="254" t="s">
        <v>43</v>
      </c>
      <c r="C26" s="66">
        <f>1000+(350*6.42)*C35</f>
        <v>23470</v>
      </c>
      <c r="D26" s="136">
        <f>C33*5*C34</f>
        <v>300</v>
      </c>
      <c r="E26" s="9" t="s">
        <v>29</v>
      </c>
      <c r="F26" s="117">
        <f>C26*D26</f>
        <v>7041000</v>
      </c>
      <c r="G26" s="118">
        <f>F26/Summary!$B$14</f>
        <v>1096728.9719626168</v>
      </c>
      <c r="H26" s="85">
        <v>0</v>
      </c>
      <c r="I26" s="86">
        <f>H26/Summary!$B$14</f>
        <v>0</v>
      </c>
      <c r="J26" s="85">
        <f>$F$26/4</f>
        <v>1760250</v>
      </c>
      <c r="K26" s="89">
        <f>J26/Summary!$B$14</f>
        <v>274182.24299065419</v>
      </c>
      <c r="L26" s="85">
        <f>$F$26/4</f>
        <v>1760250</v>
      </c>
      <c r="M26" s="89">
        <f>L26/Summary!$B$14</f>
        <v>274182.24299065419</v>
      </c>
      <c r="N26" s="85">
        <f>$F$26/4</f>
        <v>1760250</v>
      </c>
      <c r="O26" s="89">
        <f>N26/Summary!$B$14</f>
        <v>274182.24299065419</v>
      </c>
      <c r="P26" s="85">
        <f>$F$26/4</f>
        <v>1760250</v>
      </c>
      <c r="Q26" s="89">
        <f>P26/Summary!$B$14</f>
        <v>274182.24299065419</v>
      </c>
      <c r="R26" s="11" t="str">
        <f t="shared" si="1"/>
        <v/>
      </c>
    </row>
    <row r="27" spans="2:18" x14ac:dyDescent="0.25">
      <c r="B27" s="254" t="s">
        <v>90</v>
      </c>
      <c r="C27" s="66">
        <v>25000</v>
      </c>
      <c r="D27" s="136">
        <f>C32*5</f>
        <v>90</v>
      </c>
      <c r="E27" s="9" t="s">
        <v>27</v>
      </c>
      <c r="F27" s="117">
        <f t="shared" ref="F27" si="16">C27*D27</f>
        <v>2250000</v>
      </c>
      <c r="G27" s="118">
        <f>F27/Summary!$B$14</f>
        <v>350467.28971962619</v>
      </c>
      <c r="H27" s="85">
        <f>$F27/5</f>
        <v>450000</v>
      </c>
      <c r="I27" s="86">
        <f>H27/Summary!$B$14</f>
        <v>70093.457943925241</v>
      </c>
      <c r="J27" s="85">
        <f>$F27/5</f>
        <v>450000</v>
      </c>
      <c r="K27" s="89">
        <f>J27/Summary!$B$14</f>
        <v>70093.457943925241</v>
      </c>
      <c r="L27" s="85">
        <f>$F27/5</f>
        <v>450000</v>
      </c>
      <c r="M27" s="89">
        <f>L27/Summary!$B$14</f>
        <v>70093.457943925241</v>
      </c>
      <c r="N27" s="85">
        <f>$F27/5</f>
        <v>450000</v>
      </c>
      <c r="O27" s="89">
        <f>N27/Summary!$B$14</f>
        <v>70093.457943925241</v>
      </c>
      <c r="P27" s="85">
        <f>$F27/5</f>
        <v>450000</v>
      </c>
      <c r="Q27" s="89">
        <f>P27/Summary!$B$14</f>
        <v>70093.457943925241</v>
      </c>
      <c r="R27" s="11" t="str">
        <f t="shared" si="1"/>
        <v/>
      </c>
    </row>
    <row r="28" spans="2:18" ht="15.75" thickBot="1" x14ac:dyDescent="0.3">
      <c r="B28" s="254" t="s">
        <v>115</v>
      </c>
      <c r="C28" s="66">
        <v>650000</v>
      </c>
      <c r="D28" s="136">
        <v>5</v>
      </c>
      <c r="E28" s="9" t="s">
        <v>27</v>
      </c>
      <c r="F28" s="117">
        <f>C28*D28</f>
        <v>3250000</v>
      </c>
      <c r="G28" s="215">
        <f>F28/Summary!$B$14</f>
        <v>506230.52959501557</v>
      </c>
      <c r="H28" s="85">
        <f>$F28/5</f>
        <v>650000</v>
      </c>
      <c r="I28" s="86">
        <f>H28/Summary!$B$14</f>
        <v>101246.10591900312</v>
      </c>
      <c r="J28" s="85">
        <f>$F28/5</f>
        <v>650000</v>
      </c>
      <c r="K28" s="89">
        <f>J28/Summary!$B$14</f>
        <v>101246.10591900312</v>
      </c>
      <c r="L28" s="135">
        <f>$F28/5</f>
        <v>650000</v>
      </c>
      <c r="M28" s="89">
        <f>L28/Summary!$B$14</f>
        <v>101246.10591900312</v>
      </c>
      <c r="N28" s="135">
        <f>$F28/5</f>
        <v>650000</v>
      </c>
      <c r="O28" s="89">
        <f>N28/Summary!$B$14</f>
        <v>101246.10591900312</v>
      </c>
      <c r="P28" s="135">
        <f>$F28/5</f>
        <v>650000</v>
      </c>
      <c r="Q28" s="89">
        <f>P28/Summary!$B$14</f>
        <v>101246.10591900312</v>
      </c>
    </row>
    <row r="29" spans="2:18" s="23" customFormat="1" ht="20.25" customHeight="1" thickBot="1" x14ac:dyDescent="0.3">
      <c r="B29" s="127" t="s">
        <v>13</v>
      </c>
      <c r="C29" s="122"/>
      <c r="D29" s="123"/>
      <c r="E29" s="123"/>
      <c r="F29" s="124">
        <f>SUM(F6:F28)</f>
        <v>33132832</v>
      </c>
      <c r="G29" s="157">
        <f>SUM(G6:G28)</f>
        <v>5160877.2585669784</v>
      </c>
      <c r="H29" s="158">
        <f t="shared" ref="H29:Q29" si="17">SUM(H5:H28)</f>
        <v>5206038.9333333336</v>
      </c>
      <c r="I29" s="159">
        <f t="shared" si="17"/>
        <v>810909.49117341638</v>
      </c>
      <c r="J29" s="158">
        <f t="shared" si="17"/>
        <v>8347043.0666666664</v>
      </c>
      <c r="K29" s="160">
        <f t="shared" si="17"/>
        <v>1300162.4714434058</v>
      </c>
      <c r="L29" s="161">
        <f t="shared" si="17"/>
        <v>5664716.666666666</v>
      </c>
      <c r="M29" s="160">
        <f t="shared" si="17"/>
        <v>882354.62097611639</v>
      </c>
      <c r="N29" s="161">
        <f t="shared" si="17"/>
        <v>8164716.666666666</v>
      </c>
      <c r="O29" s="160">
        <f t="shared" si="17"/>
        <v>1271762.7206645897</v>
      </c>
      <c r="P29" s="161">
        <f t="shared" si="17"/>
        <v>5750316.666666666</v>
      </c>
      <c r="Q29" s="160">
        <f t="shared" si="17"/>
        <v>895687.95430944965</v>
      </c>
      <c r="R29" s="23" t="str">
        <f>IF(I29+K29+M29+O29+Q29=G29,"","FALSE")</f>
        <v/>
      </c>
    </row>
    <row r="30" spans="2:18" x14ac:dyDescent="0.25">
      <c r="B30" s="125"/>
      <c r="C30" s="125"/>
      <c r="D30" s="125"/>
      <c r="E30" s="125"/>
      <c r="F30" s="126"/>
      <c r="G30" s="125"/>
      <c r="H30" s="9"/>
      <c r="I30" s="9"/>
      <c r="J30" s="9"/>
      <c r="K30" s="22"/>
      <c r="L30" s="22"/>
      <c r="M30" s="22"/>
    </row>
    <row r="31" spans="2:18" ht="15.75" thickBot="1" x14ac:dyDescent="0.3">
      <c r="B31" s="257"/>
      <c r="C31" s="17"/>
      <c r="D31" s="17"/>
      <c r="E31" s="17"/>
      <c r="F31" s="3"/>
      <c r="G31" s="3"/>
      <c r="H31" s="1"/>
      <c r="I31" s="1"/>
      <c r="J31" s="1"/>
    </row>
    <row r="32" spans="2:18" ht="18" customHeight="1" x14ac:dyDescent="0.25">
      <c r="B32" s="258" t="s">
        <v>33</v>
      </c>
      <c r="C32" s="156">
        <v>18</v>
      </c>
      <c r="D32" s="19" t="s">
        <v>27</v>
      </c>
      <c r="E32" s="1"/>
      <c r="F32" s="1"/>
      <c r="G32" s="26"/>
      <c r="H32" s="3"/>
      <c r="I32" s="25"/>
      <c r="J32" s="1"/>
    </row>
    <row r="33" spans="2:10" ht="18" customHeight="1" x14ac:dyDescent="0.25">
      <c r="B33" s="259" t="s">
        <v>32</v>
      </c>
      <c r="C33" s="155">
        <v>4</v>
      </c>
      <c r="D33" s="4" t="s">
        <v>59</v>
      </c>
      <c r="E33" s="1"/>
      <c r="F33" s="1"/>
      <c r="G33" s="26"/>
      <c r="H33" s="3"/>
      <c r="I33" s="25"/>
      <c r="J33" s="1"/>
    </row>
    <row r="34" spans="2:10" ht="19.5" customHeight="1" x14ac:dyDescent="0.25">
      <c r="B34" s="259" t="s">
        <v>31</v>
      </c>
      <c r="C34" s="116">
        <v>15</v>
      </c>
      <c r="D34" s="4" t="s">
        <v>53</v>
      </c>
      <c r="E34" s="1"/>
      <c r="F34" s="1"/>
      <c r="G34" s="26"/>
      <c r="H34" s="3"/>
      <c r="I34" s="25"/>
      <c r="J34" s="1"/>
    </row>
    <row r="35" spans="2:10" ht="19.5" customHeight="1" x14ac:dyDescent="0.25">
      <c r="B35" s="259" t="s">
        <v>30</v>
      </c>
      <c r="C35" s="116">
        <v>10</v>
      </c>
      <c r="D35" s="4" t="s">
        <v>55</v>
      </c>
      <c r="E35" s="1"/>
      <c r="F35" s="1"/>
      <c r="G35" s="26"/>
      <c r="H35" s="3"/>
      <c r="I35" s="25"/>
      <c r="J35" s="1"/>
    </row>
    <row r="36" spans="2:10" ht="19.5" customHeight="1" x14ac:dyDescent="0.25">
      <c r="B36" s="259" t="s">
        <v>39</v>
      </c>
      <c r="C36" s="116">
        <v>4</v>
      </c>
      <c r="D36" s="4" t="s">
        <v>27</v>
      </c>
      <c r="E36" s="1"/>
      <c r="F36" s="1"/>
      <c r="G36" s="26"/>
      <c r="H36" s="3"/>
      <c r="I36" s="25"/>
      <c r="J36" s="1"/>
    </row>
    <row r="37" spans="2:10" ht="15.75" customHeight="1" x14ac:dyDescent="0.25">
      <c r="B37" s="173" t="s">
        <v>99</v>
      </c>
      <c r="C37" s="116">
        <v>3</v>
      </c>
      <c r="D37" s="4" t="s">
        <v>27</v>
      </c>
      <c r="E37" s="1"/>
      <c r="F37" s="1"/>
      <c r="G37" s="27"/>
      <c r="H37" s="28"/>
      <c r="I37" s="24"/>
    </row>
    <row r="38" spans="2:10" s="22" customFormat="1" x14ac:dyDescent="0.25">
      <c r="B38" s="259" t="s">
        <v>104</v>
      </c>
      <c r="C38" s="116">
        <v>2</v>
      </c>
      <c r="D38" s="4" t="s">
        <v>27</v>
      </c>
      <c r="E38" s="9"/>
      <c r="F38" s="9"/>
      <c r="G38" s="26"/>
      <c r="H38" s="3"/>
      <c r="I38" s="25"/>
    </row>
    <row r="39" spans="2:10" s="22" customFormat="1" ht="15.75" thickBot="1" x14ac:dyDescent="0.3">
      <c r="B39" s="260" t="s">
        <v>105</v>
      </c>
      <c r="C39" s="131">
        <v>10</v>
      </c>
      <c r="D39" s="5" t="s">
        <v>27</v>
      </c>
      <c r="E39" s="9"/>
      <c r="F39" s="9"/>
      <c r="G39" s="26"/>
      <c r="H39" s="3"/>
      <c r="I39" s="25"/>
    </row>
    <row r="40" spans="2:10" s="22" customFormat="1" x14ac:dyDescent="0.25">
      <c r="B40" s="261"/>
      <c r="C40" s="10"/>
      <c r="D40" s="9"/>
      <c r="E40" s="9"/>
      <c r="F40" s="9"/>
      <c r="G40" s="25"/>
      <c r="H40" s="6"/>
      <c r="I40" s="25"/>
    </row>
    <row r="41" spans="2:10" s="22" customFormat="1" x14ac:dyDescent="0.25">
      <c r="B41" s="262"/>
      <c r="G41" s="29"/>
      <c r="H41" s="7"/>
      <c r="I41" s="25"/>
    </row>
    <row r="42" spans="2:10" s="22" customFormat="1" x14ac:dyDescent="0.25">
      <c r="B42" s="262"/>
      <c r="C42" s="128"/>
      <c r="G42" s="30"/>
      <c r="H42" s="8"/>
      <c r="I42" s="25"/>
    </row>
    <row r="43" spans="2:10" s="22" customFormat="1" x14ac:dyDescent="0.25">
      <c r="B43" s="262"/>
      <c r="C43" s="128"/>
    </row>
    <row r="44" spans="2:10" s="22" customFormat="1" x14ac:dyDescent="0.25">
      <c r="B44" s="262"/>
      <c r="C44" s="128"/>
    </row>
    <row r="45" spans="2:10" s="22" customFormat="1" x14ac:dyDescent="0.25">
      <c r="B45" s="263"/>
    </row>
    <row r="46" spans="2:10" s="22" customFormat="1" x14ac:dyDescent="0.25">
      <c r="B46" s="263"/>
    </row>
    <row r="47" spans="2:10" s="22" customFormat="1" x14ac:dyDescent="0.25">
      <c r="B47" s="263"/>
    </row>
    <row r="48" spans="2:10" s="22" customFormat="1" x14ac:dyDescent="0.25">
      <c r="B48" s="263"/>
    </row>
  </sheetData>
  <mergeCells count="6">
    <mergeCell ref="P3:Q3"/>
    <mergeCell ref="H3:I3"/>
    <mergeCell ref="J3:K3"/>
    <mergeCell ref="L3:M3"/>
    <mergeCell ref="B1:G1"/>
    <mergeCell ref="N3:O3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view="pageBreakPreview" zoomScale="85" zoomScaleNormal="85" zoomScaleSheetLayoutView="85" workbookViewId="0">
      <selection activeCell="B1" sqref="B1:G1"/>
    </sheetView>
  </sheetViews>
  <sheetFormatPr defaultRowHeight="15" x14ac:dyDescent="0.25"/>
  <cols>
    <col min="1" max="1" width="9.140625" style="11"/>
    <col min="2" max="2" width="67.7109375" style="11" customWidth="1"/>
    <col min="3" max="3" width="18" style="11" customWidth="1"/>
    <col min="4" max="4" width="7.7109375" style="11" bestFit="1" customWidth="1"/>
    <col min="5" max="5" width="14.140625" style="11" bestFit="1" customWidth="1"/>
    <col min="6" max="6" width="19" style="11" customWidth="1"/>
    <col min="7" max="7" width="14.28515625" style="11" customWidth="1"/>
    <col min="8" max="8" width="10.5703125" style="11" bestFit="1" customWidth="1"/>
    <col min="9" max="9" width="9" style="11" bestFit="1" customWidth="1"/>
    <col min="10" max="10" width="10.5703125" style="11" bestFit="1" customWidth="1"/>
    <col min="11" max="15" width="9" style="11" bestFit="1" customWidth="1"/>
    <col min="16" max="16" width="9" style="11" customWidth="1"/>
    <col min="17" max="17" width="8" style="11" bestFit="1" customWidth="1"/>
    <col min="18" max="16384" width="9.140625" style="11"/>
  </cols>
  <sheetData>
    <row r="1" spans="2:18" ht="15" customHeight="1" x14ac:dyDescent="0.25">
      <c r="B1" s="285" t="s">
        <v>150</v>
      </c>
      <c r="C1" s="285"/>
      <c r="D1" s="285"/>
      <c r="E1" s="285"/>
      <c r="F1" s="285"/>
      <c r="G1" s="285"/>
      <c r="H1" s="51"/>
    </row>
    <row r="2" spans="2:18" ht="15.75" thickBot="1" x14ac:dyDescent="0.3"/>
    <row r="3" spans="2:18" ht="15.75" thickBot="1" x14ac:dyDescent="0.3">
      <c r="H3" s="286" t="str">
        <f>Summary!$D$3</f>
        <v>Year 1</v>
      </c>
      <c r="I3" s="284"/>
      <c r="J3" s="286" t="str">
        <f>Summary!$F$3</f>
        <v>Year 2</v>
      </c>
      <c r="K3" s="284"/>
      <c r="L3" s="286" t="str">
        <f>Summary!$H$3</f>
        <v>Year 3</v>
      </c>
      <c r="M3" s="284"/>
      <c r="N3" s="286" t="str">
        <f>Summary!$J$3</f>
        <v>Year 4</v>
      </c>
      <c r="O3" s="284"/>
      <c r="P3" s="286" t="str">
        <f>Summary!$L$3</f>
        <v>Year 5</v>
      </c>
      <c r="Q3" s="284"/>
    </row>
    <row r="4" spans="2:18" ht="30.75" thickBot="1" x14ac:dyDescent="0.3">
      <c r="B4" s="1"/>
      <c r="C4" s="237" t="s">
        <v>10</v>
      </c>
      <c r="D4" s="238" t="s">
        <v>8</v>
      </c>
      <c r="E4" s="238" t="s">
        <v>11</v>
      </c>
      <c r="F4" s="239" t="s">
        <v>14</v>
      </c>
      <c r="G4" s="241" t="s">
        <v>9</v>
      </c>
      <c r="H4" s="111" t="s">
        <v>2</v>
      </c>
      <c r="I4" s="112" t="s">
        <v>1</v>
      </c>
      <c r="J4" s="111" t="s">
        <v>2</v>
      </c>
      <c r="K4" s="112" t="s">
        <v>1</v>
      </c>
      <c r="L4" s="113" t="s">
        <v>2</v>
      </c>
      <c r="M4" s="112" t="s">
        <v>1</v>
      </c>
      <c r="N4" s="113" t="s">
        <v>2</v>
      </c>
      <c r="O4" s="112" t="s">
        <v>1</v>
      </c>
      <c r="P4" s="113" t="s">
        <v>2</v>
      </c>
      <c r="Q4" s="112" t="s">
        <v>1</v>
      </c>
    </row>
    <row r="5" spans="2:18" x14ac:dyDescent="0.25">
      <c r="B5" s="165" t="s">
        <v>135</v>
      </c>
      <c r="C5" s="166"/>
      <c r="D5" s="167"/>
      <c r="E5" s="167"/>
      <c r="F5" s="168"/>
      <c r="G5" s="169"/>
      <c r="H5" s="85"/>
      <c r="I5" s="84"/>
      <c r="J5" s="85"/>
      <c r="K5" s="91"/>
      <c r="L5" s="90"/>
      <c r="M5" s="91"/>
      <c r="N5" s="90"/>
      <c r="O5" s="91"/>
      <c r="P5" s="90"/>
      <c r="Q5" s="91"/>
    </row>
    <row r="6" spans="2:18" x14ac:dyDescent="0.25">
      <c r="B6" s="162" t="s">
        <v>65</v>
      </c>
      <c r="C6" s="170">
        <v>400000</v>
      </c>
      <c r="D6" s="171">
        <v>4</v>
      </c>
      <c r="E6" s="172" t="s">
        <v>46</v>
      </c>
      <c r="F6" s="225">
        <f>C6*D6</f>
        <v>1600000</v>
      </c>
      <c r="G6" s="226">
        <f>F6/Summary!$B$14</f>
        <v>249221.18380062305</v>
      </c>
      <c r="H6" s="85">
        <f>F6/2</f>
        <v>800000</v>
      </c>
      <c r="I6" s="86">
        <f>H6/Summary!$B$14</f>
        <v>124610.59190031153</v>
      </c>
      <c r="J6" s="85">
        <f>F6/2</f>
        <v>800000</v>
      </c>
      <c r="K6" s="89">
        <f>J6/Summary!$B$14</f>
        <v>124610.59190031153</v>
      </c>
      <c r="L6" s="90">
        <v>0</v>
      </c>
      <c r="M6" s="89">
        <f>L6/Summary!$B$14</f>
        <v>0</v>
      </c>
      <c r="N6" s="90">
        <v>0</v>
      </c>
      <c r="O6" s="89">
        <f>N6/Summary!$B$14</f>
        <v>0</v>
      </c>
      <c r="P6" s="90">
        <v>0</v>
      </c>
      <c r="Q6" s="89">
        <f>P6/Summary!$B$14</f>
        <v>0</v>
      </c>
      <c r="R6" s="11" t="str">
        <f>IF(H6+J6+L6+N6+P6=F6,"","FALSE")</f>
        <v/>
      </c>
    </row>
    <row r="7" spans="2:18" x14ac:dyDescent="0.25">
      <c r="B7" s="162" t="s">
        <v>136</v>
      </c>
      <c r="C7" s="170">
        <v>650000</v>
      </c>
      <c r="D7" s="171">
        <v>1</v>
      </c>
      <c r="E7" s="172" t="s">
        <v>64</v>
      </c>
      <c r="F7" s="225">
        <f>C7*D7</f>
        <v>650000</v>
      </c>
      <c r="G7" s="226">
        <f>F7/Summary!$B$14</f>
        <v>101246.10591900312</v>
      </c>
      <c r="H7" s="85">
        <f>F7</f>
        <v>650000</v>
      </c>
      <c r="I7" s="86">
        <f>H7/Summary!$B$14</f>
        <v>101246.10591900312</v>
      </c>
      <c r="J7" s="85">
        <v>0</v>
      </c>
      <c r="K7" s="89">
        <f>J7/Summary!$B$14</f>
        <v>0</v>
      </c>
      <c r="L7" s="90">
        <v>0</v>
      </c>
      <c r="M7" s="89">
        <f>L7/Summary!$B$14</f>
        <v>0</v>
      </c>
      <c r="N7" s="90">
        <v>0</v>
      </c>
      <c r="O7" s="89">
        <f>N7/Summary!$B$14</f>
        <v>0</v>
      </c>
      <c r="P7" s="90">
        <v>0</v>
      </c>
      <c r="Q7" s="89">
        <f>P7/Summary!$B$14</f>
        <v>0</v>
      </c>
      <c r="R7" s="11" t="str">
        <f t="shared" ref="R7:R12" si="0">IF(H7+J7+L7+N7+P7=F7,"","FALSE")</f>
        <v/>
      </c>
    </row>
    <row r="8" spans="2:18" ht="15.75" thickBot="1" x14ac:dyDescent="0.3">
      <c r="B8" s="162" t="s">
        <v>38</v>
      </c>
      <c r="C8" s="170">
        <f>(1000*6.42)+(350*6.42*7)</f>
        <v>22149</v>
      </c>
      <c r="D8" s="171">
        <f>D6*3</f>
        <v>12</v>
      </c>
      <c r="E8" s="172" t="s">
        <v>29</v>
      </c>
      <c r="F8" s="225">
        <f>C8*D8</f>
        <v>265788</v>
      </c>
      <c r="G8" s="226">
        <f>F8/Summary!$B$14</f>
        <v>41400</v>
      </c>
      <c r="H8" s="85">
        <f>F8/2</f>
        <v>132894</v>
      </c>
      <c r="I8" s="86">
        <f>H8/Summary!$B$14</f>
        <v>20700</v>
      </c>
      <c r="J8" s="85">
        <f>F8/2</f>
        <v>132894</v>
      </c>
      <c r="K8" s="89">
        <f>J8/Summary!$B$14</f>
        <v>20700</v>
      </c>
      <c r="L8" s="90">
        <v>0</v>
      </c>
      <c r="M8" s="89">
        <f>L8/Summary!$B$14</f>
        <v>0</v>
      </c>
      <c r="N8" s="90">
        <v>0</v>
      </c>
      <c r="O8" s="89">
        <f>N8/Summary!$B$14</f>
        <v>0</v>
      </c>
      <c r="P8" s="90">
        <v>0</v>
      </c>
      <c r="Q8" s="89">
        <f>P8/Summary!$B$14</f>
        <v>0</v>
      </c>
      <c r="R8" s="11" t="str">
        <f t="shared" si="0"/>
        <v/>
      </c>
    </row>
    <row r="9" spans="2:18" x14ac:dyDescent="0.25">
      <c r="B9" s="148" t="s">
        <v>116</v>
      </c>
      <c r="C9" s="68"/>
      <c r="D9" s="149"/>
      <c r="E9" s="40"/>
      <c r="F9" s="228"/>
      <c r="G9" s="229"/>
      <c r="H9" s="83"/>
      <c r="I9" s="84"/>
      <c r="J9" s="83"/>
      <c r="K9" s="91"/>
      <c r="L9" s="92"/>
      <c r="M9" s="91"/>
      <c r="N9" s="92"/>
      <c r="O9" s="91"/>
      <c r="P9" s="92"/>
      <c r="Q9" s="91"/>
      <c r="R9" s="11" t="str">
        <f t="shared" si="0"/>
        <v/>
      </c>
    </row>
    <row r="10" spans="2:18" x14ac:dyDescent="0.25">
      <c r="B10" s="173" t="s">
        <v>49</v>
      </c>
      <c r="C10" s="170">
        <v>80000</v>
      </c>
      <c r="D10" s="171">
        <f>D11</f>
        <v>10</v>
      </c>
      <c r="E10" s="38" t="s">
        <v>46</v>
      </c>
      <c r="F10" s="230">
        <f>C10*D10</f>
        <v>800000</v>
      </c>
      <c r="G10" s="226">
        <f>F10/Summary!$B$14</f>
        <v>124610.59190031153</v>
      </c>
      <c r="H10" s="85">
        <f>$F10/5</f>
        <v>160000</v>
      </c>
      <c r="I10" s="86">
        <f>H10/Summary!$B$14</f>
        <v>24922.118380062304</v>
      </c>
      <c r="J10" s="85">
        <f>$F10/5</f>
        <v>160000</v>
      </c>
      <c r="K10" s="89">
        <f>J10/Summary!$B$14</f>
        <v>24922.118380062304</v>
      </c>
      <c r="L10" s="90">
        <f>$F10/5</f>
        <v>160000</v>
      </c>
      <c r="M10" s="89">
        <f>L10/Summary!$B$14</f>
        <v>24922.118380062304</v>
      </c>
      <c r="N10" s="90">
        <f>$F10/5</f>
        <v>160000</v>
      </c>
      <c r="O10" s="89">
        <f>N10/Summary!$B$14</f>
        <v>24922.118380062304</v>
      </c>
      <c r="P10" s="90">
        <f>$F10/5</f>
        <v>160000</v>
      </c>
      <c r="Q10" s="89">
        <f>P10/Summary!$B$14</f>
        <v>24922.118380062304</v>
      </c>
      <c r="R10" s="11" t="str">
        <f t="shared" si="0"/>
        <v/>
      </c>
    </row>
    <row r="11" spans="2:18" x14ac:dyDescent="0.25">
      <c r="B11" s="173" t="s">
        <v>48</v>
      </c>
      <c r="C11" s="170">
        <v>6000</v>
      </c>
      <c r="D11" s="171">
        <f>C26</f>
        <v>10</v>
      </c>
      <c r="E11" s="38" t="s">
        <v>27</v>
      </c>
      <c r="F11" s="230">
        <f>C11*D11</f>
        <v>60000</v>
      </c>
      <c r="G11" s="226">
        <f>F11/Summary!$B$14</f>
        <v>9345.7943925233649</v>
      </c>
      <c r="H11" s="85">
        <f t="shared" ref="H11:H12" si="1">$F11/5</f>
        <v>12000</v>
      </c>
      <c r="I11" s="86">
        <f>H11/Summary!$B$14</f>
        <v>1869.1588785046729</v>
      </c>
      <c r="J11" s="85">
        <f t="shared" ref="J11:J12" si="2">$F11/5</f>
        <v>12000</v>
      </c>
      <c r="K11" s="89">
        <f>J11/Summary!$B$14</f>
        <v>1869.1588785046729</v>
      </c>
      <c r="L11" s="90">
        <f t="shared" ref="L11:L12" si="3">$F11/5</f>
        <v>12000</v>
      </c>
      <c r="M11" s="89">
        <f>L11/Summary!$B$14</f>
        <v>1869.1588785046729</v>
      </c>
      <c r="N11" s="90">
        <f t="shared" ref="N11:N12" si="4">$F11/5</f>
        <v>12000</v>
      </c>
      <c r="O11" s="89">
        <f>N11/Summary!$B$14</f>
        <v>1869.1588785046729</v>
      </c>
      <c r="P11" s="90">
        <f t="shared" ref="P11:P12" si="5">$F11/5</f>
        <v>12000</v>
      </c>
      <c r="Q11" s="89">
        <f>P11/Summary!$B$14</f>
        <v>1869.1588785046729</v>
      </c>
      <c r="R11" s="11" t="str">
        <f t="shared" si="0"/>
        <v/>
      </c>
    </row>
    <row r="12" spans="2:18" ht="15.75" thickBot="1" x14ac:dyDescent="0.3">
      <c r="B12" s="173" t="s">
        <v>38</v>
      </c>
      <c r="C12" s="170">
        <f>(1000*6.42)+(350*6.42*(3+2))</f>
        <v>17655</v>
      </c>
      <c r="D12" s="171">
        <f>C26*C27</f>
        <v>100</v>
      </c>
      <c r="E12" s="38" t="s">
        <v>53</v>
      </c>
      <c r="F12" s="230">
        <f>C12*D12</f>
        <v>1765500</v>
      </c>
      <c r="G12" s="226">
        <f>F12/Summary!$B$14</f>
        <v>275000</v>
      </c>
      <c r="H12" s="85">
        <f t="shared" si="1"/>
        <v>353100</v>
      </c>
      <c r="I12" s="86">
        <f>H12/Summary!$B$14</f>
        <v>55000</v>
      </c>
      <c r="J12" s="85">
        <f t="shared" si="2"/>
        <v>353100</v>
      </c>
      <c r="K12" s="89">
        <f>J12/Summary!$B$14</f>
        <v>55000</v>
      </c>
      <c r="L12" s="90">
        <f t="shared" si="3"/>
        <v>353100</v>
      </c>
      <c r="M12" s="89">
        <f>L12/Summary!$B$14</f>
        <v>55000</v>
      </c>
      <c r="N12" s="90">
        <f t="shared" si="4"/>
        <v>353100</v>
      </c>
      <c r="O12" s="89">
        <f>N12/Summary!$B$14</f>
        <v>55000</v>
      </c>
      <c r="P12" s="90">
        <f t="shared" si="5"/>
        <v>353100</v>
      </c>
      <c r="Q12" s="89">
        <f>P12/Summary!$B$14</f>
        <v>55000</v>
      </c>
      <c r="R12" s="11" t="str">
        <f t="shared" si="0"/>
        <v/>
      </c>
    </row>
    <row r="13" spans="2:18" x14ac:dyDescent="0.25">
      <c r="B13" s="148" t="s">
        <v>61</v>
      </c>
      <c r="C13" s="68"/>
      <c r="D13" s="149"/>
      <c r="E13" s="40"/>
      <c r="F13" s="228"/>
      <c r="G13" s="229"/>
      <c r="H13" s="83"/>
      <c r="I13" s="84"/>
      <c r="J13" s="83"/>
      <c r="K13" s="91"/>
      <c r="L13" s="92"/>
      <c r="M13" s="91"/>
      <c r="N13" s="92"/>
      <c r="O13" s="91"/>
      <c r="P13" s="92"/>
      <c r="Q13" s="91"/>
      <c r="R13" s="11" t="str">
        <f t="shared" ref="R13:R23" si="6">IF(H13+J13+L13+N13+P13=F13,"","FALSE")</f>
        <v/>
      </c>
    </row>
    <row r="14" spans="2:18" x14ac:dyDescent="0.25">
      <c r="B14" s="173" t="s">
        <v>60</v>
      </c>
      <c r="C14" s="170">
        <v>150000</v>
      </c>
      <c r="D14" s="174">
        <v>1</v>
      </c>
      <c r="E14" s="38" t="s">
        <v>46</v>
      </c>
      <c r="F14" s="230">
        <f>C14*D14</f>
        <v>150000</v>
      </c>
      <c r="G14" s="226">
        <f>F14/Summary!$B$14</f>
        <v>23364.485981308411</v>
      </c>
      <c r="H14" s="85">
        <v>0</v>
      </c>
      <c r="I14" s="86">
        <f>H14/Summary!$B$14</f>
        <v>0</v>
      </c>
      <c r="J14" s="85">
        <f>F14</f>
        <v>150000</v>
      </c>
      <c r="K14" s="89">
        <f>J14/Summary!$B$14</f>
        <v>23364.485981308411</v>
      </c>
      <c r="L14" s="90">
        <v>0</v>
      </c>
      <c r="M14" s="89">
        <f>L14/Summary!$B$14</f>
        <v>0</v>
      </c>
      <c r="N14" s="90">
        <v>0</v>
      </c>
      <c r="O14" s="89">
        <f>N14/Summary!$B$14</f>
        <v>0</v>
      </c>
      <c r="P14" s="90">
        <v>0</v>
      </c>
      <c r="Q14" s="89">
        <f>P14/Summary!$B$14</f>
        <v>0</v>
      </c>
      <c r="R14" s="11" t="str">
        <f t="shared" si="6"/>
        <v/>
      </c>
    </row>
    <row r="15" spans="2:18" x14ac:dyDescent="0.25">
      <c r="B15" s="173" t="s">
        <v>62</v>
      </c>
      <c r="C15" s="170">
        <v>55000</v>
      </c>
      <c r="D15" s="174">
        <f>C30</f>
        <v>2</v>
      </c>
      <c r="E15" s="38" t="s">
        <v>46</v>
      </c>
      <c r="F15" s="230">
        <f t="shared" ref="F15" si="7">C15*D15</f>
        <v>110000</v>
      </c>
      <c r="G15" s="226">
        <f>F15/Summary!$B$14</f>
        <v>17133.956386292833</v>
      </c>
      <c r="H15" s="85">
        <v>0</v>
      </c>
      <c r="I15" s="86">
        <f>H15/Summary!$B$14</f>
        <v>0</v>
      </c>
      <c r="J15" s="85">
        <f>F15</f>
        <v>110000</v>
      </c>
      <c r="K15" s="89">
        <f>J15/Summary!$B$14</f>
        <v>17133.956386292833</v>
      </c>
      <c r="L15" s="90">
        <v>0</v>
      </c>
      <c r="M15" s="89">
        <f>L15/Summary!$B$14</f>
        <v>0</v>
      </c>
      <c r="N15" s="90">
        <v>0</v>
      </c>
      <c r="O15" s="89">
        <f>N15/Summary!$B$14</f>
        <v>0</v>
      </c>
      <c r="P15" s="90">
        <v>0</v>
      </c>
      <c r="Q15" s="89">
        <f>P15/Summary!$B$14</f>
        <v>0</v>
      </c>
      <c r="R15" s="11" t="str">
        <f t="shared" si="6"/>
        <v/>
      </c>
    </row>
    <row r="16" spans="2:18" ht="15.75" thickBot="1" x14ac:dyDescent="0.3">
      <c r="B16" s="173" t="s">
        <v>38</v>
      </c>
      <c r="C16" s="170">
        <f>(1000*6.42)+(350*6.42*12)</f>
        <v>33384</v>
      </c>
      <c r="D16" s="174">
        <f>D15</f>
        <v>2</v>
      </c>
      <c r="E16" s="38" t="s">
        <v>29</v>
      </c>
      <c r="F16" s="230">
        <f>C16*D16</f>
        <v>66768</v>
      </c>
      <c r="G16" s="226">
        <f>F16/Summary!$B$14</f>
        <v>10400</v>
      </c>
      <c r="H16" s="85">
        <v>0</v>
      </c>
      <c r="I16" s="86">
        <f>H16/Summary!$B$14</f>
        <v>0</v>
      </c>
      <c r="J16" s="85">
        <f>F16</f>
        <v>66768</v>
      </c>
      <c r="K16" s="89">
        <f>J16/Summary!$B$14</f>
        <v>10400</v>
      </c>
      <c r="L16" s="90">
        <v>0</v>
      </c>
      <c r="M16" s="89">
        <f>L16/Summary!$B$14</f>
        <v>0</v>
      </c>
      <c r="N16" s="90">
        <v>0</v>
      </c>
      <c r="O16" s="89">
        <f>N16/Summary!$B$14</f>
        <v>0</v>
      </c>
      <c r="P16" s="90">
        <v>0</v>
      </c>
      <c r="Q16" s="89">
        <f>P16/Summary!$B$14</f>
        <v>0</v>
      </c>
      <c r="R16" s="11" t="str">
        <f t="shared" si="6"/>
        <v/>
      </c>
    </row>
    <row r="17" spans="2:18" x14ac:dyDescent="0.25">
      <c r="B17" s="148" t="s">
        <v>117</v>
      </c>
      <c r="C17" s="68"/>
      <c r="D17" s="149"/>
      <c r="E17" s="40"/>
      <c r="F17" s="228"/>
      <c r="G17" s="229"/>
      <c r="H17" s="83"/>
      <c r="I17" s="84"/>
      <c r="J17" s="83"/>
      <c r="K17" s="91"/>
      <c r="L17" s="92"/>
      <c r="M17" s="91"/>
      <c r="N17" s="92"/>
      <c r="O17" s="91"/>
      <c r="P17" s="92"/>
      <c r="Q17" s="91"/>
      <c r="R17" s="11" t="str">
        <f t="shared" si="6"/>
        <v/>
      </c>
    </row>
    <row r="18" spans="2:18" x14ac:dyDescent="0.25">
      <c r="B18" s="173" t="s">
        <v>58</v>
      </c>
      <c r="C18" s="170">
        <v>150000</v>
      </c>
      <c r="D18" s="171">
        <f>C29</f>
        <v>8</v>
      </c>
      <c r="E18" s="38" t="s">
        <v>59</v>
      </c>
      <c r="F18" s="230">
        <f t="shared" ref="F18:F22" si="8">C18*D18</f>
        <v>1200000</v>
      </c>
      <c r="G18" s="226">
        <f>F18/Summary!$B$14</f>
        <v>186915.88785046729</v>
      </c>
      <c r="H18" s="85">
        <f>F18/3</f>
        <v>400000</v>
      </c>
      <c r="I18" s="86">
        <f>H18/Summary!$B$14</f>
        <v>62305.295950155763</v>
      </c>
      <c r="J18" s="85">
        <f>F18/3</f>
        <v>400000</v>
      </c>
      <c r="K18" s="89">
        <f>J18/Summary!$B$14</f>
        <v>62305.295950155763</v>
      </c>
      <c r="L18" s="90">
        <f>F18/3</f>
        <v>400000</v>
      </c>
      <c r="M18" s="89">
        <f>L18/Summary!$B$14</f>
        <v>62305.295950155763</v>
      </c>
      <c r="N18" s="90">
        <v>0</v>
      </c>
      <c r="O18" s="89">
        <f>N18/Summary!$B$14</f>
        <v>0</v>
      </c>
      <c r="P18" s="90">
        <v>0</v>
      </c>
      <c r="Q18" s="89">
        <f>P18/Summary!$B$14</f>
        <v>0</v>
      </c>
      <c r="R18" s="11" t="str">
        <f t="shared" si="6"/>
        <v/>
      </c>
    </row>
    <row r="19" spans="2:18" x14ac:dyDescent="0.25">
      <c r="B19" s="173" t="s">
        <v>34</v>
      </c>
      <c r="C19" s="170">
        <v>10000</v>
      </c>
      <c r="D19" s="171">
        <f>C29</f>
        <v>8</v>
      </c>
      <c r="E19" s="38" t="s">
        <v>27</v>
      </c>
      <c r="F19" s="230">
        <f t="shared" si="8"/>
        <v>80000</v>
      </c>
      <c r="G19" s="226">
        <f>F19/Summary!$B$14</f>
        <v>12461.059190031152</v>
      </c>
      <c r="H19" s="85">
        <f>$F19*1/8</f>
        <v>10000</v>
      </c>
      <c r="I19" s="86">
        <f>H19/Summary!$B$14</f>
        <v>1557.632398753894</v>
      </c>
      <c r="J19" s="85">
        <f>$F19*2/8</f>
        <v>20000</v>
      </c>
      <c r="K19" s="89">
        <f>J19/Summary!$B$14</f>
        <v>3115.264797507788</v>
      </c>
      <c r="L19" s="90">
        <f>$F19*2/8</f>
        <v>20000</v>
      </c>
      <c r="M19" s="89">
        <f>L19/Summary!$B$14</f>
        <v>3115.264797507788</v>
      </c>
      <c r="N19" s="90">
        <f>$F19*2/8</f>
        <v>20000</v>
      </c>
      <c r="O19" s="89">
        <f>N19/Summary!$B$14</f>
        <v>3115.264797507788</v>
      </c>
      <c r="P19" s="90">
        <f>$F19*1/8</f>
        <v>10000</v>
      </c>
      <c r="Q19" s="89">
        <f>P19/Summary!$B$14</f>
        <v>1557.632398753894</v>
      </c>
      <c r="R19" s="11" t="str">
        <f t="shared" si="6"/>
        <v/>
      </c>
    </row>
    <row r="20" spans="2:18" x14ac:dyDescent="0.25">
      <c r="B20" s="173" t="s">
        <v>50</v>
      </c>
      <c r="C20" s="170">
        <v>5000</v>
      </c>
      <c r="D20" s="171">
        <f>C29</f>
        <v>8</v>
      </c>
      <c r="E20" s="38" t="s">
        <v>27</v>
      </c>
      <c r="F20" s="230">
        <f t="shared" si="8"/>
        <v>40000</v>
      </c>
      <c r="G20" s="226">
        <f>F20/Summary!$B$14</f>
        <v>6230.529595015576</v>
      </c>
      <c r="H20" s="85">
        <f t="shared" ref="H20:H21" si="9">$F20*1/8</f>
        <v>5000</v>
      </c>
      <c r="I20" s="86">
        <f>H20/Summary!$B$14</f>
        <v>778.816199376947</v>
      </c>
      <c r="J20" s="85">
        <f t="shared" ref="J20:J21" si="10">$F20*2/8</f>
        <v>10000</v>
      </c>
      <c r="K20" s="89">
        <f>J20/Summary!$B$14</f>
        <v>1557.632398753894</v>
      </c>
      <c r="L20" s="90">
        <f t="shared" ref="L20:L21" si="11">$F20*2/8</f>
        <v>10000</v>
      </c>
      <c r="M20" s="89">
        <f>L20/Summary!$B$14</f>
        <v>1557.632398753894</v>
      </c>
      <c r="N20" s="90">
        <f t="shared" ref="N20:N21" si="12">$F20*2/8</f>
        <v>10000</v>
      </c>
      <c r="O20" s="89">
        <f>N20/Summary!$B$14</f>
        <v>1557.632398753894</v>
      </c>
      <c r="P20" s="90">
        <f t="shared" ref="P20:P21" si="13">$F20*1/8</f>
        <v>5000</v>
      </c>
      <c r="Q20" s="89">
        <f>P20/Summary!$B$14</f>
        <v>778.816199376947</v>
      </c>
      <c r="R20" s="11" t="str">
        <f t="shared" si="6"/>
        <v/>
      </c>
    </row>
    <row r="21" spans="2:18" x14ac:dyDescent="0.25">
      <c r="B21" s="173" t="s">
        <v>57</v>
      </c>
      <c r="C21" s="170">
        <v>3200</v>
      </c>
      <c r="D21" s="171">
        <f>C29</f>
        <v>8</v>
      </c>
      <c r="E21" s="38" t="s">
        <v>27</v>
      </c>
      <c r="F21" s="230">
        <f t="shared" si="8"/>
        <v>25600</v>
      </c>
      <c r="G21" s="226">
        <f>F21/Summary!$B$14</f>
        <v>3987.5389408099691</v>
      </c>
      <c r="H21" s="85">
        <f t="shared" si="9"/>
        <v>3200</v>
      </c>
      <c r="I21" s="86">
        <f>H21/Summary!$B$14</f>
        <v>498.44236760124613</v>
      </c>
      <c r="J21" s="85">
        <f t="shared" si="10"/>
        <v>6400</v>
      </c>
      <c r="K21" s="89">
        <f>J21/Summary!$B$14</f>
        <v>996.88473520249227</v>
      </c>
      <c r="L21" s="90">
        <f t="shared" si="11"/>
        <v>6400</v>
      </c>
      <c r="M21" s="89">
        <f>L21/Summary!$B$14</f>
        <v>996.88473520249227</v>
      </c>
      <c r="N21" s="90">
        <f t="shared" si="12"/>
        <v>6400</v>
      </c>
      <c r="O21" s="89">
        <f>N21/Summary!$B$14</f>
        <v>996.88473520249227</v>
      </c>
      <c r="P21" s="90">
        <f t="shared" si="13"/>
        <v>3200</v>
      </c>
      <c r="Q21" s="89">
        <f>P21/Summary!$B$14</f>
        <v>498.44236760124613</v>
      </c>
      <c r="R21" s="11" t="str">
        <f t="shared" si="6"/>
        <v/>
      </c>
    </row>
    <row r="22" spans="2:18" ht="15.75" thickBot="1" x14ac:dyDescent="0.3">
      <c r="B22" s="244" t="s">
        <v>63</v>
      </c>
      <c r="C22" s="245">
        <v>98000</v>
      </c>
      <c r="D22" s="246">
        <v>1</v>
      </c>
      <c r="E22" s="143" t="s">
        <v>64</v>
      </c>
      <c r="F22" s="231">
        <f t="shared" si="8"/>
        <v>98000</v>
      </c>
      <c r="G22" s="227">
        <f>F22/Summary!$B$14</f>
        <v>15264.797507788162</v>
      </c>
      <c r="H22" s="85">
        <v>0</v>
      </c>
      <c r="I22" s="86">
        <f>H22/Summary!$B$14</f>
        <v>0</v>
      </c>
      <c r="J22" s="85">
        <v>0</v>
      </c>
      <c r="K22" s="89">
        <f>J22/Summary!$B$14</f>
        <v>0</v>
      </c>
      <c r="L22" s="90">
        <v>0</v>
      </c>
      <c r="M22" s="89">
        <f>L22/Summary!$B$14</f>
        <v>0</v>
      </c>
      <c r="N22" s="90">
        <f>F22</f>
        <v>98000</v>
      </c>
      <c r="O22" s="89">
        <f>N22/Summary!$B$14</f>
        <v>15264.797507788162</v>
      </c>
      <c r="P22" s="90">
        <v>0</v>
      </c>
      <c r="Q22" s="89">
        <f>P22/Summary!$B$14</f>
        <v>0</v>
      </c>
      <c r="R22" s="11" t="str">
        <f t="shared" si="6"/>
        <v/>
      </c>
    </row>
    <row r="23" spans="2:18" s="23" customFormat="1" ht="20.25" customHeight="1" thickBot="1" x14ac:dyDescent="0.3">
      <c r="B23" s="243" t="s">
        <v>4</v>
      </c>
      <c r="C23" s="15"/>
      <c r="D23" s="151"/>
      <c r="E23" s="16"/>
      <c r="F23" s="150">
        <f>SUM(F5:F22)</f>
        <v>6911656</v>
      </c>
      <c r="G23" s="106">
        <f>F23/Summary!$B$14</f>
        <v>1076581.9314641745</v>
      </c>
      <c r="H23" s="158">
        <f t="shared" ref="H23:Q23" si="14">SUM(H5:H22)</f>
        <v>2526194</v>
      </c>
      <c r="I23" s="159">
        <f t="shared" si="14"/>
        <v>393488.16199376946</v>
      </c>
      <c r="J23" s="158">
        <f t="shared" si="14"/>
        <v>2221162</v>
      </c>
      <c r="K23" s="160">
        <f t="shared" si="14"/>
        <v>345975.3894080997</v>
      </c>
      <c r="L23" s="161">
        <f t="shared" si="14"/>
        <v>961500</v>
      </c>
      <c r="M23" s="160">
        <f t="shared" si="14"/>
        <v>149766.35514018693</v>
      </c>
      <c r="N23" s="161">
        <f t="shared" si="14"/>
        <v>659500</v>
      </c>
      <c r="O23" s="160">
        <f t="shared" si="14"/>
        <v>102725.8566978193</v>
      </c>
      <c r="P23" s="161">
        <f t="shared" si="14"/>
        <v>543300</v>
      </c>
      <c r="Q23" s="160">
        <f t="shared" si="14"/>
        <v>84626.168224299065</v>
      </c>
      <c r="R23" s="23" t="str">
        <f t="shared" si="6"/>
        <v/>
      </c>
    </row>
    <row r="24" spans="2:18" x14ac:dyDescent="0.25">
      <c r="B24" s="125"/>
      <c r="C24" s="125"/>
      <c r="D24" s="125"/>
      <c r="E24" s="125"/>
      <c r="F24" s="125"/>
      <c r="G24" s="38"/>
      <c r="H24" s="1"/>
      <c r="I24" s="1"/>
      <c r="J24" s="1"/>
    </row>
    <row r="25" spans="2:18" ht="15.75" thickBot="1" x14ac:dyDescent="0.3">
      <c r="B25" s="17"/>
      <c r="C25" s="17"/>
      <c r="D25" s="17"/>
      <c r="E25" s="17"/>
      <c r="F25" s="3"/>
      <c r="G25" s="3"/>
      <c r="H25" s="1"/>
      <c r="I25" s="1"/>
      <c r="J25" s="1"/>
    </row>
    <row r="26" spans="2:18" x14ac:dyDescent="0.25">
      <c r="B26" s="18" t="s">
        <v>47</v>
      </c>
      <c r="C26" s="156">
        <v>10</v>
      </c>
      <c r="D26" s="19" t="s">
        <v>27</v>
      </c>
      <c r="E26" s="17"/>
      <c r="F26" s="3"/>
      <c r="G26" s="3"/>
      <c r="H26" s="1"/>
      <c r="I26" s="1"/>
      <c r="J26" s="1"/>
    </row>
    <row r="27" spans="2:18" x14ac:dyDescent="0.25">
      <c r="B27" s="20" t="s">
        <v>52</v>
      </c>
      <c r="C27" s="155">
        <v>10</v>
      </c>
      <c r="D27" s="4" t="s">
        <v>53</v>
      </c>
      <c r="E27" s="17"/>
      <c r="F27" s="3"/>
      <c r="G27" s="3"/>
      <c r="H27" s="104"/>
      <c r="I27" s="104"/>
      <c r="J27" s="1"/>
    </row>
    <row r="28" spans="2:18" x14ac:dyDescent="0.25">
      <c r="B28" s="20" t="s">
        <v>54</v>
      </c>
      <c r="C28" s="155">
        <v>3</v>
      </c>
      <c r="D28" s="4" t="s">
        <v>55</v>
      </c>
      <c r="E28" s="17"/>
      <c r="F28" s="3"/>
      <c r="G28" s="3"/>
      <c r="H28" s="1"/>
      <c r="I28" s="1"/>
      <c r="J28" s="1"/>
    </row>
    <row r="29" spans="2:18" x14ac:dyDescent="0.25">
      <c r="B29" s="20" t="s">
        <v>51</v>
      </c>
      <c r="C29" s="155">
        <v>8</v>
      </c>
      <c r="D29" s="4" t="s">
        <v>27</v>
      </c>
      <c r="E29" s="1"/>
      <c r="F29" s="1"/>
      <c r="G29" s="1"/>
      <c r="H29" s="2"/>
      <c r="I29" s="1"/>
      <c r="J29" s="1"/>
    </row>
    <row r="30" spans="2:18" ht="15.75" thickBot="1" x14ac:dyDescent="0.3">
      <c r="B30" s="216" t="s">
        <v>66</v>
      </c>
      <c r="C30" s="217">
        <v>2</v>
      </c>
      <c r="D30" s="5" t="s">
        <v>27</v>
      </c>
      <c r="E30" s="1"/>
      <c r="F30" s="1"/>
      <c r="G30" s="1"/>
      <c r="H30" s="2"/>
      <c r="I30" s="1"/>
      <c r="J30" s="1"/>
    </row>
    <row r="31" spans="2:18" x14ac:dyDescent="0.25">
      <c r="B31" s="1"/>
      <c r="C31" s="1"/>
      <c r="D31" s="1"/>
      <c r="E31" s="1"/>
      <c r="F31" s="1"/>
      <c r="G31" s="1"/>
      <c r="H31" s="2"/>
    </row>
    <row r="32" spans="2:18" x14ac:dyDescent="0.25">
      <c r="B32" s="1"/>
      <c r="C32" s="1"/>
      <c r="D32" s="1"/>
      <c r="E32" s="1"/>
      <c r="F32" s="1"/>
      <c r="G32" s="1"/>
      <c r="H32" s="2"/>
    </row>
    <row r="33" spans="2:8" x14ac:dyDescent="0.25">
      <c r="B33" s="1"/>
      <c r="C33" s="1"/>
      <c r="D33" s="1"/>
      <c r="E33" s="1"/>
      <c r="F33" s="1"/>
      <c r="G33" s="1"/>
      <c r="H33" s="2"/>
    </row>
    <row r="34" spans="2:8" x14ac:dyDescent="0.25">
      <c r="D34" s="1"/>
      <c r="E34" s="1"/>
      <c r="F34" s="1"/>
      <c r="G34" s="1"/>
      <c r="H34" s="2"/>
    </row>
    <row r="35" spans="2:8" x14ac:dyDescent="0.25">
      <c r="D35" s="1"/>
      <c r="E35" s="1"/>
      <c r="F35" s="1"/>
      <c r="G35" s="1"/>
      <c r="H35" s="2"/>
    </row>
    <row r="36" spans="2:8" x14ac:dyDescent="0.25">
      <c r="D36" s="1"/>
      <c r="E36" s="1"/>
      <c r="F36" s="1"/>
      <c r="G36" s="1"/>
      <c r="H36" s="2"/>
    </row>
  </sheetData>
  <mergeCells count="6">
    <mergeCell ref="P3:Q3"/>
    <mergeCell ref="B1:G1"/>
    <mergeCell ref="H3:I3"/>
    <mergeCell ref="J3:K3"/>
    <mergeCell ref="L3:M3"/>
    <mergeCell ref="N3:O3"/>
  </mergeCells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zoomScale="85" zoomScaleNormal="85" zoomScaleSheetLayoutView="85" workbookViewId="0"/>
  </sheetViews>
  <sheetFormatPr defaultRowHeight="15" x14ac:dyDescent="0.25"/>
  <cols>
    <col min="1" max="1" width="9.140625" style="11"/>
    <col min="2" max="2" width="56.85546875" style="11" customWidth="1"/>
    <col min="3" max="3" width="16.5703125" style="11" customWidth="1"/>
    <col min="4" max="4" width="15.140625" style="11" customWidth="1"/>
    <col min="5" max="5" width="12.7109375" style="11" customWidth="1"/>
    <col min="6" max="6" width="15.42578125" style="11" bestFit="1" customWidth="1"/>
    <col min="7" max="7" width="15.85546875" style="11" bestFit="1" customWidth="1"/>
    <col min="8" max="17" width="9.42578125" style="11" customWidth="1"/>
    <col min="18" max="16384" width="9.140625" style="11"/>
  </cols>
  <sheetData>
    <row r="1" spans="2:19" x14ac:dyDescent="0.25">
      <c r="B1" s="285" t="s">
        <v>15</v>
      </c>
      <c r="C1" s="285"/>
      <c r="D1" s="285"/>
      <c r="E1" s="285"/>
      <c r="F1" s="51"/>
      <c r="G1" s="51"/>
      <c r="H1" s="51"/>
      <c r="I1" s="51"/>
    </row>
    <row r="2" spans="2:19" ht="15.75" thickBot="1" x14ac:dyDescent="0.3"/>
    <row r="3" spans="2:19" ht="15.75" thickBot="1" x14ac:dyDescent="0.3">
      <c r="H3" s="287" t="str">
        <f>Summary!$D$3</f>
        <v>Year 1</v>
      </c>
      <c r="I3" s="289"/>
      <c r="J3" s="287" t="str">
        <f>Summary!$F$3</f>
        <v>Year 2</v>
      </c>
      <c r="K3" s="288"/>
      <c r="L3" s="287" t="str">
        <f>Summary!$H$3</f>
        <v>Year 3</v>
      </c>
      <c r="M3" s="288"/>
      <c r="N3" s="287" t="str">
        <f>Summary!$J$3</f>
        <v>Year 4</v>
      </c>
      <c r="O3" s="288"/>
      <c r="P3" s="287" t="str">
        <f>Summary!$L$3</f>
        <v>Year 5</v>
      </c>
      <c r="Q3" s="288"/>
    </row>
    <row r="4" spans="2:19" s="181" customFormat="1" ht="30.75" thickBot="1" x14ac:dyDescent="0.3">
      <c r="B4" s="175"/>
      <c r="C4" s="176" t="s">
        <v>125</v>
      </c>
      <c r="D4" s="177" t="s">
        <v>8</v>
      </c>
      <c r="E4" s="177" t="s">
        <v>11</v>
      </c>
      <c r="F4" s="178" t="s">
        <v>14</v>
      </c>
      <c r="G4" s="176" t="s">
        <v>9</v>
      </c>
      <c r="H4" s="179" t="s">
        <v>2</v>
      </c>
      <c r="I4" s="180" t="s">
        <v>1</v>
      </c>
      <c r="J4" s="179" t="s">
        <v>2</v>
      </c>
      <c r="K4" s="180" t="s">
        <v>1</v>
      </c>
      <c r="L4" s="179" t="s">
        <v>2</v>
      </c>
      <c r="M4" s="180" t="s">
        <v>1</v>
      </c>
      <c r="N4" s="179" t="s">
        <v>2</v>
      </c>
      <c r="O4" s="180" t="s">
        <v>1</v>
      </c>
      <c r="P4" s="179" t="s">
        <v>2</v>
      </c>
      <c r="Q4" s="180" t="s">
        <v>1</v>
      </c>
    </row>
    <row r="5" spans="2:19" s="23" customFormat="1" x14ac:dyDescent="0.25">
      <c r="B5" s="182" t="s">
        <v>16</v>
      </c>
      <c r="C5" s="183"/>
      <c r="D5" s="183"/>
      <c r="E5" s="183"/>
      <c r="F5" s="184"/>
      <c r="G5" s="185"/>
      <c r="H5" s="186"/>
      <c r="I5" s="187"/>
      <c r="J5" s="186"/>
      <c r="K5" s="187"/>
      <c r="L5" s="186"/>
      <c r="M5" s="187"/>
      <c r="N5" s="186"/>
      <c r="O5" s="187"/>
      <c r="P5" s="186"/>
      <c r="Q5" s="187"/>
    </row>
    <row r="6" spans="2:19" s="23" customFormat="1" ht="15.75" thickBot="1" x14ac:dyDescent="0.3">
      <c r="B6" s="188" t="s">
        <v>67</v>
      </c>
      <c r="C6" s="189">
        <v>250000</v>
      </c>
      <c r="D6" s="190">
        <v>5</v>
      </c>
      <c r="E6" s="183" t="s">
        <v>68</v>
      </c>
      <c r="F6" s="191">
        <f>C6*D6</f>
        <v>1250000</v>
      </c>
      <c r="G6" s="194">
        <f>F6/Summary!$B$14</f>
        <v>194704.04984423675</v>
      </c>
      <c r="H6" s="192">
        <f>$F6/5</f>
        <v>250000</v>
      </c>
      <c r="I6" s="193">
        <f>H6/Summary!$B$14</f>
        <v>38940.809968847352</v>
      </c>
      <c r="J6" s="192">
        <f>$F6/5</f>
        <v>250000</v>
      </c>
      <c r="K6" s="193">
        <f>J6/Summary!$B$14</f>
        <v>38940.809968847352</v>
      </c>
      <c r="L6" s="192">
        <f>$F6/5</f>
        <v>250000</v>
      </c>
      <c r="M6" s="193">
        <f>L6/Summary!$B$14</f>
        <v>38940.809968847352</v>
      </c>
      <c r="N6" s="192">
        <f>$F6/5</f>
        <v>250000</v>
      </c>
      <c r="O6" s="193">
        <f>N6/Summary!$B$14</f>
        <v>38940.809968847352</v>
      </c>
      <c r="P6" s="192">
        <f>$F6/5</f>
        <v>250000</v>
      </c>
      <c r="Q6" s="193">
        <f>P6/Summary!$B$14</f>
        <v>38940.809968847352</v>
      </c>
      <c r="R6" s="23" t="str">
        <f>IF(H6+J6+L6+N6+P6=F6,"","FALSE")</f>
        <v/>
      </c>
      <c r="S6" s="23" t="str">
        <f>IF(I6+K6+M6+O6+Q6=G6,"","FALSE")</f>
        <v/>
      </c>
    </row>
    <row r="7" spans="2:19" s="23" customFormat="1" x14ac:dyDescent="0.25">
      <c r="B7" s="196" t="s">
        <v>155</v>
      </c>
      <c r="C7" s="197"/>
      <c r="D7" s="198"/>
      <c r="E7" s="198"/>
      <c r="F7" s="199"/>
      <c r="G7" s="200"/>
      <c r="H7" s="186"/>
      <c r="I7" s="187"/>
      <c r="J7" s="186"/>
      <c r="K7" s="187"/>
      <c r="L7" s="186"/>
      <c r="M7" s="187"/>
      <c r="N7" s="186"/>
      <c r="O7" s="187"/>
      <c r="P7" s="186"/>
      <c r="Q7" s="187"/>
      <c r="R7" s="23" t="str">
        <f t="shared" ref="R7:R14" si="0">IF(H7+J7+L7+N7+P7=F7,"","FALSE")</f>
        <v/>
      </c>
      <c r="S7" s="23" t="str">
        <f t="shared" ref="S7:S14" si="1">IF(I7+K7+M7+O7+Q7=G7,"","FALSE")</f>
        <v/>
      </c>
    </row>
    <row r="8" spans="2:19" s="23" customFormat="1" ht="30" x14ac:dyDescent="0.25">
      <c r="B8" s="201" t="s">
        <v>70</v>
      </c>
      <c r="C8" s="189">
        <v>180000</v>
      </c>
      <c r="D8" s="190">
        <v>1</v>
      </c>
      <c r="E8" s="183" t="s">
        <v>64</v>
      </c>
      <c r="F8" s="191">
        <f>C8*D8</f>
        <v>180000</v>
      </c>
      <c r="G8" s="194">
        <f>F8/Summary!$B$14</f>
        <v>28037.383177570093</v>
      </c>
      <c r="H8" s="192">
        <f>F8</f>
        <v>180000</v>
      </c>
      <c r="I8" s="193">
        <f>H8/Summary!$B$14</f>
        <v>28037.383177570093</v>
      </c>
      <c r="J8" s="192">
        <v>0</v>
      </c>
      <c r="K8" s="193">
        <f>J8/Summary!$B$14</f>
        <v>0</v>
      </c>
      <c r="L8" s="192">
        <v>0</v>
      </c>
      <c r="M8" s="193">
        <f>L8/Summary!$B$14</f>
        <v>0</v>
      </c>
      <c r="N8" s="192">
        <v>0</v>
      </c>
      <c r="O8" s="193">
        <f>N8/Summary!$B$14</f>
        <v>0</v>
      </c>
      <c r="P8" s="192">
        <v>0</v>
      </c>
      <c r="Q8" s="193">
        <f>P8/Summary!$B$14</f>
        <v>0</v>
      </c>
      <c r="R8" s="23" t="str">
        <f t="shared" si="0"/>
        <v/>
      </c>
      <c r="S8" s="23" t="str">
        <f t="shared" si="1"/>
        <v/>
      </c>
    </row>
    <row r="9" spans="2:19" s="23" customFormat="1" ht="30" x14ac:dyDescent="0.25">
      <c r="B9" s="201" t="s">
        <v>72</v>
      </c>
      <c r="C9" s="189">
        <v>20000</v>
      </c>
      <c r="D9" s="190">
        <f>2*5</f>
        <v>10</v>
      </c>
      <c r="E9" s="183" t="s">
        <v>18</v>
      </c>
      <c r="F9" s="191">
        <f t="shared" ref="F9:F14" si="2">C9*D9</f>
        <v>200000</v>
      </c>
      <c r="G9" s="194">
        <f>F9/Summary!$B$14</f>
        <v>31152.647975077882</v>
      </c>
      <c r="H9" s="192">
        <f>$F9/5</f>
        <v>40000</v>
      </c>
      <c r="I9" s="193">
        <f>H9/Summary!$B$14</f>
        <v>6230.529595015576</v>
      </c>
      <c r="J9" s="192">
        <f>$F9/5</f>
        <v>40000</v>
      </c>
      <c r="K9" s="193">
        <f>J9/Summary!$B$14</f>
        <v>6230.529595015576</v>
      </c>
      <c r="L9" s="192">
        <f>$F9/5</f>
        <v>40000</v>
      </c>
      <c r="M9" s="193">
        <f>L9/Summary!$B$14</f>
        <v>6230.529595015576</v>
      </c>
      <c r="N9" s="192">
        <f>$F9/5</f>
        <v>40000</v>
      </c>
      <c r="O9" s="193">
        <f>N9/Summary!$B$14</f>
        <v>6230.529595015576</v>
      </c>
      <c r="P9" s="192">
        <f>$F9/5</f>
        <v>40000</v>
      </c>
      <c r="Q9" s="193">
        <f>P9/Summary!$B$14</f>
        <v>6230.529595015576</v>
      </c>
      <c r="R9" s="23" t="str">
        <f t="shared" si="0"/>
        <v/>
      </c>
      <c r="S9" s="23" t="str">
        <f t="shared" si="1"/>
        <v/>
      </c>
    </row>
    <row r="10" spans="2:19" s="23" customFormat="1" ht="15.75" thickBot="1" x14ac:dyDescent="0.3">
      <c r="B10" s="208" t="s">
        <v>71</v>
      </c>
      <c r="C10" s="209">
        <v>125000</v>
      </c>
      <c r="D10" s="210">
        <v>5</v>
      </c>
      <c r="E10" s="211" t="s">
        <v>73</v>
      </c>
      <c r="F10" s="203">
        <f t="shared" si="2"/>
        <v>625000</v>
      </c>
      <c r="G10" s="204">
        <f>F10/Summary!$B$14</f>
        <v>97352.024922118377</v>
      </c>
      <c r="H10" s="195">
        <f>$F10/5</f>
        <v>125000</v>
      </c>
      <c r="I10" s="109">
        <f>H10/Summary!$B$14</f>
        <v>19470.404984423676</v>
      </c>
      <c r="J10" s="195">
        <f>$F10/5</f>
        <v>125000</v>
      </c>
      <c r="K10" s="109">
        <f>J10/Summary!$B$14</f>
        <v>19470.404984423676</v>
      </c>
      <c r="L10" s="195">
        <f>$F10/5</f>
        <v>125000</v>
      </c>
      <c r="M10" s="109">
        <f>L10/Summary!$B$14</f>
        <v>19470.404984423676</v>
      </c>
      <c r="N10" s="195">
        <f>$F10/5</f>
        <v>125000</v>
      </c>
      <c r="O10" s="109">
        <f>N10/Summary!$B$14</f>
        <v>19470.404984423676</v>
      </c>
      <c r="P10" s="195">
        <f>$F10/5</f>
        <v>125000</v>
      </c>
      <c r="Q10" s="109">
        <f>P10/Summary!$B$14</f>
        <v>19470.404984423676</v>
      </c>
      <c r="R10" s="23" t="str">
        <f t="shared" si="0"/>
        <v/>
      </c>
      <c r="S10" s="23" t="str">
        <f t="shared" si="1"/>
        <v/>
      </c>
    </row>
    <row r="11" spans="2:19" s="23" customFormat="1" x14ac:dyDescent="0.25">
      <c r="B11" s="214" t="s">
        <v>156</v>
      </c>
      <c r="C11" s="197"/>
      <c r="D11" s="198"/>
      <c r="E11" s="198"/>
      <c r="F11" s="199"/>
      <c r="G11" s="200"/>
      <c r="H11" s="186"/>
      <c r="I11" s="187"/>
      <c r="J11" s="186"/>
      <c r="K11" s="187"/>
      <c r="L11" s="186"/>
      <c r="M11" s="187"/>
      <c r="N11" s="186"/>
      <c r="O11" s="187"/>
      <c r="P11" s="186"/>
      <c r="Q11" s="187"/>
      <c r="R11" s="23" t="str">
        <f t="shared" si="0"/>
        <v/>
      </c>
      <c r="S11" s="23" t="str">
        <f t="shared" si="1"/>
        <v/>
      </c>
    </row>
    <row r="12" spans="2:19" s="23" customFormat="1" x14ac:dyDescent="0.25">
      <c r="B12" s="188" t="s">
        <v>74</v>
      </c>
      <c r="C12" s="189">
        <v>125000</v>
      </c>
      <c r="D12" s="190">
        <v>1</v>
      </c>
      <c r="E12" s="202" t="s">
        <v>64</v>
      </c>
      <c r="F12" s="191">
        <f>C12*D12</f>
        <v>125000</v>
      </c>
      <c r="G12" s="194">
        <f>F12/Summary!$B$14</f>
        <v>19470.404984423676</v>
      </c>
      <c r="H12" s="192">
        <v>0</v>
      </c>
      <c r="I12" s="193">
        <f>H12/Summary!$B$14</f>
        <v>0</v>
      </c>
      <c r="J12" s="192">
        <v>0</v>
      </c>
      <c r="K12" s="193">
        <f>J12/Summary!$B$14</f>
        <v>0</v>
      </c>
      <c r="L12" s="192">
        <v>0</v>
      </c>
      <c r="M12" s="193">
        <f>L12/Summary!$B$14</f>
        <v>0</v>
      </c>
      <c r="N12" s="192">
        <v>0</v>
      </c>
      <c r="O12" s="193">
        <f>N12/Summary!$B$14</f>
        <v>0</v>
      </c>
      <c r="P12" s="192">
        <f>F12</f>
        <v>125000</v>
      </c>
      <c r="Q12" s="193">
        <f>P12/Summary!$B$14</f>
        <v>19470.404984423676</v>
      </c>
      <c r="R12" s="23" t="str">
        <f>IF(H12+J12+L12+N12+P12=F12,"","FALSE")</f>
        <v/>
      </c>
      <c r="S12" s="23" t="str">
        <f t="shared" si="1"/>
        <v/>
      </c>
    </row>
    <row r="13" spans="2:19" s="23" customFormat="1" ht="30" x14ac:dyDescent="0.25">
      <c r="B13" s="201" t="s">
        <v>75</v>
      </c>
      <c r="C13" s="189">
        <v>125000</v>
      </c>
      <c r="D13" s="190">
        <v>1</v>
      </c>
      <c r="E13" s="202" t="s">
        <v>64</v>
      </c>
      <c r="F13" s="191">
        <f>C13*D13</f>
        <v>125000</v>
      </c>
      <c r="G13" s="194">
        <f>F13/Summary!$B$14</f>
        <v>19470.404984423676</v>
      </c>
      <c r="H13" s="192">
        <v>0</v>
      </c>
      <c r="I13" s="193">
        <f>H13/Summary!$B$14</f>
        <v>0</v>
      </c>
      <c r="J13" s="192">
        <v>0</v>
      </c>
      <c r="K13" s="193">
        <f>J13/Summary!$B$14</f>
        <v>0</v>
      </c>
      <c r="L13" s="192">
        <v>0</v>
      </c>
      <c r="M13" s="193">
        <f>L13/Summary!$B$14</f>
        <v>0</v>
      </c>
      <c r="N13" s="192">
        <v>0</v>
      </c>
      <c r="O13" s="193">
        <f>N13/Summary!$B$14</f>
        <v>0</v>
      </c>
      <c r="P13" s="192">
        <f>F13</f>
        <v>125000</v>
      </c>
      <c r="Q13" s="193">
        <f>P13/Summary!$B$14</f>
        <v>19470.404984423676</v>
      </c>
      <c r="R13" s="23" t="str">
        <f t="shared" si="0"/>
        <v/>
      </c>
      <c r="S13" s="23" t="str">
        <f t="shared" si="1"/>
        <v/>
      </c>
    </row>
    <row r="14" spans="2:19" s="23" customFormat="1" ht="15.75" thickBot="1" x14ac:dyDescent="0.3">
      <c r="B14" s="208" t="s">
        <v>69</v>
      </c>
      <c r="C14" s="209">
        <v>125000</v>
      </c>
      <c r="D14" s="210">
        <v>1</v>
      </c>
      <c r="E14" s="211" t="s">
        <v>64</v>
      </c>
      <c r="F14" s="203">
        <f t="shared" si="2"/>
        <v>125000</v>
      </c>
      <c r="G14" s="204">
        <f>F14/Summary!$B$14</f>
        <v>19470.404984423676</v>
      </c>
      <c r="H14" s="195">
        <v>0</v>
      </c>
      <c r="I14" s="109">
        <f>H14/Summary!$B$14</f>
        <v>0</v>
      </c>
      <c r="J14" s="195">
        <v>0</v>
      </c>
      <c r="K14" s="109">
        <f>J14/Summary!$B$14</f>
        <v>0</v>
      </c>
      <c r="L14" s="195">
        <v>0</v>
      </c>
      <c r="M14" s="109">
        <f>L14/Summary!$B$14</f>
        <v>0</v>
      </c>
      <c r="N14" s="195">
        <v>0</v>
      </c>
      <c r="O14" s="109">
        <f>N14/Summary!$B$14</f>
        <v>0</v>
      </c>
      <c r="P14" s="195">
        <f>F14</f>
        <v>125000</v>
      </c>
      <c r="Q14" s="109">
        <f>P14/Summary!$B$14</f>
        <v>19470.404984423676</v>
      </c>
      <c r="R14" s="23" t="str">
        <f t="shared" si="0"/>
        <v/>
      </c>
      <c r="S14" s="23" t="str">
        <f t="shared" si="1"/>
        <v/>
      </c>
    </row>
    <row r="15" spans="2:19" s="181" customFormat="1" ht="21" customHeight="1" thickBot="1" x14ac:dyDescent="0.3">
      <c r="B15" s="205" t="s">
        <v>4</v>
      </c>
      <c r="C15" s="206"/>
      <c r="D15" s="206"/>
      <c r="E15" s="206"/>
      <c r="F15" s="207">
        <f>SUM(F5:F14)</f>
        <v>2630000</v>
      </c>
      <c r="G15" s="242">
        <f>F15/Summary!$B$14</f>
        <v>409657.32087227417</v>
      </c>
      <c r="H15" s="212">
        <f>SUM(H5:H14)</f>
        <v>595000</v>
      </c>
      <c r="I15" s="213">
        <f>H15/Summary!$B$14</f>
        <v>92679.127725856699</v>
      </c>
      <c r="J15" s="212">
        <f>SUM(J5:J14)</f>
        <v>415000</v>
      </c>
      <c r="K15" s="213">
        <f>J15/Summary!$B$14</f>
        <v>64641.744548286602</v>
      </c>
      <c r="L15" s="212">
        <f>SUM(L5:L14)</f>
        <v>415000</v>
      </c>
      <c r="M15" s="213">
        <f>L15/Summary!$B$14</f>
        <v>64641.744548286602</v>
      </c>
      <c r="N15" s="212">
        <f>SUM(N5:N14)</f>
        <v>415000</v>
      </c>
      <c r="O15" s="213">
        <f>N15/Summary!$B$14</f>
        <v>64641.744548286602</v>
      </c>
      <c r="P15" s="212">
        <f>SUM(P5:P14)</f>
        <v>790000</v>
      </c>
      <c r="Q15" s="213">
        <f>P15/Summary!$B$14</f>
        <v>123052.95950155763</v>
      </c>
      <c r="R15" s="23" t="str">
        <f>IF(H15+J15+L15+N15+P15=F15,"","FALSE")</f>
        <v/>
      </c>
      <c r="S15" s="23" t="str">
        <f>IF(I15+K15+M15+O15+Q15=G15,"","FALSE")</f>
        <v/>
      </c>
    </row>
    <row r="16" spans="2:19" ht="19.5" customHeight="1" x14ac:dyDescent="0.25">
      <c r="G16" s="70"/>
    </row>
  </sheetData>
  <mergeCells count="6">
    <mergeCell ref="B1:E1"/>
    <mergeCell ref="P3:Q3"/>
    <mergeCell ref="H3:I3"/>
    <mergeCell ref="J3:K3"/>
    <mergeCell ref="L3:M3"/>
    <mergeCell ref="N3:O3"/>
  </mergeCells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workbookViewId="0">
      <selection activeCell="B1" sqref="B1:E1"/>
    </sheetView>
  </sheetViews>
  <sheetFormatPr defaultRowHeight="15" x14ac:dyDescent="0.25"/>
  <cols>
    <col min="1" max="1" width="9.140625" style="11"/>
    <col min="2" max="2" width="56.85546875" style="11" customWidth="1"/>
    <col min="3" max="3" width="16.5703125" style="11" customWidth="1"/>
    <col min="4" max="4" width="15.140625" style="11" customWidth="1"/>
    <col min="5" max="5" width="12.7109375" style="11" customWidth="1"/>
    <col min="6" max="6" width="15.42578125" style="11" bestFit="1" customWidth="1"/>
    <col min="7" max="7" width="15.85546875" style="11" bestFit="1" customWidth="1"/>
    <col min="8" max="8" width="11.28515625" style="11" bestFit="1" customWidth="1"/>
    <col min="9" max="9" width="9.42578125" style="11" customWidth="1"/>
    <col min="10" max="10" width="11.28515625" style="11" bestFit="1" customWidth="1"/>
    <col min="11" max="11" width="9.42578125" style="11" customWidth="1"/>
    <col min="12" max="12" width="11.28515625" style="11" bestFit="1" customWidth="1"/>
    <col min="13" max="13" width="9.42578125" style="11" customWidth="1"/>
    <col min="14" max="14" width="11.28515625" style="11" bestFit="1" customWidth="1"/>
    <col min="15" max="15" width="9.42578125" style="11" customWidth="1"/>
    <col min="16" max="16" width="11.28515625" style="11" bestFit="1" customWidth="1"/>
    <col min="17" max="17" width="9.42578125" style="11" customWidth="1"/>
    <col min="18" max="16384" width="9.140625" style="11"/>
  </cols>
  <sheetData>
    <row r="1" spans="2:19" x14ac:dyDescent="0.25">
      <c r="B1" s="285" t="s">
        <v>141</v>
      </c>
      <c r="C1" s="285"/>
      <c r="D1" s="285"/>
      <c r="E1" s="285"/>
      <c r="F1" s="51"/>
      <c r="G1" s="51"/>
      <c r="H1" s="51"/>
      <c r="I1" s="51"/>
    </row>
    <row r="2" spans="2:19" ht="15.75" thickBot="1" x14ac:dyDescent="0.3"/>
    <row r="3" spans="2:19" ht="15.75" thickBot="1" x14ac:dyDescent="0.3">
      <c r="H3" s="287" t="str">
        <f>Summary!$D$3</f>
        <v>Year 1</v>
      </c>
      <c r="I3" s="289"/>
      <c r="J3" s="287" t="str">
        <f>Summary!$F$3</f>
        <v>Year 2</v>
      </c>
      <c r="K3" s="288"/>
      <c r="L3" s="287" t="str">
        <f>Summary!$H$3</f>
        <v>Year 3</v>
      </c>
      <c r="M3" s="288"/>
      <c r="N3" s="287" t="str">
        <f>Summary!$J$3</f>
        <v>Year 4</v>
      </c>
      <c r="O3" s="288"/>
      <c r="P3" s="287" t="str">
        <f>Summary!$L$3</f>
        <v>Year 5</v>
      </c>
      <c r="Q3" s="288"/>
    </row>
    <row r="4" spans="2:19" s="181" customFormat="1" ht="30.75" thickBot="1" x14ac:dyDescent="0.3">
      <c r="B4" s="175"/>
      <c r="C4" s="176" t="s">
        <v>125</v>
      </c>
      <c r="D4" s="177" t="s">
        <v>8</v>
      </c>
      <c r="E4" s="177" t="s">
        <v>11</v>
      </c>
      <c r="F4" s="178" t="s">
        <v>14</v>
      </c>
      <c r="G4" s="176" t="s">
        <v>9</v>
      </c>
      <c r="H4" s="179" t="s">
        <v>2</v>
      </c>
      <c r="I4" s="180" t="s">
        <v>1</v>
      </c>
      <c r="J4" s="179" t="s">
        <v>2</v>
      </c>
      <c r="K4" s="180" t="s">
        <v>1</v>
      </c>
      <c r="L4" s="179" t="s">
        <v>2</v>
      </c>
      <c r="M4" s="180" t="s">
        <v>1</v>
      </c>
      <c r="N4" s="179" t="s">
        <v>2</v>
      </c>
      <c r="O4" s="180" t="s">
        <v>1</v>
      </c>
      <c r="P4" s="179" t="s">
        <v>2</v>
      </c>
      <c r="Q4" s="180" t="s">
        <v>1</v>
      </c>
    </row>
    <row r="5" spans="2:19" s="23" customFormat="1" x14ac:dyDescent="0.25">
      <c r="B5" s="196" t="s">
        <v>142</v>
      </c>
      <c r="C5" s="197"/>
      <c r="D5" s="198"/>
      <c r="E5" s="198"/>
      <c r="F5" s="199"/>
      <c r="G5" s="200"/>
      <c r="H5" s="186"/>
      <c r="I5" s="187"/>
      <c r="J5" s="186"/>
      <c r="K5" s="187"/>
      <c r="L5" s="186"/>
      <c r="M5" s="187"/>
      <c r="N5" s="186"/>
      <c r="O5" s="187"/>
      <c r="P5" s="186"/>
      <c r="Q5" s="187"/>
      <c r="R5" s="23" t="str">
        <f t="shared" ref="R5:S11" si="0">IF(H5+J5+L5+N5+P5=F5,"","FALSE")</f>
        <v/>
      </c>
      <c r="S5" s="23" t="str">
        <f t="shared" si="0"/>
        <v/>
      </c>
    </row>
    <row r="6" spans="2:19" s="23" customFormat="1" x14ac:dyDescent="0.25">
      <c r="B6" s="201" t="s">
        <v>152</v>
      </c>
      <c r="C6" s="189">
        <v>30000</v>
      </c>
      <c r="D6" s="190">
        <f>12*5</f>
        <v>60</v>
      </c>
      <c r="E6" s="183" t="s">
        <v>18</v>
      </c>
      <c r="F6" s="191">
        <f>C6*D6</f>
        <v>1800000</v>
      </c>
      <c r="G6" s="194">
        <f>F6/Summary!$B$14</f>
        <v>280373.83177570096</v>
      </c>
      <c r="H6" s="192">
        <f>$F6/5</f>
        <v>360000</v>
      </c>
      <c r="I6" s="193">
        <f>H6/Summary!$B$14</f>
        <v>56074.766355140186</v>
      </c>
      <c r="J6" s="192">
        <f t="shared" ref="J6:J10" si="1">$F6/5</f>
        <v>360000</v>
      </c>
      <c r="K6" s="193">
        <f>J6/Summary!$B$14</f>
        <v>56074.766355140186</v>
      </c>
      <c r="L6" s="192">
        <f t="shared" ref="L6:L10" si="2">$F6/5</f>
        <v>360000</v>
      </c>
      <c r="M6" s="193">
        <f>L6/Summary!$B$14</f>
        <v>56074.766355140186</v>
      </c>
      <c r="N6" s="192">
        <f t="shared" ref="N6:N10" si="3">$F6/5</f>
        <v>360000</v>
      </c>
      <c r="O6" s="193">
        <f>N6/Summary!$B$14</f>
        <v>56074.766355140186</v>
      </c>
      <c r="P6" s="192">
        <f t="shared" ref="P6:P10" si="4">$F6/5</f>
        <v>360000</v>
      </c>
      <c r="Q6" s="193">
        <f>P6/Summary!$B$14</f>
        <v>56074.766355140186</v>
      </c>
      <c r="R6" s="23" t="str">
        <f>IF(H6+J6+L6+N6+P6=F6,"","FALSE")</f>
        <v/>
      </c>
      <c r="S6" s="23" t="str">
        <f t="shared" si="0"/>
        <v/>
      </c>
    </row>
    <row r="7" spans="2:19" s="23" customFormat="1" x14ac:dyDescent="0.25">
      <c r="B7" s="201" t="s">
        <v>154</v>
      </c>
      <c r="C7" s="189">
        <v>10000</v>
      </c>
      <c r="D7" s="190">
        <f t="shared" ref="D7:D9" si="5">12*5</f>
        <v>60</v>
      </c>
      <c r="E7" s="183" t="s">
        <v>18</v>
      </c>
      <c r="F7" s="191">
        <f t="shared" ref="F7:F10" si="6">C7*D7</f>
        <v>600000</v>
      </c>
      <c r="G7" s="194">
        <f>F7/Summary!$B$14</f>
        <v>93457.943925233645</v>
      </c>
      <c r="H7" s="192">
        <f t="shared" ref="H7:H10" si="7">$F7/5</f>
        <v>120000</v>
      </c>
      <c r="I7" s="193">
        <f>H7/Summary!$B$14</f>
        <v>18691.58878504673</v>
      </c>
      <c r="J7" s="192">
        <f t="shared" si="1"/>
        <v>120000</v>
      </c>
      <c r="K7" s="193">
        <f>J7/Summary!$B$14</f>
        <v>18691.58878504673</v>
      </c>
      <c r="L7" s="192">
        <f t="shared" si="2"/>
        <v>120000</v>
      </c>
      <c r="M7" s="193">
        <f>L7/Summary!$B$14</f>
        <v>18691.58878504673</v>
      </c>
      <c r="N7" s="192">
        <f t="shared" si="3"/>
        <v>120000</v>
      </c>
      <c r="O7" s="193">
        <f>N7/Summary!$B$14</f>
        <v>18691.58878504673</v>
      </c>
      <c r="P7" s="192">
        <f t="shared" si="4"/>
        <v>120000</v>
      </c>
      <c r="Q7" s="193">
        <f>P7/Summary!$B$14</f>
        <v>18691.58878504673</v>
      </c>
      <c r="R7" s="23" t="str">
        <f t="shared" ref="R7:R11" si="8">IF(H7+J7+L7+N7+P7=F7,"","FALSE")</f>
        <v/>
      </c>
    </row>
    <row r="8" spans="2:19" s="23" customFormat="1" x14ac:dyDescent="0.25">
      <c r="B8" s="201" t="s">
        <v>151</v>
      </c>
      <c r="C8" s="189">
        <v>24000</v>
      </c>
      <c r="D8" s="190">
        <f t="shared" si="5"/>
        <v>60</v>
      </c>
      <c r="E8" s="183" t="s">
        <v>18</v>
      </c>
      <c r="F8" s="191">
        <f t="shared" si="6"/>
        <v>1440000</v>
      </c>
      <c r="G8" s="194">
        <f>F8/Summary!$B$14</f>
        <v>224299.06542056074</v>
      </c>
      <c r="H8" s="192">
        <f t="shared" si="7"/>
        <v>288000</v>
      </c>
      <c r="I8" s="193">
        <f>H8/Summary!$B$14</f>
        <v>44859.813084112153</v>
      </c>
      <c r="J8" s="192">
        <f t="shared" si="1"/>
        <v>288000</v>
      </c>
      <c r="K8" s="193">
        <f>J8/Summary!$B$14</f>
        <v>44859.813084112153</v>
      </c>
      <c r="L8" s="192">
        <f t="shared" si="2"/>
        <v>288000</v>
      </c>
      <c r="M8" s="193">
        <f>L8/Summary!$B$14</f>
        <v>44859.813084112153</v>
      </c>
      <c r="N8" s="192">
        <f t="shared" si="3"/>
        <v>288000</v>
      </c>
      <c r="O8" s="193">
        <f>N8/Summary!$B$14</f>
        <v>44859.813084112153</v>
      </c>
      <c r="P8" s="192">
        <f t="shared" si="4"/>
        <v>288000</v>
      </c>
      <c r="Q8" s="193">
        <f>P8/Summary!$B$14</f>
        <v>44859.813084112153</v>
      </c>
      <c r="R8" s="23" t="str">
        <f t="shared" si="8"/>
        <v/>
      </c>
    </row>
    <row r="9" spans="2:19" s="23" customFormat="1" x14ac:dyDescent="0.25">
      <c r="B9" s="201" t="s">
        <v>153</v>
      </c>
      <c r="C9" s="189">
        <v>22000</v>
      </c>
      <c r="D9" s="190">
        <f t="shared" si="5"/>
        <v>60</v>
      </c>
      <c r="E9" s="183" t="s">
        <v>18</v>
      </c>
      <c r="F9" s="191">
        <f t="shared" si="6"/>
        <v>1320000</v>
      </c>
      <c r="G9" s="194">
        <f>F9/Summary!$B$14</f>
        <v>205607.47663551403</v>
      </c>
      <c r="H9" s="192">
        <f t="shared" si="7"/>
        <v>264000</v>
      </c>
      <c r="I9" s="193">
        <f>H9/Summary!$B$14</f>
        <v>41121.495327102806</v>
      </c>
      <c r="J9" s="192">
        <f t="shared" si="1"/>
        <v>264000</v>
      </c>
      <c r="K9" s="193">
        <f>J9/Summary!$B$14</f>
        <v>41121.495327102806</v>
      </c>
      <c r="L9" s="192">
        <f t="shared" si="2"/>
        <v>264000</v>
      </c>
      <c r="M9" s="193">
        <f>L9/Summary!$B$14</f>
        <v>41121.495327102806</v>
      </c>
      <c r="N9" s="192">
        <f t="shared" si="3"/>
        <v>264000</v>
      </c>
      <c r="O9" s="193">
        <f>N9/Summary!$B$14</f>
        <v>41121.495327102806</v>
      </c>
      <c r="P9" s="192">
        <f t="shared" si="4"/>
        <v>264000</v>
      </c>
      <c r="Q9" s="193">
        <f>P9/Summary!$B$14</f>
        <v>41121.495327102806</v>
      </c>
      <c r="R9" s="23" t="str">
        <f t="shared" si="8"/>
        <v/>
      </c>
    </row>
    <row r="10" spans="2:19" s="23" customFormat="1" x14ac:dyDescent="0.25">
      <c r="B10" s="201" t="s">
        <v>161</v>
      </c>
      <c r="C10" s="189">
        <v>6000</v>
      </c>
      <c r="D10" s="190">
        <f>5*12</f>
        <v>60</v>
      </c>
      <c r="E10" s="183" t="s">
        <v>18</v>
      </c>
      <c r="F10" s="191">
        <f t="shared" si="6"/>
        <v>360000</v>
      </c>
      <c r="G10" s="194">
        <f>F10/Summary!$B$14</f>
        <v>56074.766355140186</v>
      </c>
      <c r="H10" s="192">
        <f t="shared" si="7"/>
        <v>72000</v>
      </c>
      <c r="I10" s="193">
        <f>H10/Summary!$B$14</f>
        <v>11214.953271028038</v>
      </c>
      <c r="J10" s="192">
        <f t="shared" si="1"/>
        <v>72000</v>
      </c>
      <c r="K10" s="193">
        <f>J10/Summary!$B$14</f>
        <v>11214.953271028038</v>
      </c>
      <c r="L10" s="192">
        <f t="shared" si="2"/>
        <v>72000</v>
      </c>
      <c r="M10" s="193">
        <f>L10/Summary!$B$14</f>
        <v>11214.953271028038</v>
      </c>
      <c r="N10" s="192">
        <f t="shared" si="3"/>
        <v>72000</v>
      </c>
      <c r="O10" s="193">
        <f>N10/Summary!$B$14</f>
        <v>11214.953271028038</v>
      </c>
      <c r="P10" s="192">
        <f t="shared" si="4"/>
        <v>72000</v>
      </c>
      <c r="Q10" s="193">
        <f>P10/Summary!$B$14</f>
        <v>11214.953271028038</v>
      </c>
      <c r="R10" s="23" t="str">
        <f t="shared" si="8"/>
        <v/>
      </c>
      <c r="S10" s="23" t="str">
        <f t="shared" si="0"/>
        <v/>
      </c>
    </row>
    <row r="11" spans="2:19" s="23" customFormat="1" ht="15.75" thickBot="1" x14ac:dyDescent="0.3">
      <c r="B11" s="208" t="s">
        <v>162</v>
      </c>
      <c r="C11" s="209">
        <f>(18000000*Summary!$B$14)-SUM(F6:F10)-SUM(Summary!B5:B8)</f>
        <v>628632</v>
      </c>
      <c r="D11" s="210">
        <v>1</v>
      </c>
      <c r="E11" s="211" t="s">
        <v>143</v>
      </c>
      <c r="F11" s="203">
        <f t="shared" ref="F11" si="9">C11*D11</f>
        <v>628632</v>
      </c>
      <c r="G11" s="204">
        <f>F11/Summary!$B$14</f>
        <v>97917.757009345791</v>
      </c>
      <c r="H11" s="195">
        <f>$F$11/5</f>
        <v>125726.39999999999</v>
      </c>
      <c r="I11" s="109">
        <f>H11/Summary!$B$14</f>
        <v>19583.551401869157</v>
      </c>
      <c r="J11" s="195">
        <f>$F$11/5</f>
        <v>125726.39999999999</v>
      </c>
      <c r="K11" s="109">
        <f>J11/Summary!$B$14</f>
        <v>19583.551401869157</v>
      </c>
      <c r="L11" s="195">
        <f>$F$11/5</f>
        <v>125726.39999999999</v>
      </c>
      <c r="M11" s="109">
        <f>L11/Summary!$B$14</f>
        <v>19583.551401869157</v>
      </c>
      <c r="N11" s="195">
        <f>$F$11/5</f>
        <v>125726.39999999999</v>
      </c>
      <c r="O11" s="109">
        <f>N11/Summary!$B$14</f>
        <v>19583.551401869157</v>
      </c>
      <c r="P11" s="195">
        <f>$F$11/5</f>
        <v>125726.39999999999</v>
      </c>
      <c r="Q11" s="109">
        <f>P11/Summary!$B$14</f>
        <v>19583.551401869157</v>
      </c>
      <c r="R11" s="23" t="str">
        <f t="shared" si="8"/>
        <v/>
      </c>
      <c r="S11" s="23" t="str">
        <f t="shared" si="0"/>
        <v/>
      </c>
    </row>
    <row r="12" spans="2:19" s="181" customFormat="1" ht="21" customHeight="1" thickBot="1" x14ac:dyDescent="0.3">
      <c r="B12" s="205" t="s">
        <v>4</v>
      </c>
      <c r="C12" s="206"/>
      <c r="D12" s="206"/>
      <c r="E12" s="206"/>
      <c r="F12" s="207">
        <f>SUM(F5:F11)</f>
        <v>6148632</v>
      </c>
      <c r="G12" s="242">
        <f>F12/Summary!$B$14</f>
        <v>957730.84112149535</v>
      </c>
      <c r="H12" s="212">
        <f>SUM(H5:H11)</f>
        <v>1229726.3999999999</v>
      </c>
      <c r="I12" s="213">
        <f>H12/Summary!$B$14</f>
        <v>191546.16822429906</v>
      </c>
      <c r="J12" s="212">
        <f>SUM(J5:J11)</f>
        <v>1229726.3999999999</v>
      </c>
      <c r="K12" s="213">
        <f>J12/Summary!$B$14</f>
        <v>191546.16822429906</v>
      </c>
      <c r="L12" s="212">
        <f>SUM(L5:L11)</f>
        <v>1229726.3999999999</v>
      </c>
      <c r="M12" s="213">
        <f>L12/Summary!$B$14</f>
        <v>191546.16822429906</v>
      </c>
      <c r="N12" s="212">
        <f>SUM(N5:N11)</f>
        <v>1229726.3999999999</v>
      </c>
      <c r="O12" s="213">
        <f>N12/Summary!$B$14</f>
        <v>191546.16822429906</v>
      </c>
      <c r="P12" s="212">
        <f>SUM(P5:P11)</f>
        <v>1229726.3999999999</v>
      </c>
      <c r="Q12" s="213">
        <f>P12/Summary!$B$14</f>
        <v>191546.16822429906</v>
      </c>
      <c r="R12" s="23" t="str">
        <f>IF(H12+J12+L12+N12+P12=F12,"","FALSE")</f>
        <v/>
      </c>
      <c r="S12" s="23" t="str">
        <f>IF(I12+K12+M12+O12+Q12=G12,"","FALSE")</f>
        <v/>
      </c>
    </row>
    <row r="13" spans="2:19" ht="19.5" customHeight="1" x14ac:dyDescent="0.25">
      <c r="G13" s="70"/>
    </row>
    <row r="14" spans="2:19" x14ac:dyDescent="0.25">
      <c r="C14" s="274"/>
      <c r="D14" s="266"/>
    </row>
  </sheetData>
  <mergeCells count="6">
    <mergeCell ref="P3:Q3"/>
    <mergeCell ref="B1:E1"/>
    <mergeCell ref="H3:I3"/>
    <mergeCell ref="J3:K3"/>
    <mergeCell ref="L3:M3"/>
    <mergeCell ref="N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38173675</IDBDocs_x0020_Number>
    <TaxCatchAll xmlns="9c571b2f-e523-4ab2-ba2e-09e151a03ef4">
      <Value>7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INT/INT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Beitler, Ady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TT-L1038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Proposal&lt;/USER_STAGE&gt;&lt;PD_OBJ_TYPE&gt;0&lt;/PD_OBJ_TYPE&gt;&lt;MAKERECORD&gt;Y&lt;/MAKERECORD&gt;&lt;/Data&gt;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ce-int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ACD6D0A97D06B40B310020AAF885FEA" ma:contentTypeVersion="0" ma:contentTypeDescription="A content type to manage public (operations) IDB documents" ma:contentTypeScope="" ma:versionID="dd3dc233aa35dff6e5b279999fe624b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937caba5ef611e13f9a97f1691dd916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0dcc9c2e-de7c-4e25-b077-150b0a612304}" ma:internalName="TaxCatchAll" ma:showField="CatchAllData" ma:web="56cfd1fd-a78f-46b0-bb34-6cbdf6c9e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dcc9c2e-de7c-4e25-b077-150b0a612304}" ma:internalName="TaxCatchAllLabel" ma:readOnly="true" ma:showField="CatchAllDataLabel" ma:web="56cfd1fd-a78f-46b0-bb34-6cbdf6c9e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78E879-1FC2-4749-9B07-493137E99D17}"/>
</file>

<file path=customXml/itemProps2.xml><?xml version="1.0" encoding="utf-8"?>
<ds:datastoreItem xmlns:ds="http://schemas.openxmlformats.org/officeDocument/2006/customXml" ds:itemID="{5BB4669F-73BE-45C4-B4C5-71F5EF6D76E6}"/>
</file>

<file path=customXml/itemProps3.xml><?xml version="1.0" encoding="utf-8"?>
<ds:datastoreItem xmlns:ds="http://schemas.openxmlformats.org/officeDocument/2006/customXml" ds:itemID="{1AB991FC-1EAB-4D5E-BF30-C8E5E24E65C9}"/>
</file>

<file path=customXml/itemProps4.xml><?xml version="1.0" encoding="utf-8"?>
<ds:datastoreItem xmlns:ds="http://schemas.openxmlformats.org/officeDocument/2006/customXml" ds:itemID="{8B32D2FF-B32B-4E06-B229-DA56A758A3EA}"/>
</file>

<file path=customXml/itemProps5.xml><?xml version="1.0" encoding="utf-8"?>
<ds:datastoreItem xmlns:ds="http://schemas.openxmlformats.org/officeDocument/2006/customXml" ds:itemID="{BCE28041-DC9E-4BA6-B969-9C0341BF3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C1 Hub </vt:lpstr>
      <vt:lpstr>C2 Promotion</vt:lpstr>
      <vt:lpstr>C3 Regulatory</vt:lpstr>
      <vt:lpstr>M&amp;E</vt:lpstr>
      <vt:lpstr>Admin</vt:lpstr>
      <vt:lpstr>'C1 Hub '!Print_Area</vt:lpstr>
      <vt:lpstr>'C2 Promotion'!Print_Area</vt:lpstr>
      <vt:lpstr>'C3 Regulatory'!Print_Area</vt:lpstr>
      <vt:lpstr>'M&amp;E'!Print_Area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 BUDGET</dc:title>
  <dc:creator>BRUCE</dc:creator>
  <cp:lastModifiedBy>Test</cp:lastModifiedBy>
  <cp:lastPrinted>2013-10-04T19:49:10Z</cp:lastPrinted>
  <dcterms:created xsi:type="dcterms:W3CDTF">2013-08-22T23:39:37Z</dcterms:created>
  <dcterms:modified xsi:type="dcterms:W3CDTF">2013-10-18T19:15:41Z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0x01010046CF21643EE8D14686A648AA6DAD0892001ACD6D0A97D06B40B310020AAF885FEA</vt:lpwstr>
  </property>
  <property fmtid="{D5CDD505-2E9C-101B-9397-08002B2CF9AE}" pid="3" name="TaxKeyword">
    <vt:lpwstr/>
  </property>
  <property fmtid="{D5CDD505-2E9C-101B-9397-08002B2CF9AE}" pid="4" name="Function Operations IDB">
    <vt:lpwstr>7;#IDBDocs|cca77002-e150-4b2d-ab1f-1d7a7cdcae16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