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875" firstSheet="5" activeTab="5"/>
  </bookViews>
  <sheets>
    <sheet name="BID" sheetId="1" state="hidden" r:id="rId1"/>
    <sheet name="PMS" sheetId="4" state="hidden" r:id="rId2"/>
    <sheet name="FINAL" sheetId="5" state="hidden" r:id="rId3"/>
    <sheet name="Atual" sheetId="10" state="hidden" r:id="rId4"/>
    <sheet name="PROPOSTA BID" sheetId="11" state="hidden" r:id="rId5"/>
    <sheet name="matriz de inversiones" sheetId="13" r:id="rId6"/>
    <sheet name="Simulação 2" sheetId="7" state="hidden" r:id="rId7"/>
  </sheets>
  <definedNames>
    <definedName name="_xlnm.Print_Area" localSheetId="3">Atual!$A$1:$H$52</definedName>
  </definedNames>
  <calcPr calcId="145621"/>
</workbook>
</file>

<file path=xl/calcChain.xml><?xml version="1.0" encoding="utf-8"?>
<calcChain xmlns="http://schemas.openxmlformats.org/spreadsheetml/2006/main">
  <c r="E3" i="13" l="1"/>
  <c r="E22" i="13"/>
  <c r="E25" i="13"/>
  <c r="E36" i="13"/>
  <c r="E38" i="13"/>
  <c r="E46" i="13"/>
  <c r="D45" i="13"/>
  <c r="D36" i="13"/>
  <c r="F44" i="13"/>
  <c r="G44" i="13" s="1"/>
  <c r="E35" i="13" l="1"/>
  <c r="F53" i="13"/>
  <c r="G53" i="13" s="1"/>
  <c r="F52" i="13"/>
  <c r="G52" i="13" s="1"/>
  <c r="F51" i="13"/>
  <c r="G51" i="13" s="1"/>
  <c r="F50" i="13"/>
  <c r="G50" i="13" s="1"/>
  <c r="F49" i="13"/>
  <c r="G49" i="13" s="1"/>
  <c r="F48" i="13"/>
  <c r="G48" i="13" s="1"/>
  <c r="D47" i="13"/>
  <c r="F45" i="13"/>
  <c r="F43" i="13"/>
  <c r="G43" i="13" s="1"/>
  <c r="F42" i="13"/>
  <c r="G42" i="13" s="1"/>
  <c r="F41" i="13"/>
  <c r="G41" i="13" s="1"/>
  <c r="F40" i="13"/>
  <c r="G40" i="13" s="1"/>
  <c r="D39" i="13"/>
  <c r="F37" i="13"/>
  <c r="F34" i="13"/>
  <c r="G34" i="13" s="1"/>
  <c r="F33" i="13"/>
  <c r="G33" i="13" s="1"/>
  <c r="F32" i="13"/>
  <c r="G32" i="13" s="1"/>
  <c r="F31" i="13"/>
  <c r="G31" i="13" s="1"/>
  <c r="F30" i="13"/>
  <c r="G30" i="13" s="1"/>
  <c r="F29" i="13"/>
  <c r="G29" i="13" s="1"/>
  <c r="F28" i="13"/>
  <c r="G28" i="13" s="1"/>
  <c r="F27" i="13"/>
  <c r="G27" i="13" s="1"/>
  <c r="F26" i="13"/>
  <c r="G26" i="13" s="1"/>
  <c r="E54" i="13"/>
  <c r="D25" i="13"/>
  <c r="F24" i="13"/>
  <c r="G24" i="13" s="1"/>
  <c r="F23" i="13"/>
  <c r="G23" i="13" s="1"/>
  <c r="D22" i="13"/>
  <c r="D21" i="13"/>
  <c r="F21" i="13" s="1"/>
  <c r="G21" i="13" s="1"/>
  <c r="F20" i="13"/>
  <c r="G20" i="13" s="1"/>
  <c r="G19" i="13"/>
  <c r="G18" i="13"/>
  <c r="D17" i="13"/>
  <c r="F17" i="13" s="1"/>
  <c r="G17" i="13" s="1"/>
  <c r="D16" i="13"/>
  <c r="F16" i="13" s="1"/>
  <c r="G16" i="13" s="1"/>
  <c r="F15" i="13"/>
  <c r="G15" i="13" s="1"/>
  <c r="D14" i="13"/>
  <c r="F14" i="13" s="1"/>
  <c r="G14" i="13" s="1"/>
  <c r="F13" i="13"/>
  <c r="G13" i="13" s="1"/>
  <c r="D12" i="13"/>
  <c r="F12" i="13" s="1"/>
  <c r="G12" i="13" s="1"/>
  <c r="D11" i="13"/>
  <c r="F11" i="13" s="1"/>
  <c r="G11" i="13" s="1"/>
  <c r="D10" i="13"/>
  <c r="F10" i="13" s="1"/>
  <c r="G10" i="13" s="1"/>
  <c r="F9" i="13"/>
  <c r="G9" i="13" s="1"/>
  <c r="D8" i="13"/>
  <c r="F8" i="13" s="1"/>
  <c r="G8" i="13" s="1"/>
  <c r="D7" i="13"/>
  <c r="F7" i="13" s="1"/>
  <c r="G7" i="13" s="1"/>
  <c r="D6" i="13"/>
  <c r="D5" i="13"/>
  <c r="F4" i="13"/>
  <c r="G4" i="13" s="1"/>
  <c r="F47" i="13" l="1"/>
  <c r="F46" i="13" s="1"/>
  <c r="D46" i="13"/>
  <c r="F39" i="13"/>
  <c r="F38" i="13" s="1"/>
  <c r="D38" i="13"/>
  <c r="D35" i="13" s="1"/>
  <c r="D3" i="13"/>
  <c r="G37" i="13"/>
  <c r="G36" i="13" s="1"/>
  <c r="F36" i="13"/>
  <c r="G45" i="13"/>
  <c r="E55" i="13"/>
  <c r="F5" i="13"/>
  <c r="G5" i="13" s="1"/>
  <c r="G22" i="13"/>
  <c r="G25" i="13"/>
  <c r="F6" i="13"/>
  <c r="G6" i="13" s="1"/>
  <c r="F25" i="13"/>
  <c r="F22" i="13"/>
  <c r="G39" i="13" l="1"/>
  <c r="G38" i="13" s="1"/>
  <c r="G35" i="13" s="1"/>
  <c r="D54" i="13"/>
  <c r="F54" i="13" s="1"/>
  <c r="G54" i="13" s="1"/>
  <c r="F35" i="13"/>
  <c r="G47" i="13"/>
  <c r="G46" i="13" s="1"/>
  <c r="G3" i="13"/>
  <c r="F3" i="13"/>
  <c r="D55" i="13" l="1"/>
  <c r="F55" i="13" s="1"/>
  <c r="H35" i="13"/>
  <c r="H3" i="13"/>
  <c r="H36" i="13"/>
  <c r="H38" i="13"/>
  <c r="H22" i="13"/>
  <c r="H54" i="13"/>
  <c r="H46" i="13"/>
  <c r="H25" i="13"/>
  <c r="H50" i="7" l="1"/>
  <c r="G48" i="7"/>
  <c r="F48" i="7"/>
  <c r="E48" i="7"/>
  <c r="H47" i="7"/>
  <c r="G47" i="7"/>
  <c r="F47" i="7"/>
  <c r="E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F40" i="7"/>
  <c r="E40" i="7"/>
  <c r="H39" i="7"/>
  <c r="G39" i="7"/>
  <c r="H38" i="7"/>
  <c r="G38" i="7"/>
  <c r="H37" i="7"/>
  <c r="G37" i="7"/>
  <c r="H36" i="7"/>
  <c r="G36" i="7"/>
  <c r="H35" i="7"/>
  <c r="G35" i="7"/>
  <c r="H34" i="7"/>
  <c r="G34" i="7"/>
  <c r="F34" i="7"/>
  <c r="E34" i="7"/>
  <c r="H33" i="7"/>
  <c r="G33" i="7"/>
  <c r="H32" i="7"/>
  <c r="G32" i="7"/>
  <c r="F32" i="7"/>
  <c r="E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F25" i="7"/>
  <c r="E25" i="7"/>
  <c r="H24" i="7"/>
  <c r="G24" i="7"/>
  <c r="H23" i="7"/>
  <c r="G23" i="7"/>
  <c r="H22" i="7"/>
  <c r="G22" i="7"/>
  <c r="F22" i="7"/>
  <c r="E22" i="7"/>
  <c r="H21" i="7"/>
  <c r="F21" i="7"/>
  <c r="H20" i="7"/>
  <c r="F20" i="7"/>
  <c r="H19" i="7"/>
  <c r="G19" i="7"/>
  <c r="E19" i="7"/>
  <c r="H18" i="7"/>
  <c r="G18" i="7"/>
  <c r="E18" i="7"/>
  <c r="H17" i="7"/>
  <c r="G17" i="7"/>
  <c r="H16" i="7"/>
  <c r="G16" i="7"/>
  <c r="F16" i="7"/>
  <c r="E16" i="7"/>
  <c r="H15" i="7"/>
  <c r="G15" i="7"/>
  <c r="H14" i="7"/>
  <c r="G14" i="7"/>
  <c r="F14" i="7"/>
  <c r="E14" i="7"/>
  <c r="H13" i="7"/>
  <c r="G13" i="7"/>
  <c r="F13" i="7"/>
  <c r="E13" i="7"/>
  <c r="H12" i="7"/>
  <c r="G12" i="7"/>
  <c r="F12" i="7"/>
  <c r="E12" i="7"/>
  <c r="H11" i="7"/>
  <c r="G11" i="7"/>
  <c r="F11" i="7"/>
  <c r="E11" i="7"/>
  <c r="H10" i="7"/>
  <c r="G10" i="7"/>
  <c r="F10" i="7"/>
  <c r="E10" i="7"/>
  <c r="H9" i="7"/>
  <c r="G9" i="7"/>
  <c r="F9" i="7"/>
  <c r="E9" i="7"/>
  <c r="H8" i="7"/>
  <c r="G8" i="7"/>
  <c r="F8" i="7"/>
  <c r="E8" i="7"/>
  <c r="H7" i="7"/>
  <c r="G7" i="7"/>
  <c r="F7" i="7"/>
  <c r="E7" i="7"/>
  <c r="H6" i="7"/>
  <c r="G6" i="7"/>
  <c r="H5" i="7"/>
  <c r="G5" i="7"/>
  <c r="H4" i="7"/>
  <c r="G4" i="7"/>
  <c r="H3" i="7"/>
  <c r="G3" i="7"/>
  <c r="F3" i="7"/>
  <c r="E3" i="7"/>
  <c r="F59" i="11"/>
  <c r="E59" i="11"/>
  <c r="D59" i="11"/>
  <c r="H58" i="11"/>
  <c r="G58" i="11"/>
  <c r="F58" i="11"/>
  <c r="E58" i="11"/>
  <c r="D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H50" i="11"/>
  <c r="G50" i="11"/>
  <c r="F50" i="11"/>
  <c r="E50" i="11"/>
  <c r="D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H40" i="11"/>
  <c r="G40" i="11"/>
  <c r="F40" i="11"/>
  <c r="E40" i="11"/>
  <c r="D40" i="11"/>
  <c r="G39" i="11"/>
  <c r="F39" i="11"/>
  <c r="G38" i="11"/>
  <c r="F38" i="11"/>
  <c r="H37" i="11"/>
  <c r="G37" i="11"/>
  <c r="F37" i="11"/>
  <c r="E37" i="11"/>
  <c r="D37" i="11"/>
  <c r="G36" i="11"/>
  <c r="F36" i="11"/>
  <c r="G35" i="11"/>
  <c r="F35" i="11"/>
  <c r="G34" i="11"/>
  <c r="F34" i="11"/>
  <c r="G33" i="11"/>
  <c r="F33" i="11"/>
  <c r="G32" i="11"/>
  <c r="F32" i="11"/>
  <c r="G31" i="11"/>
  <c r="G30" i="11"/>
  <c r="F30" i="11"/>
  <c r="G29" i="11"/>
  <c r="F29" i="11"/>
  <c r="G28" i="11"/>
  <c r="F28" i="11"/>
  <c r="H27" i="11"/>
  <c r="G27" i="11"/>
  <c r="F27" i="11"/>
  <c r="E27" i="11"/>
  <c r="D27" i="11"/>
  <c r="G26" i="11"/>
  <c r="F26" i="11"/>
  <c r="G25" i="11"/>
  <c r="F25" i="11"/>
  <c r="G24" i="11"/>
  <c r="F24" i="11"/>
  <c r="H23" i="11"/>
  <c r="G23" i="11"/>
  <c r="F23" i="11"/>
  <c r="E23" i="11"/>
  <c r="D23" i="11"/>
  <c r="G22" i="11"/>
  <c r="F22" i="11"/>
  <c r="G21" i="11"/>
  <c r="G20" i="11"/>
  <c r="G19" i="11"/>
  <c r="F19" i="11"/>
  <c r="D19" i="11"/>
  <c r="G18" i="11"/>
  <c r="F18" i="11"/>
  <c r="D18" i="11"/>
  <c r="G17" i="11"/>
  <c r="F17" i="11"/>
  <c r="G16" i="11"/>
  <c r="F16" i="11"/>
  <c r="D16" i="11"/>
  <c r="G15" i="11"/>
  <c r="F15" i="11"/>
  <c r="G14" i="11"/>
  <c r="F14" i="11"/>
  <c r="D14" i="11"/>
  <c r="G13" i="11"/>
  <c r="F13" i="11"/>
  <c r="D13" i="11"/>
  <c r="G12" i="11"/>
  <c r="F12" i="11"/>
  <c r="D12" i="11"/>
  <c r="G11" i="11"/>
  <c r="F11" i="11"/>
  <c r="G10" i="11"/>
  <c r="F10" i="11"/>
  <c r="D10" i="11"/>
  <c r="G9" i="11"/>
  <c r="F9" i="11"/>
  <c r="D9" i="11"/>
  <c r="G8" i="11"/>
  <c r="F8" i="11"/>
  <c r="D8" i="11"/>
  <c r="G7" i="11"/>
  <c r="F7" i="11"/>
  <c r="D7" i="11"/>
  <c r="G6" i="11"/>
  <c r="F6" i="11"/>
  <c r="G5" i="11"/>
  <c r="F5" i="11"/>
  <c r="G4" i="11"/>
  <c r="F4" i="11"/>
  <c r="H3" i="11"/>
  <c r="G3" i="11"/>
  <c r="F3" i="11"/>
  <c r="E3" i="11"/>
  <c r="D3" i="11"/>
  <c r="G47" i="10"/>
  <c r="F47" i="10"/>
  <c r="E47" i="10"/>
  <c r="H46" i="10"/>
  <c r="G46" i="10"/>
  <c r="F46" i="10"/>
  <c r="E46" i="10"/>
  <c r="H45" i="10"/>
  <c r="G45" i="10"/>
  <c r="H44" i="10"/>
  <c r="G44" i="10"/>
  <c r="H43" i="10"/>
  <c r="G43" i="10"/>
  <c r="H42" i="10"/>
  <c r="G42" i="10"/>
  <c r="H41" i="10"/>
  <c r="G41" i="10"/>
  <c r="H40" i="10"/>
  <c r="G40" i="10"/>
  <c r="H39" i="10"/>
  <c r="G39" i="10"/>
  <c r="F39" i="10"/>
  <c r="E39" i="10"/>
  <c r="H38" i="10"/>
  <c r="G38" i="10"/>
  <c r="H37" i="10"/>
  <c r="G37" i="10"/>
  <c r="H36" i="10"/>
  <c r="G36" i="10"/>
  <c r="H35" i="10"/>
  <c r="G35" i="10"/>
  <c r="H34" i="10"/>
  <c r="G34" i="10"/>
  <c r="H33" i="10"/>
  <c r="G33" i="10"/>
  <c r="F33" i="10"/>
  <c r="E33" i="10"/>
  <c r="H32" i="10"/>
  <c r="G32" i="10"/>
  <c r="H31" i="10"/>
  <c r="G31" i="10"/>
  <c r="F31" i="10"/>
  <c r="E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F24" i="10"/>
  <c r="E24" i="10"/>
  <c r="H23" i="10"/>
  <c r="G23" i="10"/>
  <c r="H22" i="10"/>
  <c r="G22" i="10"/>
  <c r="H21" i="10"/>
  <c r="G21" i="10"/>
  <c r="F21" i="10"/>
  <c r="E21" i="10"/>
  <c r="H20" i="10"/>
  <c r="F20" i="10"/>
  <c r="H19" i="10"/>
  <c r="F19" i="10"/>
  <c r="H18" i="10"/>
  <c r="G18" i="10"/>
  <c r="E18" i="10"/>
  <c r="H17" i="10"/>
  <c r="G17" i="10"/>
  <c r="E17" i="10"/>
  <c r="H16" i="10"/>
  <c r="G16" i="10"/>
  <c r="H15" i="10"/>
  <c r="G15" i="10"/>
  <c r="F15" i="10"/>
  <c r="E15" i="10"/>
  <c r="H14" i="10"/>
  <c r="G14" i="10"/>
  <c r="H13" i="10"/>
  <c r="G13" i="10"/>
  <c r="F13" i="10"/>
  <c r="E13" i="10"/>
  <c r="H12" i="10"/>
  <c r="G12" i="10"/>
  <c r="F12" i="10"/>
  <c r="E12" i="10"/>
  <c r="H11" i="10"/>
  <c r="G11" i="10"/>
  <c r="F11" i="10"/>
  <c r="E11" i="10"/>
  <c r="H10" i="10"/>
  <c r="G10" i="10"/>
  <c r="F10" i="10"/>
  <c r="E10" i="10"/>
  <c r="H9" i="10"/>
  <c r="G9" i="10"/>
  <c r="F9" i="10"/>
  <c r="E9" i="10"/>
  <c r="H8" i="10"/>
  <c r="G8" i="10"/>
  <c r="F8" i="10"/>
  <c r="E8" i="10"/>
  <c r="H7" i="10"/>
  <c r="G7" i="10"/>
  <c r="F7" i="10"/>
  <c r="E7" i="10"/>
  <c r="H6" i="10"/>
  <c r="G6" i="10"/>
  <c r="F6" i="10"/>
  <c r="E6" i="10"/>
  <c r="H5" i="10"/>
  <c r="G5" i="10"/>
  <c r="F5" i="10"/>
  <c r="E5" i="10"/>
  <c r="H4" i="10"/>
  <c r="G4" i="10"/>
  <c r="F4" i="10"/>
  <c r="E4" i="10"/>
  <c r="H3" i="10"/>
  <c r="G3" i="10"/>
  <c r="F3" i="10"/>
  <c r="E3" i="10"/>
  <c r="H71" i="5"/>
  <c r="G71" i="5"/>
  <c r="F71" i="5"/>
  <c r="I70" i="5"/>
  <c r="H70" i="5"/>
  <c r="G70" i="5"/>
  <c r="F70" i="5"/>
  <c r="I69" i="5"/>
  <c r="H69" i="5"/>
  <c r="I68" i="5"/>
  <c r="H68" i="5"/>
  <c r="G68" i="5"/>
  <c r="I67" i="5"/>
  <c r="H67" i="5"/>
  <c r="I66" i="5"/>
  <c r="H66" i="5"/>
  <c r="I65" i="5"/>
  <c r="H65" i="5"/>
  <c r="I64" i="5"/>
  <c r="H64" i="5"/>
  <c r="F64" i="5"/>
  <c r="I63" i="5"/>
  <c r="H63" i="5"/>
  <c r="G63" i="5"/>
  <c r="F63" i="5"/>
  <c r="I62" i="5"/>
  <c r="H62" i="5"/>
  <c r="I61" i="5"/>
  <c r="H61" i="5"/>
  <c r="I60" i="5"/>
  <c r="H60" i="5"/>
  <c r="I58" i="5"/>
  <c r="H58" i="5"/>
  <c r="H57" i="5"/>
  <c r="I56" i="5"/>
  <c r="H56" i="5"/>
  <c r="I55" i="5"/>
  <c r="H55" i="5"/>
  <c r="G55" i="5"/>
  <c r="F55" i="5"/>
  <c r="I52" i="5"/>
  <c r="H52" i="5"/>
  <c r="I50" i="5"/>
  <c r="H50" i="5"/>
  <c r="G50" i="5"/>
  <c r="F50" i="5"/>
  <c r="I49" i="5"/>
  <c r="H49" i="5"/>
  <c r="I48" i="5"/>
  <c r="H48" i="5"/>
  <c r="I47" i="5"/>
  <c r="H47" i="5"/>
  <c r="I45" i="5"/>
  <c r="H45" i="5"/>
  <c r="I44" i="5"/>
  <c r="H44" i="5"/>
  <c r="I39" i="5"/>
  <c r="H39" i="5"/>
  <c r="I37" i="5"/>
  <c r="H37" i="5"/>
  <c r="G37" i="5"/>
  <c r="F37" i="5"/>
  <c r="I36" i="5"/>
  <c r="H36" i="5"/>
  <c r="I34" i="5"/>
  <c r="H34" i="5"/>
  <c r="I33" i="5"/>
  <c r="H33" i="5"/>
  <c r="G33" i="5"/>
  <c r="F33" i="5"/>
  <c r="I30" i="5"/>
  <c r="H30" i="5"/>
  <c r="I27" i="5"/>
  <c r="H27" i="5"/>
  <c r="G27" i="5"/>
  <c r="I23" i="5"/>
  <c r="H23" i="5"/>
  <c r="I19" i="5"/>
  <c r="H19" i="5"/>
  <c r="I15" i="5"/>
  <c r="H15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I3" i="5"/>
  <c r="H3" i="5"/>
  <c r="G3" i="5"/>
  <c r="F3" i="5"/>
  <c r="H71" i="4"/>
  <c r="G71" i="4"/>
  <c r="F71" i="4"/>
  <c r="H70" i="4"/>
  <c r="G70" i="4"/>
  <c r="F70" i="4"/>
  <c r="H69" i="4"/>
  <c r="H68" i="4"/>
  <c r="G68" i="4"/>
  <c r="H67" i="4"/>
  <c r="H66" i="4"/>
  <c r="H65" i="4"/>
  <c r="H64" i="4"/>
  <c r="F64" i="4"/>
  <c r="H63" i="4"/>
  <c r="G63" i="4"/>
  <c r="F63" i="4"/>
  <c r="H62" i="4"/>
  <c r="H61" i="4"/>
  <c r="H60" i="4"/>
  <c r="F59" i="4"/>
  <c r="H57" i="4"/>
  <c r="H56" i="4"/>
  <c r="H55" i="4"/>
  <c r="H54" i="4"/>
  <c r="G54" i="4"/>
  <c r="F54" i="4"/>
  <c r="H50" i="4"/>
  <c r="H49" i="4"/>
  <c r="G49" i="4"/>
  <c r="F49" i="4"/>
  <c r="H48" i="4"/>
  <c r="H47" i="4"/>
  <c r="H46" i="4"/>
  <c r="H44" i="4"/>
  <c r="H43" i="4"/>
  <c r="H38" i="4"/>
  <c r="H37" i="4"/>
  <c r="G37" i="4"/>
  <c r="F37" i="4"/>
  <c r="H36" i="4"/>
  <c r="H34" i="4"/>
  <c r="H33" i="4"/>
  <c r="G33" i="4"/>
  <c r="F33" i="4"/>
  <c r="H30" i="4"/>
  <c r="H27" i="4"/>
  <c r="G27" i="4"/>
  <c r="H22" i="4"/>
  <c r="H19" i="4"/>
  <c r="H14" i="4"/>
  <c r="H13" i="4"/>
  <c r="H12" i="4"/>
  <c r="H11" i="4"/>
  <c r="H10" i="4"/>
  <c r="H9" i="4"/>
  <c r="H8" i="4"/>
  <c r="H7" i="4"/>
  <c r="H6" i="4"/>
  <c r="H5" i="4"/>
  <c r="H4" i="4"/>
  <c r="H3" i="4"/>
  <c r="G3" i="4"/>
  <c r="F3" i="4"/>
  <c r="F28" i="1"/>
  <c r="F27" i="1"/>
  <c r="F26" i="1"/>
  <c r="F25" i="1"/>
  <c r="F24" i="1"/>
  <c r="E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3" i="1"/>
  <c r="D3" i="1"/>
</calcChain>
</file>

<file path=xl/comments1.xml><?xml version="1.0" encoding="utf-8"?>
<comments xmlns="http://schemas.openxmlformats.org/spreadsheetml/2006/main">
  <authors>
    <author>Leolina Andrade</author>
  </authors>
  <commentList>
    <comment ref="E4" authorId="0">
      <text>
        <r>
          <rPr>
            <b/>
            <sz val="8"/>
            <color indexed="81"/>
            <rFont val="Segoe UI"/>
            <family val="2"/>
          </rPr>
          <t>Mercedes:</t>
        </r>
        <r>
          <rPr>
            <sz val="8"/>
            <color indexed="81"/>
            <rFont val="Segoe UI"/>
            <family val="2"/>
          </rPr>
          <t xml:space="preserve">
Debido al estado de esta PPP, lamentablemente o Banco no puede confirmar su participacao. Según reunao de 12 do octubre, he incluido este monto en otras acciones mencionadas durante la reunao (fortalecimento para PPP, estudios y apoyos para Frontispicio y Casa dos Azulejos, turismo étnico, e imprevistos).</t>
        </r>
      </text>
    </comment>
    <comment ref="E17" authorId="0">
      <text>
        <r>
          <rPr>
            <b/>
            <sz val="8"/>
            <color indexed="81"/>
            <rFont val="Segoe UI"/>
            <family val="2"/>
          </rPr>
          <t>Mercedes:</t>
        </r>
        <r>
          <rPr>
            <sz val="8"/>
            <color indexed="81"/>
            <rFont val="Segoe UI"/>
            <family val="2"/>
          </rPr>
          <t xml:space="preserve">
suficiente?</t>
        </r>
      </text>
    </comment>
    <comment ref="F27" authorId="0">
      <text>
        <r>
          <rPr>
            <b/>
            <sz val="8"/>
            <color indexed="81"/>
            <rFont val="Segoe UI"/>
            <family val="2"/>
          </rPr>
          <t>Mercedes:</t>
        </r>
        <r>
          <rPr>
            <sz val="8"/>
            <color indexed="81"/>
            <rFont val="Segoe UI"/>
            <family val="2"/>
          </rPr>
          <t xml:space="preserve">
sin las novas acoes el monto total do componente era US$ 2,050 millones, un 1,95% del total do programa, lo cual parecia bajo</t>
        </r>
      </text>
    </comment>
    <comment ref="E40" authorId="0">
      <text>
        <r>
          <rPr>
            <b/>
            <sz val="8"/>
            <color indexed="81"/>
            <rFont val="Segoe UI"/>
            <family val="2"/>
          </rPr>
          <t>Mercedes:</t>
        </r>
        <r>
          <rPr>
            <sz val="8"/>
            <color indexed="81"/>
            <rFont val="Segoe UI"/>
            <family val="2"/>
          </rPr>
          <t xml:space="preserve">
Suficiente?? Sin imprevistos, el costo total do componente es US$1,26 millones, es decir el 1,3% de todo el programa lo cual no parece suficiente</t>
        </r>
      </text>
    </comment>
    <comment ref="E41" authorId="0">
      <text>
        <r>
          <rPr>
            <b/>
            <sz val="8"/>
            <color indexed="81"/>
            <rFont val="Segoe UI"/>
            <family val="2"/>
          </rPr>
          <t>Mercedes:</t>
        </r>
        <r>
          <rPr>
            <sz val="8"/>
            <color indexed="81"/>
            <rFont val="Segoe UI"/>
            <family val="2"/>
          </rPr>
          <t xml:space="preserve">
Suficiente??</t>
        </r>
      </text>
    </comment>
    <comment ref="E42" authorId="0">
      <text>
        <r>
          <rPr>
            <b/>
            <sz val="8"/>
            <color indexed="81"/>
            <rFont val="Segoe UI"/>
            <family val="2"/>
          </rPr>
          <t>Mercedes:</t>
        </r>
        <r>
          <rPr>
            <sz val="8"/>
            <color indexed="81"/>
            <rFont val="Segoe UI"/>
            <family val="2"/>
          </rPr>
          <t xml:space="preserve">
Suficiente??</t>
        </r>
      </text>
    </comment>
    <comment ref="D43" authorId="0">
      <text>
        <r>
          <rPr>
            <b/>
            <sz val="8"/>
            <color indexed="81"/>
            <rFont val="Segoe UI"/>
            <family val="2"/>
          </rPr>
          <t>Mercedes:</t>
        </r>
        <r>
          <rPr>
            <sz val="8"/>
            <color indexed="81"/>
            <rFont val="Segoe UI"/>
            <family val="2"/>
          </rPr>
          <t xml:space="preserve">
Se propone como reconocimento de gasto retroativo? Se debe mover a Administracao do Programa porque es uma exigencia de aprobacao do emprestimo, mais no es un costo directo de inversao do programa. </t>
        </r>
      </text>
    </comment>
    <comment ref="E46" authorId="0">
      <text>
        <r>
          <rPr>
            <b/>
            <sz val="8"/>
            <color indexed="81"/>
            <rFont val="Segoe UI"/>
            <family val="2"/>
          </rPr>
          <t>Mercedes:</t>
        </r>
        <r>
          <rPr>
            <sz val="8"/>
            <color indexed="81"/>
            <rFont val="Segoe UI"/>
            <family val="2"/>
          </rPr>
          <t xml:space="preserve">
incluidas en la AAE. Por qué se eliminaron?</t>
        </r>
      </text>
    </comment>
    <comment ref="D47" authorId="0">
      <text>
        <r>
          <rPr>
            <b/>
            <sz val="8"/>
            <color indexed="81"/>
            <rFont val="Segoe UI"/>
            <family val="2"/>
          </rPr>
          <t>Mercedes:</t>
        </r>
        <r>
          <rPr>
            <sz val="8"/>
            <color indexed="81"/>
            <rFont val="Segoe UI"/>
            <family val="2"/>
          </rPr>
          <t xml:space="preserve">
incluidas en la AAE. Por qué se eliminaron?</t>
        </r>
      </text>
    </comment>
    <comment ref="E48" authorId="0">
      <text>
        <r>
          <rPr>
            <b/>
            <sz val="8"/>
            <color indexed="81"/>
            <rFont val="Segoe UI"/>
            <family val="2"/>
          </rPr>
          <t>Mercedes:</t>
        </r>
        <r>
          <rPr>
            <sz val="8"/>
            <color indexed="81"/>
            <rFont val="Segoe UI"/>
            <family val="2"/>
          </rPr>
          <t xml:space="preserve">
Es uma acao muy importante para o programa mais fue retirada??</t>
        </r>
      </text>
    </comment>
    <comment ref="C51" authorId="0">
      <text>
        <r>
          <rPr>
            <b/>
            <sz val="8"/>
            <color indexed="81"/>
            <rFont val="Segoe UI"/>
            <family val="2"/>
          </rPr>
          <t>Mercedes:</t>
        </r>
        <r>
          <rPr>
            <sz val="8"/>
            <color indexed="81"/>
            <rFont val="Segoe UI"/>
            <family val="2"/>
          </rPr>
          <t xml:space="preserve">
(1) Quién se hace cargo de los costes de funcionamento da UCP? (2) Quizá podríamos añadir/sumar os costes de capacitacao para o fortalecimento institucional da UCP dentro del fortalecimiento insitucional del componente 3 puesto que la UCP es parte de la SECULT?</t>
        </r>
      </text>
    </comment>
    <comment ref="E55" authorId="0">
      <text>
        <r>
          <rPr>
            <b/>
            <sz val="8"/>
            <color indexed="81"/>
            <rFont val="Segoe UI"/>
            <family val="2"/>
          </rPr>
          <t>Mercedes:</t>
        </r>
        <r>
          <rPr>
            <sz val="8"/>
            <color indexed="81"/>
            <rFont val="Segoe UI"/>
            <family val="2"/>
          </rPr>
          <t xml:space="preserve">
Suficiente?</t>
        </r>
      </text>
    </comment>
  </commentList>
</comments>
</file>

<file path=xl/sharedStrings.xml><?xml version="1.0" encoding="utf-8"?>
<sst xmlns="http://schemas.openxmlformats.org/spreadsheetml/2006/main" count="1052" uniqueCount="269">
  <si>
    <t>Componente 4. Manejo de residuos</t>
  </si>
  <si>
    <t>UCP</t>
  </si>
  <si>
    <t>AAE</t>
  </si>
  <si>
    <t>Componente 5. Gestión ambiental</t>
  </si>
  <si>
    <t>implementación de plan de marketing</t>
  </si>
  <si>
    <t>capacitación de agentes comercializadores en mercados emisores</t>
  </si>
  <si>
    <t>Componente 2. Comercialización turística</t>
  </si>
  <si>
    <t>campañas de educación ambiental en residuos</t>
  </si>
  <si>
    <t>instalación de contenedores subterráneos para residuos</t>
  </si>
  <si>
    <t>Componente 3. Fortalecimiento institucional</t>
  </si>
  <si>
    <t>Observatorio de Turismo</t>
  </si>
  <si>
    <t>apoyo a cooperativas de recolectores de materiales recicables</t>
  </si>
  <si>
    <t>diagnóstico y plan de fortalecimiento institucional</t>
  </si>
  <si>
    <t>elaboración de plan de desarrollo turístico de ilha de Maré</t>
  </si>
  <si>
    <t>recualificación de centros de atención al turista</t>
  </si>
  <si>
    <t>Componente 1. Producto turístico competitivo y socialmente inclusivo</t>
  </si>
  <si>
    <t>Administración del Programa</t>
  </si>
  <si>
    <t>sistema de gestión del programa</t>
  </si>
  <si>
    <t>apoyo al gerenciamiento del programa</t>
  </si>
  <si>
    <t>supervisión de obras</t>
  </si>
  <si>
    <t>evaluación del programa</t>
  </si>
  <si>
    <t>auditoria externa</t>
  </si>
  <si>
    <t>repoblación de vegetación nativa en áreas turísticas y protegidas</t>
  </si>
  <si>
    <t>certificación ambiental de playas</t>
  </si>
  <si>
    <t>restauración y museo en fuerte Santa María</t>
  </si>
  <si>
    <t>restauración y museo en fuerte San Diego</t>
  </si>
  <si>
    <t>sistema de gestión de calidad y comercialización para red de museos y espacios culturales</t>
  </si>
  <si>
    <t>mejoras urbanas Av. Sete de Setembro</t>
  </si>
  <si>
    <t>mejoras urbanas Rio Vermelho</t>
  </si>
  <si>
    <t>recualificación Mercado do Peixe</t>
  </si>
  <si>
    <t>recualificación de la orla Stella Maris, Flamengo e Ipitanga</t>
  </si>
  <si>
    <t>recualificación de la orla Itapua</t>
  </si>
  <si>
    <t>ampliación de cámaras de monitoreamiento y vigilancia</t>
  </si>
  <si>
    <t>señalización turística</t>
  </si>
  <si>
    <t>sistema de información y orientación al turista</t>
  </si>
  <si>
    <t>implementación del plan de fortalecimiento institucional:</t>
  </si>
  <si>
    <t>b) SEMUR</t>
  </si>
  <si>
    <t>catastro y organización del comercio ambulante en las áreas turísticas</t>
  </si>
  <si>
    <t>AFRO</t>
  </si>
  <si>
    <t>Matriz do Investimentos Original (MIO)</t>
  </si>
  <si>
    <t>MIO</t>
  </si>
  <si>
    <t>incentivar la adopcion de sello étnico-racial de SEMUR en el sector turismo?</t>
  </si>
  <si>
    <t>fortalecer acciones de prevención a la explotación sexual en el sector turismo?</t>
  </si>
  <si>
    <t>capacitación y divulgación y adpatación de acciones de SEMPS para amparo social de personas de rua?</t>
  </si>
  <si>
    <t>Creación e plano de manejo de Parque Marino da Barra, ¿?</t>
  </si>
  <si>
    <t>Plan de gerenciamento costero de Salvador ¿?</t>
  </si>
  <si>
    <t>estudio de identificación de oportunidades para nuevos productos y servicios turísticos por afrodescendientes, y de barreras que enfrentan para acceder al mercado, y respectivo plan de acción. Implementación de principales recomendaciones del plan de acción.</t>
  </si>
  <si>
    <t>apoyo al emprededurismo y sustentabilidad de servicios informales vinculados a turismo</t>
  </si>
  <si>
    <t>software para mapear la actividad y riesgos delictivos en areas turisticas</t>
  </si>
  <si>
    <t>elaboración de Plan de marketing (también recomendado con especial atención a productos y servicios de afrodescendientes por estudio de inclusión social)</t>
  </si>
  <si>
    <t>soporte a COMTUR y apoyo a la inclusión de participación afrodescendiente para la planificación y toma de decisiones en el sector turismo</t>
  </si>
  <si>
    <t>Museo da Música y Casa da Historia de Salvador en base a archivo publico, en Casa dos Azulejos y predios conexos ¿? Missao al respecto próxima semana</t>
  </si>
  <si>
    <t>capacitación y certificación de servicios formales vinculados a turismo (incluyendo combate al racismo en la capacitación de sector privado según recomendación da AAE) (también recomendado en estudio de inclusión de afrodescendientes)</t>
  </si>
  <si>
    <t>estudio de tráfico y movilidad urbana sostenible en las áreas/orlas recualificadas?</t>
  </si>
  <si>
    <t>capacitación a personal de seguridad/policia para evitar racismo y discriminación contra mujeres (también recomendado en AAE pero sin orcamento específico)</t>
  </si>
  <si>
    <t>committes consultivos y de coordinación para seguridad en barrios ¿?</t>
  </si>
  <si>
    <t>fomento de procesos de adquisiciones del PRODETUR con discriminación positiva a afrodescendientes y mujeres</t>
  </si>
  <si>
    <t>fortalecer conselhos participativos y deliberativos con población afrodescendiente? Una opción es combinar con la siguiente acción da linea 42</t>
  </si>
  <si>
    <t>sin orcamento</t>
  </si>
  <si>
    <t>capacitación técnica y elaboración de normas y procedimientos de licenciamiento y fiscalización ambiental en SUCOM</t>
  </si>
  <si>
    <t>desarrollo de sistema de gestión de arborización y repoblación de vegetación nativa de SECIS</t>
  </si>
  <si>
    <t>apoyo a afrodescendientes para el desarrollo de productos turísticos en Curuzú ¿otra opción es combinar y consolidar con línea 24 -25?</t>
  </si>
  <si>
    <t>apoyo a afrodescendientes para el desarrollo de servicios vinculados a turismo en Itapua ¿otra opción es combinar y consolidar con línea 24-25?</t>
  </si>
  <si>
    <t xml:space="preserve">Não recomendamos juntar os projetos, considerando que são projetos arquitetonicos, museologicos e obras totalmente diferentes. Além de gestões independentes e o Arquivo estar relacionado a Lei Municipal. </t>
  </si>
  <si>
    <t>Feito pelo MP e Mtur (n é da compentencia consitucional do Municipio lidar com questões desta natureza)</t>
  </si>
  <si>
    <t>AÇÃO A SER CONDUZIDA POR EQUIPE DE TANIA FISHER</t>
  </si>
  <si>
    <t>INSERIR NO QUALISSA</t>
  </si>
  <si>
    <t>JÁ EH FEITO PELA SEMOP/JA ESTA CONTEMPLADA NO OBSERVATORIO DE MANEIRA SISTEMICA</t>
  </si>
  <si>
    <t>já incluimos estes valores no projeto dos Containers</t>
  </si>
  <si>
    <t>Já esta na ficha 5.3</t>
  </si>
  <si>
    <t>já esta na ficha 5.4</t>
  </si>
  <si>
    <t>já esta na ficha 5.3</t>
  </si>
  <si>
    <t>1.1 e 1.2</t>
  </si>
  <si>
    <t>1.3</t>
  </si>
  <si>
    <t>1.4</t>
  </si>
  <si>
    <t>1.5</t>
  </si>
  <si>
    <t>1.6</t>
  </si>
  <si>
    <t>1.8</t>
  </si>
  <si>
    <t>1.10</t>
  </si>
  <si>
    <t>1.11</t>
  </si>
  <si>
    <t>1.12</t>
  </si>
  <si>
    <t>1.14</t>
  </si>
  <si>
    <t>1.15</t>
  </si>
  <si>
    <t>1.16</t>
  </si>
  <si>
    <t>1.7;1.9 e 1.13</t>
  </si>
  <si>
    <t>ITEM NA MIO</t>
  </si>
  <si>
    <t>1.17</t>
  </si>
  <si>
    <t>2.1</t>
  </si>
  <si>
    <t>2.2</t>
  </si>
  <si>
    <t>3.3</t>
  </si>
  <si>
    <t>3.1</t>
  </si>
  <si>
    <t>3.2</t>
  </si>
  <si>
    <t>5.1</t>
  </si>
  <si>
    <t>Todas as indicações já estão contempladas no 1.7, 1.9 e 1.13, revisar este valor)</t>
  </si>
  <si>
    <t>IDEM</t>
  </si>
  <si>
    <t xml:space="preserve">Isto será contemplado no 3.1 e 3.2 </t>
  </si>
  <si>
    <t>3.4</t>
  </si>
  <si>
    <t>3.5</t>
  </si>
  <si>
    <t>PMS</t>
  </si>
  <si>
    <t>BID</t>
  </si>
  <si>
    <t>TOTAL</t>
  </si>
  <si>
    <t>Verificar valor  e ficha (aumentar para os 5 anos)</t>
  </si>
  <si>
    <t>4.1</t>
  </si>
  <si>
    <t>5.2</t>
  </si>
  <si>
    <t>5.3</t>
  </si>
  <si>
    <t>Não entendemos isto como uma ação isolada ( esta ação esta contemplado na ficha 3.1 - valor alto)</t>
  </si>
  <si>
    <t>Fortalecimento Institucional</t>
  </si>
  <si>
    <t>5.4</t>
  </si>
  <si>
    <t>a) de SECULT,SALTUR, FGM</t>
  </si>
  <si>
    <t>1.2</t>
  </si>
  <si>
    <t>Aumentar o valor e incluir isto no mesmo projeto</t>
  </si>
  <si>
    <t>Já esta na ficha 5.2</t>
  </si>
  <si>
    <t>ITEM MIN</t>
  </si>
  <si>
    <t>1.1</t>
  </si>
  <si>
    <t>1.9</t>
  </si>
  <si>
    <t>1.13</t>
  </si>
  <si>
    <t>ORIGEM DA AÇÃO</t>
  </si>
  <si>
    <t xml:space="preserve">Componente/Descrição da Ação </t>
  </si>
  <si>
    <t>1.7</t>
  </si>
  <si>
    <t>Apoio e fomento ao empreendedorismo e sustentabilidade dos serviços informais vinculados ao turismo nas áreas de intervenção do PROGRAMA:</t>
  </si>
  <si>
    <t>Museu Forte Santa Maria/Pierre Verger: requalificao do forte, interpretação do conteúdo museologico, desenvolvimento do seu plano de gestao.</t>
  </si>
  <si>
    <t>Museu do Forte São Diogo/Carybé: requalificação do forte, interpretação museológico/conteúdo, e desenvolvimento do seu plano de gestão.</t>
  </si>
  <si>
    <t xml:space="preserve">Desenvolvimento e implantação do sistema comum de qualidade, gestão da qualidade e comercialização para a rede de museus e espaços culturais da Prefeitura de Salvador </t>
  </si>
  <si>
    <t>Melhorias urbanas Centro Antigo - Av. Sete de Setembro: requalificação da Avenida Sete de Setembro, permitindo um melhor uso pedestre e uma revitalização da área</t>
  </si>
  <si>
    <t>Urbanização do Rio Vermelho –  praças publicas/zonas de comforto, ciclovias, melhorias no fluxo dos veículos, melhorias de acesso público às praias da área</t>
  </si>
  <si>
    <t xml:space="preserve">Requalificação do Mercado de Peixe/Rio Vermelho. </t>
  </si>
  <si>
    <t>Urbanização Orla Itapuã</t>
  </si>
  <si>
    <t>Requalificação da orla no trecho Stella Maris / Flamengo / Ipitanga: decks / zonas de comforto, ciclovias, trilhas, melhorias no fluxo de carros, estacionamento, melhorias de acesso público às praias da área, instalações de pontos salva-vidas, quiosques, áreas de esporte e lazer,pontos de atendimento ao visita</t>
  </si>
  <si>
    <t xml:space="preserve">Sinalização turística e ações relacionadas que facilitem a visita turística </t>
  </si>
  <si>
    <t xml:space="preserve">Implantação de sistema de informação e orientação ao turista. </t>
  </si>
  <si>
    <t>b) Diagnosticar e viabilizar produtos para fomentar o Turismo Criativo de natureza afro cultural local, através dos Postos de Informação, site de turismo oficial da cidade e na rede relacionada as ACT´s</t>
  </si>
  <si>
    <t>c) Apoio  para desenvolver o Corredor Cultural  do Curuzú como novo produto turístico ( Tendência mundial de viver experiências locais que possibilitem o intercambio cultural entre turistas e nativos de forma memorável e publicitável)</t>
  </si>
  <si>
    <t>d) Propor novos produtos que ofertem experiências, serviços ou produtos relacionados a história escravagista de Salvador, demonstrando seus impactos na cidade e sua população ( e.i. museus ao vivo, teatro de rua, guias customizados)</t>
  </si>
  <si>
    <t>a) Ações para melhorar a segurança turística -  Videomonitoramento (câmeras e sistema de monitoramento)</t>
  </si>
  <si>
    <t>b) capacitación a personal de seguridad/policia para evitar racismo y discriminación contra mujeres (también recomendado en AAE pero sin orcamento específico)</t>
  </si>
  <si>
    <t>c) software para mapear la actividad y riesgos delictivos en areas turisticas</t>
  </si>
  <si>
    <t>d) committes consultivos y de coordinación para seguridad en barrios ¿?</t>
  </si>
  <si>
    <t>b) fomento de procesos de adquisiciones del PRODETUR con discriminación positiva a afrodescendientes y mujeres</t>
  </si>
  <si>
    <t>a) apoyo a afrodescendientes para el desarrollo de servicios vinculados a turismo en Itapua, projeto piloto</t>
  </si>
  <si>
    <t>QUALISSA: Capacitação, requalificação de mão de obra e certificação de serviços turísticos do mercado formal.</t>
  </si>
  <si>
    <t>b) incentivar la adopcion de sello étnico-racial de SEMUR en el sector turismo?</t>
  </si>
  <si>
    <t>Capacitação dos agentes do turismo nos principais mercados emissores para a venda do produto Salvador</t>
  </si>
  <si>
    <t>a) Implementación de plan de marketing (también recomendado con especial atención a productos y servicios de afrodescendientes por estudio de inclusión social)</t>
  </si>
  <si>
    <t>Promoção Salvador com foco em turismo cultural e de sol e praia – elaboração da estratégia de marketing</t>
  </si>
  <si>
    <t>Diagnóstico e plano de necessidades de fortalecimento institucional do município – enfoque: planejamento e gestão turística</t>
  </si>
  <si>
    <t>c) capacitación y divulgación y adpatación de acciones de SEMPS para amparo social de personas de rua?</t>
  </si>
  <si>
    <t>b) SEMUR:fortalecer conselhos participativos y deliberativos con población afrodescendiente</t>
  </si>
  <si>
    <t>Fortalecimento institucional conforme plano de necessidades – inclusive capacitação de gestores e tecnicos e aquisição de equipamentos e material</t>
  </si>
  <si>
    <t>Fortalecimento da estrutura de pesquisa e monitoramento - Observatório do Turismo</t>
  </si>
  <si>
    <t>Elaborar um plano desenvolvimento turístico sustentável para destinos emergentes: Ilha de Maré.</t>
  </si>
  <si>
    <t>Reestruturação dos Postos de Informação do Elevador Lacerda, Mercado Modelo para transforma-los em CAT´s</t>
  </si>
  <si>
    <t>b)Campañas de educación ambiental en residuo</t>
  </si>
  <si>
    <t>c)Apoyo a cooperativas de recolectores de materiales recicables</t>
  </si>
  <si>
    <t xml:space="preserve">Revitalização ambiental e turística de áreas protegidas e/ou áreas de especial valor/interesse natural nas 3 áreas turísticas, através do replantio da vegetação nativa. </t>
  </si>
  <si>
    <t>a) desarrollo de sistema de gestión de arborización y repoblación de vegetación nativa de SECIS</t>
  </si>
  <si>
    <t xml:space="preserve">Ações para gestão ambiental costeira nas 3 áreas turística: Plan de gerenciamento costero de Salvador </t>
  </si>
  <si>
    <t xml:space="preserve">a) Apoio para a certificação de praias (p. ex. Certificação Bandeira Azul da praia de Flamengo) </t>
  </si>
  <si>
    <t>b) Creación e plano de manejo de Parque Marino da Barra,</t>
  </si>
  <si>
    <t>Elaboração de normas e procedimentos para licenciamento e fiscalização ambiental do Município de Salvador</t>
  </si>
  <si>
    <t>5.5</t>
  </si>
  <si>
    <t>Elaboração de plano de mudanças climáticas do Município de Salvador</t>
  </si>
  <si>
    <t>a) Combate al racismo en la capacitación de sector privado según recomendación da AAE) (también recomendado en estudio de inclusión de afrodescendientes)</t>
  </si>
  <si>
    <t>a)instalación de contenedores subterráneos para residuos</t>
  </si>
  <si>
    <t>3.6</t>
  </si>
  <si>
    <t>Administração do Programa</t>
  </si>
  <si>
    <t>Componente 5. Gestão Ambiental</t>
  </si>
  <si>
    <t>Componente 4. Manejo de Resíduos</t>
  </si>
  <si>
    <t>Componente 1. Produto Turistico: competitivo e socialmente inclusivo</t>
  </si>
  <si>
    <t>Componente 2. Comercialização turística</t>
  </si>
  <si>
    <t>a) catastro y organización del comercio ambulante en las áreas turísticas (SEMOP)/relatório da diversidade  etnico racial (SEMUR) afro-brasileiros</t>
  </si>
  <si>
    <t>Atualizado BID/PMS, 05/09/2015</t>
  </si>
  <si>
    <t>BORRADOR PMS Matriz do Investimentos NOVA (MIN)</t>
  </si>
  <si>
    <t>Criação do Museu da Música e desenvolvimento do seu plano de gestão, em predio reformado da Casa de Azulejos e outros;</t>
  </si>
  <si>
    <t>Criação do Museu Casa da Historia de Salvador :restauração do patrimonio histórico, e desenvolvimento do seu plano de gestão, interpretação museuografica/conteúdo para acesso público ao Arquivo Histórico Municipal ;</t>
  </si>
  <si>
    <t>Ações para melhorar a segurança turística:</t>
  </si>
  <si>
    <t>d) soporte a COMTUR y apoyo a la inclusión de participación afrodescendiente para la planificación y toma de decisiones en el sector turismo</t>
  </si>
  <si>
    <t>MANEJO DE RESIDUOS: Ação para melhorar a limpeza e gestão de residuos nas 3 áreas de intervenção:</t>
  </si>
  <si>
    <t>Elaboração da AAE</t>
  </si>
  <si>
    <t xml:space="preserve">TURISMO ÉTNICO-AFRO-BRASILEIRO: produtos e experiências </t>
  </si>
  <si>
    <t xml:space="preserve">a) Contratar consultoria para identificar oportunidades para desenvolver o produto TURISMO ÉTNICO AFRO-BRASILEIRO : identificar a oferta de eventos relacionados especificamente a cultura afro-brasileira que sejam potenciais oportunidades de incremento de receita para os afro-descendentes e de interesse para turistas nacionais e internacionais. </t>
  </si>
  <si>
    <t>Câmbio</t>
  </si>
  <si>
    <t>Nota:</t>
  </si>
  <si>
    <t xml:space="preserve"> EMPRESTIMO - US$ 52.512.341,00</t>
  </si>
  <si>
    <t>PMS (USd)</t>
  </si>
  <si>
    <t>BID (Usd)</t>
  </si>
  <si>
    <t>TOTAL (Usd)</t>
  </si>
  <si>
    <t>TOTAL (R$)</t>
  </si>
  <si>
    <t>Museu Forte Santa Maria/Pierre Verger: requalificao do forte, interpretação do conteúdo museologico, desenvolvimento do seu plano de gestao;</t>
  </si>
  <si>
    <t>Museu do Forte São Diogo/Carybé: requalificação do forte, interpretação museológico/conteúdo, e desenvolvimento do seu plano de gestão;</t>
  </si>
  <si>
    <t>Desenvolvimento e implantação do sistema comum de qualidade, gestão da qualidade e comercialização para a rede de museus e espaços culturais da Prefeitura de Salvador;</t>
  </si>
  <si>
    <t>Requalificação do Mercado de Peixe/Rio Vermelho;</t>
  </si>
  <si>
    <t>Requalificação da orla no trecho Stella Maris / Flamengo / Ipitanga</t>
  </si>
  <si>
    <t>Melhorias urbanas Centro Antigo - Av. Sete de Setembro</t>
  </si>
  <si>
    <t xml:space="preserve">Urbanização do Rio Vermelho </t>
  </si>
  <si>
    <t>Criação do Museu da Música e desenvolvimento do seu plano de gestão (Local: predio reformado da Casa de Azulejos e outros);</t>
  </si>
  <si>
    <t>Criação do Museu Casa da Historia de Salvador:restauração do patrimonio histórico, e desenvolvimento do seu plano de gestão, interpretação museuografica/conteúdo para acesso público ao Arquivo Histórico Municipal;</t>
  </si>
  <si>
    <t>Ações de melhoria da segurança turística:</t>
  </si>
  <si>
    <t>d) Criação de comitês consultivos ou grupos de governança local responsáveis pela coordenação da segurança integrada com a guarda municipal nos bairros</t>
  </si>
  <si>
    <t xml:space="preserve">c) Aquisição de software para mapear as atividades e riscos de delitos em áreas turísticas de intervenção do Programa. </t>
  </si>
  <si>
    <t>b) Capacitação dos agentes de segurança/guardas municipais com foco em qualidade da segurança turística, racismo e descriminação contra as mulheres</t>
  </si>
  <si>
    <t>a) Apoio e fomento ao empreendedorismo e sustentabilidade dos serviços informais vinculados ao turismo nas áreas de intervenção do PROGRAMA:</t>
  </si>
  <si>
    <t xml:space="preserve">a.1) Projeto Piloto: apoio a afrodescendentes para desenvolver serviços vinculados a turismo em Itapuã </t>
  </si>
  <si>
    <r>
      <t xml:space="preserve">a.2) </t>
    </r>
    <r>
      <rPr>
        <sz val="10"/>
        <color rgb="FFFF0000"/>
        <rFont val="Arial"/>
        <family val="2"/>
      </rPr>
      <t>fomento de procesos de adquisiciones del PRODETUR con discriminación positiva a afrodescendientes y mujeres</t>
    </r>
  </si>
  <si>
    <t>a) QUALISSA: Capacitação, requalificação de mão de obra e certificação de serviços turísticos do mercado formal.</t>
  </si>
  <si>
    <t>a.1) Incluir ações de combate ao racismo na capacitação do setor privado e critérios de certificação</t>
  </si>
  <si>
    <t>a.2) Incentivar a adaptação do selo étnico-racial da SEMUR no setor de turismo através da inclusão do mesmo nos critérios de certificação</t>
  </si>
  <si>
    <t>a) Implementar o plano de marketing (incluir o nincho de  produtos e serviços afro-brasileiros desenvolvidos na ação 1.13)</t>
  </si>
  <si>
    <t>a) Incluir a  SECULT e sua estrutura organizacional através da SALTUR, FGM</t>
  </si>
  <si>
    <t>b) SEMUR: fortalecer sua estrutura institucional, bem como a  dos conselhos participativos e deliberativos com a populalção afrodescendente da qual faça parte</t>
  </si>
  <si>
    <t>c) Capacitar e divulgar  as ações da SEMPS de amparo social a moradores de rua nas áreas de intervenção do Programa.</t>
  </si>
  <si>
    <t xml:space="preserve">a) Integrar de forma sistemica os cadastro do comércio de ambulantes e diversidade etnico racial, relativos ao setor de turismo, fornecidos pela SEMOP E SEMUR previsto no 3.1. </t>
  </si>
  <si>
    <t xml:space="preserve">d) Organizar o cadastro do comércio de ambulantes (SEMOP) e relatório da diversidade etníco racial  afro-brasileiro (SEMUR) nas áreas turísticas de forma a contribuir para a tomada de decisão. </t>
  </si>
  <si>
    <t>e) Apoiar de forma institucional a COMTUR na inclusão de temas afroinclusivos pertinentes ao setor de turismo</t>
  </si>
  <si>
    <t>a) Instalacão de containners subterrâneos para resíduos nas áreas de intervenção do Programa</t>
  </si>
  <si>
    <t>c) Apoiar cooperativas de catadores de materiais reciclavéis nas áreas de intervenção do Programa</t>
  </si>
  <si>
    <t>b) Realizar campanhas de educação ambiental de resíduos sólidos nas áreas de intervenção do Programa</t>
  </si>
  <si>
    <t>MANEJO DE RESIDUOS: Ação para melhorar a limpeza e gestão de residuos sólidos nas 3 áreas de intervenção:</t>
  </si>
  <si>
    <t xml:space="preserve">Ações para gestão ambiental costeira nas 3 áreas turística: Plan de gerenciamento costeiro de Salvador </t>
  </si>
  <si>
    <t xml:space="preserve">a) Apoio para a certificação de praias (p. ex. Certificação Bandeira Azul ) </t>
  </si>
  <si>
    <t>Gestão da UCP (Capacitação/viagens, etc  necessários para o fortalecimento institucional da UCP)</t>
  </si>
  <si>
    <t>Implantação ou melhoramento do sistema de gestão do Programa</t>
  </si>
  <si>
    <t xml:space="preserve">Apoio ao gerenciamento do Programa </t>
  </si>
  <si>
    <t>Supervisão das obras</t>
  </si>
  <si>
    <t>Avaliação do Programa (avaliação intermediária, final e de impacto)</t>
  </si>
  <si>
    <t>Auditoria externa</t>
  </si>
  <si>
    <t xml:space="preserve">PRODETUR SALVADOR - MATRIZ DE INVESTIMENTOS </t>
  </si>
  <si>
    <t>Sistema Interativo de Comunicação com o Turista</t>
  </si>
  <si>
    <t>Apoio e fomento ao empreendedorismo e sustentabilidade dos serviços informais vinculados ao turismo nas áreas de intervenção do Program</t>
  </si>
  <si>
    <r>
      <t xml:space="preserve">Criação do Museu Casa da Historia de Salvador: Restauração do patrimonio histórico, e desenvolvimento do seu plano de gestão, interpretação museuografica/conteúdo para acesso público ao </t>
    </r>
    <r>
      <rPr>
        <b/>
        <sz val="10"/>
        <color theme="1"/>
        <rFont val="Arial"/>
        <family val="2"/>
      </rPr>
      <t>Arquivo Publico Histórico Municipal</t>
    </r>
    <r>
      <rPr>
        <sz val="10"/>
        <color theme="1"/>
        <rFont val="Arial"/>
        <family val="2"/>
      </rPr>
      <t>;</t>
    </r>
  </si>
  <si>
    <t>Requalificação Orla Barra - Ondina</t>
  </si>
  <si>
    <r>
      <rPr>
        <b/>
        <sz val="9"/>
        <color theme="1"/>
        <rFont val="Arial"/>
        <family val="2"/>
      </rPr>
      <t>TURISMO ÉTNICO-AFRO-BRASILEIRO</t>
    </r>
    <r>
      <rPr>
        <sz val="10"/>
        <color theme="1"/>
        <rFont val="Arial"/>
        <family val="2"/>
      </rPr>
      <t xml:space="preserve">: produtos e experiências </t>
    </r>
  </si>
  <si>
    <t>Atualizado BID/PMS, 22/09/2015</t>
  </si>
  <si>
    <r>
      <t xml:space="preserve">Criação do Museu da Música e desenvolvimento do seu plano de gestão (Local: predio reformado da Casa de Azulejos e outros); </t>
    </r>
    <r>
      <rPr>
        <b/>
        <sz val="10"/>
        <color rgb="FFFF0000"/>
        <rFont val="Arial"/>
        <family val="2"/>
      </rPr>
      <t>Parcela BID Restauro.</t>
    </r>
  </si>
  <si>
    <t>% DO TOTAL</t>
  </si>
  <si>
    <t>OBSERVACIONES</t>
  </si>
  <si>
    <t>Gestão da UCP (Capacitação/viagens, etc. necessários para o fortalecimento institucional da UCP)</t>
  </si>
  <si>
    <t xml:space="preserve">Apoio para a certificação de praias (p. ex. Certificação Bandeira Azul ) </t>
  </si>
  <si>
    <t>Creación e plano de manejo de Parque Marino da Barra</t>
  </si>
  <si>
    <t>Desarrollo de sistema de gestión de arborización y repoblación de vegetación nativa de SECIS</t>
  </si>
  <si>
    <r>
      <t xml:space="preserve">Avaliação do Programa (avaliação </t>
    </r>
    <r>
      <rPr>
        <sz val="10"/>
        <color rgb="FFFF0000"/>
        <rFont val="Arial"/>
        <family val="2"/>
      </rPr>
      <t>inicial,</t>
    </r>
    <r>
      <rPr>
        <sz val="10"/>
        <color theme="1"/>
        <rFont val="Arial"/>
        <family val="2"/>
      </rPr>
      <t xml:space="preserve"> intermediária, final e de impacto)</t>
    </r>
  </si>
  <si>
    <r>
      <t xml:space="preserve">Diagnóstico e plano de necessidades de fortalecimento institucional do município – enfoque: planejamento e gestão turística </t>
    </r>
    <r>
      <rPr>
        <sz val="10"/>
        <color rgb="FFFF0000"/>
        <rFont val="Arial"/>
        <family val="2"/>
      </rPr>
      <t xml:space="preserve">(SECULT, FGM, SALTUR, SEMUR, Conselhos participativos COMTUR y CNC, SEMPS, SEMOP e FML) </t>
    </r>
  </si>
  <si>
    <r>
      <t xml:space="preserve">Fortalecimento institucional conforme plano de necessidades – inclusive capacitação de gestores e tecnicos e aquisição de equipamentos e material </t>
    </r>
    <r>
      <rPr>
        <sz val="10"/>
        <color rgb="FFFF0000"/>
        <rFont val="Arial"/>
        <family val="2"/>
      </rPr>
      <t xml:space="preserve"> (SECULT, FGM, SALTUR, SEMUR, Conselhos participativos COMTUR y CNC, SEMPS, SEMOP e FML) </t>
    </r>
  </si>
  <si>
    <t>Fortalecimiento del Comité de PPP e municipio para estructurar, analizar, negociar y supervisar PPP en proyectos turisticos</t>
  </si>
  <si>
    <t>Apoyo para incentivar la inversión privada en El Frontispicio e la Casa dos Azulejos (estudios, diseños, projectos ejecutivos, búsqueda de inversores, etc.)</t>
  </si>
  <si>
    <r>
      <t xml:space="preserve">MANEJO DE RESIDUOS: Ação para melhorar a limpeza e gestão de residuos sólidos nas 3 áreas de intervenção: </t>
    </r>
    <r>
      <rPr>
        <sz val="10"/>
        <color rgb="FFFF0000"/>
        <rFont val="Arial"/>
        <family val="2"/>
      </rPr>
      <t>(contenedors subterraneos, campaña de educacao sobre residuos, y apoyo a cooperativas de catadores)</t>
    </r>
  </si>
  <si>
    <t>imprevistos do componente 1</t>
  </si>
  <si>
    <t>imprevistos do componente 2</t>
  </si>
  <si>
    <t>imprevistos do componente 5</t>
  </si>
  <si>
    <t>imprevistos do componente 4</t>
  </si>
  <si>
    <t>Imprevistos do componente 3</t>
  </si>
  <si>
    <t>Atualizado BID/PMS, 14/10/2015</t>
  </si>
  <si>
    <t>3.7</t>
  </si>
  <si>
    <t>3.8</t>
  </si>
  <si>
    <t>Gestão da UCP (Reunioes/viagens, etc. necessários para encontros UCP/BID)</t>
  </si>
  <si>
    <t>Fortalecimento do Comité de PPP e municipio para estruturar, analisar, negociar e supervisar PPP em projetos turísticos</t>
  </si>
  <si>
    <t>Imprevistos do componente 1</t>
  </si>
  <si>
    <t>Apoio para incentivar os investimentos privados no Frontispicio e na Casa dos Azulejos (estudos, disenhos, projetos executivos, captação de investidores, etc.)</t>
  </si>
  <si>
    <t xml:space="preserve">Diagnóstico e plano de necessidades de fortalecimento institucional do município – enfoque: planejamento e gestão turística (SECULT, FGM, SALTUR, SEMUR, Conselhos participativos,  SEMPS, SEMOP e FMLF) </t>
  </si>
  <si>
    <t xml:space="preserve">Fortalecimento institucional conforme plano de necessidades – inclusive capacitação de gestores e técnicos e aquisição de equipamentos e material  (SECULT, FGM, SALTUR, SEMUR, Conselhos participativos, SEMPS, SUCOM, SEMOP e FMLF) </t>
  </si>
  <si>
    <t>MANEJO DE RESIDUOS: Ação para melhorar a limpeza e gestão de residuos sólidos nas 3 áreas de intervenção: (containers subterraneos, campanha de educação ambiental, e apoio às cooperativas de catadores)</t>
  </si>
  <si>
    <t>Imprevistos do componente 4</t>
  </si>
  <si>
    <t>Avaliação do Programa (avaliação inicial, intermediária, final e de impacto)</t>
  </si>
  <si>
    <t>Atualizado BID/PMS, 22/10/2015. às 17:07h</t>
  </si>
  <si>
    <t xml:space="preserve"> implementacao del sistema de indicadores e monitoreo social e ambiental do turismo em Salvador definidos por la AAE para la operacao</t>
  </si>
  <si>
    <t>Componente 4. Gestao Ambiental</t>
  </si>
  <si>
    <t>4.A. Gestao de Residuos Solidos</t>
  </si>
  <si>
    <t>4. B. Gestão Costera</t>
  </si>
  <si>
    <t>Promoção Salvador com foco em turismo cultural e de sol e praia – elaboração da estratégia de marketing e implementacao da acoes prioritarias</t>
  </si>
  <si>
    <t xml:space="preserve">Ações para gestão ambiental costeira nas áreas de intervençao do programa: elaboracao e apoio a la implementacao do Plano de gerenciamento costeiro de Salvador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</si>
</sst>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_-* #,##0.00_-;\-* #,##0.00_-;_-* &quot;-&quot;??_-;_-@_-"/>
  </numFmts>
  <fonts count="4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2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24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 Narrow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611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0" borderId="0" xfId="0" applyFill="1"/>
    <xf numFmtId="0" fontId="0" fillId="3" borderId="0" xfId="0" applyFill="1"/>
    <xf numFmtId="3" fontId="0" fillId="0" borderId="0" xfId="0" applyNumberFormat="1" applyFill="1"/>
    <xf numFmtId="3" fontId="0" fillId="2" borderId="0" xfId="0" applyNumberForma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3" fontId="0" fillId="3" borderId="0" xfId="0" applyNumberFormat="1" applyFill="1"/>
    <xf numFmtId="0" fontId="0" fillId="3" borderId="0" xfId="0" applyFill="1" applyAlignment="1">
      <alignment wrapText="1"/>
    </xf>
    <xf numFmtId="3" fontId="0" fillId="0" borderId="0" xfId="0" applyNumberFormat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0" xfId="0" applyAlignment="1">
      <alignment vertical="justify"/>
    </xf>
    <xf numFmtId="3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0" borderId="0" xfId="0" applyFill="1" applyAlignment="1">
      <alignment vertical="center"/>
    </xf>
    <xf numFmtId="3" fontId="1" fillId="2" borderId="0" xfId="0" applyNumberFormat="1" applyFont="1" applyFill="1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3" fontId="0" fillId="2" borderId="2" xfId="0" applyNumberFormat="1" applyFill="1" applyBorder="1"/>
    <xf numFmtId="0" fontId="0" fillId="3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3" fontId="0" fillId="2" borderId="5" xfId="0" applyNumberFormat="1" applyFill="1" applyBorder="1"/>
    <xf numFmtId="0" fontId="0" fillId="3" borderId="5" xfId="0" applyFill="1" applyBorder="1"/>
    <xf numFmtId="0" fontId="0" fillId="0" borderId="0" xfId="0" applyFill="1" applyAlignment="1">
      <alignment vertical="justify"/>
    </xf>
    <xf numFmtId="0" fontId="2" fillId="2" borderId="0" xfId="0" applyFont="1" applyFill="1"/>
    <xf numFmtId="0" fontId="2" fillId="0" borderId="0" xfId="0" applyFont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7" xfId="0" applyBorder="1" applyAlignment="1"/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center"/>
    </xf>
    <xf numFmtId="0" fontId="0" fillId="5" borderId="0" xfId="0" applyFill="1"/>
    <xf numFmtId="164" fontId="0" fillId="0" borderId="0" xfId="1" applyFont="1"/>
    <xf numFmtId="3" fontId="0" fillId="5" borderId="0" xfId="0" applyNumberFormat="1" applyFill="1"/>
    <xf numFmtId="0" fontId="0" fillId="5" borderId="0" xfId="0" applyFill="1" applyAlignment="1">
      <alignment wrapText="1"/>
    </xf>
    <xf numFmtId="3" fontId="0" fillId="5" borderId="0" xfId="0" applyNumberFormat="1" applyFill="1" applyAlignment="1">
      <alignment vertical="center"/>
    </xf>
    <xf numFmtId="3" fontId="0" fillId="5" borderId="0" xfId="0" applyNumberFormat="1" applyFill="1" applyAlignment="1"/>
    <xf numFmtId="0" fontId="1" fillId="5" borderId="0" xfId="0" applyFont="1" applyFill="1" applyAlignment="1">
      <alignment wrapText="1"/>
    </xf>
    <xf numFmtId="0" fontId="7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 applyBorder="1" applyAlignment="1">
      <alignment vertical="justify"/>
    </xf>
    <xf numFmtId="0" fontId="1" fillId="3" borderId="7" xfId="0" applyFont="1" applyFill="1" applyBorder="1" applyAlignment="1">
      <alignment horizontal="left" vertical="center"/>
    </xf>
    <xf numFmtId="0" fontId="0" fillId="4" borderId="7" xfId="0" applyFill="1" applyBorder="1"/>
    <xf numFmtId="0" fontId="0" fillId="5" borderId="0" xfId="0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/>
    <xf numFmtId="0" fontId="0" fillId="5" borderId="0" xfId="0" applyFill="1" applyBorder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2" borderId="15" xfId="0" applyFill="1" applyBorder="1"/>
    <xf numFmtId="0" fontId="0" fillId="5" borderId="15" xfId="0" applyFill="1" applyBorder="1"/>
    <xf numFmtId="0" fontId="5" fillId="2" borderId="15" xfId="0" applyFont="1" applyFill="1" applyBorder="1" applyAlignment="1">
      <alignment vertical="justify"/>
    </xf>
    <xf numFmtId="0" fontId="4" fillId="0" borderId="15" xfId="0" applyFont="1" applyBorder="1" applyAlignment="1">
      <alignment vertical="justify"/>
    </xf>
    <xf numFmtId="0" fontId="4" fillId="0" borderId="16" xfId="0" applyFont="1" applyBorder="1" applyAlignment="1">
      <alignment vertical="justify"/>
    </xf>
    <xf numFmtId="3" fontId="0" fillId="0" borderId="15" xfId="0" applyNumberFormat="1" applyFill="1" applyBorder="1"/>
    <xf numFmtId="3" fontId="0" fillId="0" borderId="15" xfId="0" applyNumberFormat="1" applyBorder="1"/>
    <xf numFmtId="3" fontId="0" fillId="5" borderId="15" xfId="0" applyNumberFormat="1" applyFill="1" applyBorder="1"/>
    <xf numFmtId="3" fontId="0" fillId="0" borderId="16" xfId="0" applyNumberFormat="1" applyBorder="1"/>
    <xf numFmtId="0" fontId="8" fillId="0" borderId="8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8" xfId="0" applyBorder="1" applyAlignment="1">
      <alignment horizontal="left"/>
    </xf>
    <xf numFmtId="0" fontId="0" fillId="0" borderId="18" xfId="0" applyBorder="1"/>
    <xf numFmtId="3" fontId="0" fillId="0" borderId="18" xfId="0" applyNumberFormat="1" applyFill="1" applyBorder="1"/>
    <xf numFmtId="0" fontId="0" fillId="0" borderId="19" xfId="0" applyBorder="1" applyAlignment="1">
      <alignment horizontal="left"/>
    </xf>
    <xf numFmtId="0" fontId="0" fillId="0" borderId="19" xfId="0" applyBorder="1"/>
    <xf numFmtId="3" fontId="0" fillId="0" borderId="19" xfId="0" applyNumberFormat="1" applyBorder="1"/>
    <xf numFmtId="3" fontId="0" fillId="0" borderId="19" xfId="0" applyNumberFormat="1" applyFill="1" applyBorder="1"/>
    <xf numFmtId="0" fontId="0" fillId="0" borderId="17" xfId="0" applyBorder="1"/>
    <xf numFmtId="3" fontId="0" fillId="0" borderId="17" xfId="0" applyNumberFormat="1" applyBorder="1"/>
    <xf numFmtId="0" fontId="0" fillId="0" borderId="20" xfId="0" applyBorder="1" applyAlignment="1">
      <alignment vertical="center"/>
    </xf>
    <xf numFmtId="0" fontId="0" fillId="0" borderId="20" xfId="0" applyBorder="1"/>
    <xf numFmtId="3" fontId="0" fillId="0" borderId="20" xfId="0" applyNumberFormat="1" applyBorder="1"/>
    <xf numFmtId="3" fontId="0" fillId="0" borderId="20" xfId="0" applyNumberFormat="1" applyBorder="1" applyAlignment="1">
      <alignment horizontal="center" vertical="center"/>
    </xf>
    <xf numFmtId="0" fontId="0" fillId="2" borderId="16" xfId="0" applyFill="1" applyBorder="1"/>
    <xf numFmtId="0" fontId="4" fillId="2" borderId="16" xfId="0" applyFont="1" applyFill="1" applyBorder="1" applyAlignment="1">
      <alignment vertical="justify"/>
    </xf>
    <xf numFmtId="0" fontId="0" fillId="0" borderId="20" xfId="0" applyBorder="1" applyAlignment="1">
      <alignment horizontal="left" vertical="top"/>
    </xf>
    <xf numFmtId="3" fontId="0" fillId="0" borderId="20" xfId="0" applyNumberFormat="1" applyFill="1" applyBorder="1" applyAlignment="1">
      <alignment horizontal="center" vertical="center"/>
    </xf>
    <xf numFmtId="3" fontId="0" fillId="5" borderId="17" xfId="0" applyNumberFormat="1" applyFill="1" applyBorder="1"/>
    <xf numFmtId="3" fontId="0" fillId="0" borderId="17" xfId="0" applyNumberFormat="1" applyBorder="1" applyAlignment="1">
      <alignment horizontal="center" vertical="center"/>
    </xf>
    <xf numFmtId="3" fontId="0" fillId="2" borderId="16" xfId="0" applyNumberFormat="1" applyFill="1" applyBorder="1"/>
    <xf numFmtId="3" fontId="0" fillId="2" borderId="16" xfId="0" applyNumberFormat="1" applyFill="1" applyBorder="1" applyAlignment="1">
      <alignment horizontal="center" vertical="center"/>
    </xf>
    <xf numFmtId="0" fontId="0" fillId="2" borderId="17" xfId="0" applyFill="1" applyBorder="1"/>
    <xf numFmtId="3" fontId="0" fillId="2" borderId="17" xfId="0" applyNumberFormat="1" applyFill="1" applyBorder="1"/>
    <xf numFmtId="0" fontId="0" fillId="5" borderId="20" xfId="0" applyFill="1" applyBorder="1"/>
    <xf numFmtId="3" fontId="0" fillId="5" borderId="20" xfId="0" applyNumberFormat="1" applyFill="1" applyBorder="1"/>
    <xf numFmtId="0" fontId="0" fillId="2" borderId="20" xfId="0" applyFill="1" applyBorder="1"/>
    <xf numFmtId="3" fontId="0" fillId="2" borderId="20" xfId="0" applyNumberFormat="1" applyFill="1" applyBorder="1"/>
    <xf numFmtId="0" fontId="0" fillId="0" borderId="17" xfId="0" applyFill="1" applyBorder="1"/>
    <xf numFmtId="3" fontId="0" fillId="0" borderId="17" xfId="0" applyNumberFormat="1" applyFill="1" applyBorder="1"/>
    <xf numFmtId="3" fontId="0" fillId="0" borderId="17" xfId="0" applyNumberFormat="1" applyFill="1" applyBorder="1" applyAlignment="1">
      <alignment horizontal="center"/>
    </xf>
    <xf numFmtId="0" fontId="0" fillId="2" borderId="18" xfId="0" applyFill="1" applyBorder="1"/>
    <xf numFmtId="0" fontId="4" fillId="2" borderId="18" xfId="0" applyFont="1" applyFill="1" applyBorder="1" applyAlignment="1">
      <alignment vertical="justify"/>
    </xf>
    <xf numFmtId="0" fontId="15" fillId="4" borderId="17" xfId="0" applyFont="1" applyFill="1" applyBorder="1" applyAlignment="1">
      <alignment horizontal="center" vertical="center"/>
    </xf>
    <xf numFmtId="3" fontId="15" fillId="4" borderId="18" xfId="0" applyNumberFormat="1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3" fontId="17" fillId="4" borderId="14" xfId="0" applyNumberFormat="1" applyFont="1" applyFill="1" applyBorder="1"/>
    <xf numFmtId="3" fontId="17" fillId="4" borderId="14" xfId="0" applyNumberFormat="1" applyFont="1" applyFill="1" applyBorder="1" applyAlignment="1">
      <alignment horizontal="center" vertical="center"/>
    </xf>
    <xf numFmtId="0" fontId="18" fillId="6" borderId="16" xfId="0" applyFont="1" applyFill="1" applyBorder="1"/>
    <xf numFmtId="0" fontId="10" fillId="6" borderId="16" xfId="0" applyFont="1" applyFill="1" applyBorder="1"/>
    <xf numFmtId="3" fontId="10" fillId="6" borderId="16" xfId="0" applyNumberFormat="1" applyFont="1" applyFill="1" applyBorder="1"/>
    <xf numFmtId="0" fontId="18" fillId="6" borderId="16" xfId="0" applyFont="1" applyFill="1" applyBorder="1" applyAlignment="1">
      <alignment vertical="center"/>
    </xf>
    <xf numFmtId="0" fontId="0" fillId="0" borderId="13" xfId="0" applyBorder="1"/>
    <xf numFmtId="3" fontId="0" fillId="0" borderId="13" xfId="0" applyNumberFormat="1" applyBorder="1" applyAlignment="1"/>
    <xf numFmtId="3" fontId="0" fillId="0" borderId="13" xfId="0" applyNumberFormat="1" applyBorder="1"/>
    <xf numFmtId="3" fontId="0" fillId="0" borderId="13" xfId="0" applyNumberFormat="1" applyBorder="1" applyAlignment="1">
      <alignment horizontal="center"/>
    </xf>
    <xf numFmtId="0" fontId="0" fillId="4" borderId="22" xfId="0" applyFill="1" applyBorder="1"/>
    <xf numFmtId="0" fontId="0" fillId="4" borderId="23" xfId="0" applyFill="1" applyBorder="1"/>
    <xf numFmtId="0" fontId="16" fillId="4" borderId="24" xfId="0" applyFont="1" applyFill="1" applyBorder="1" applyAlignment="1">
      <alignment vertical="center"/>
    </xf>
    <xf numFmtId="3" fontId="17" fillId="4" borderId="20" xfId="0" applyNumberFormat="1" applyFont="1" applyFill="1" applyBorder="1"/>
    <xf numFmtId="3" fontId="17" fillId="4" borderId="20" xfId="0" applyNumberFormat="1" applyFont="1" applyFill="1" applyBorder="1" applyAlignment="1">
      <alignment horizontal="center"/>
    </xf>
    <xf numFmtId="0" fontId="4" fillId="0" borderId="19" xfId="0" applyFont="1" applyBorder="1" applyAlignment="1">
      <alignment vertical="justify"/>
    </xf>
    <xf numFmtId="0" fontId="4" fillId="0" borderId="19" xfId="0" applyFont="1" applyBorder="1" applyAlignment="1">
      <alignment vertical="justify" wrapText="1"/>
    </xf>
    <xf numFmtId="0" fontId="4" fillId="0" borderId="13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4" fillId="2" borderId="20" xfId="0" applyFont="1" applyFill="1" applyBorder="1" applyAlignment="1">
      <alignment vertical="justify"/>
    </xf>
    <xf numFmtId="3" fontId="10" fillId="2" borderId="18" xfId="0" applyNumberFormat="1" applyFont="1" applyFill="1" applyBorder="1"/>
    <xf numFmtId="0" fontId="9" fillId="0" borderId="0" xfId="0" applyFont="1" applyFill="1" applyBorder="1" applyAlignment="1">
      <alignment horizontal="right" vertical="justify"/>
    </xf>
    <xf numFmtId="0" fontId="0" fillId="0" borderId="0" xfId="0" applyBorder="1"/>
    <xf numFmtId="3" fontId="13" fillId="0" borderId="25" xfId="0" applyNumberFormat="1" applyFont="1" applyFill="1" applyBorder="1"/>
    <xf numFmtId="3" fontId="13" fillId="0" borderId="8" xfId="0" applyNumberFormat="1" applyFont="1" applyBorder="1"/>
    <xf numFmtId="3" fontId="13" fillId="0" borderId="10" xfId="0" applyNumberFormat="1" applyFont="1" applyBorder="1"/>
    <xf numFmtId="0" fontId="19" fillId="0" borderId="17" xfId="0" applyFont="1" applyBorder="1" applyAlignment="1">
      <alignment vertical="justify"/>
    </xf>
    <xf numFmtId="0" fontId="20" fillId="5" borderId="17" xfId="0" applyFont="1" applyFill="1" applyBorder="1" applyAlignment="1">
      <alignment vertical="justify"/>
    </xf>
    <xf numFmtId="0" fontId="4" fillId="0" borderId="15" xfId="0" applyFont="1" applyBorder="1" applyAlignment="1">
      <alignment horizontal="left" vertical="justify" indent="2"/>
    </xf>
    <xf numFmtId="0" fontId="12" fillId="6" borderId="16" xfId="0" applyFont="1" applyFill="1" applyBorder="1" applyAlignment="1">
      <alignment horizontal="left" vertical="justify" wrapText="1" indent="2"/>
    </xf>
    <xf numFmtId="0" fontId="12" fillId="2" borderId="16" xfId="0" applyFont="1" applyFill="1" applyBorder="1" applyAlignment="1">
      <alignment horizontal="left" vertical="justify" indent="2"/>
    </xf>
    <xf numFmtId="0" fontId="4" fillId="2" borderId="15" xfId="0" applyFont="1" applyFill="1" applyBorder="1" applyAlignment="1">
      <alignment horizontal="left" vertical="justify" indent="2"/>
    </xf>
    <xf numFmtId="0" fontId="12" fillId="2" borderId="15" xfId="0" applyFont="1" applyFill="1" applyBorder="1" applyAlignment="1">
      <alignment horizontal="left" vertical="justify" indent="2"/>
    </xf>
    <xf numFmtId="0" fontId="4" fillId="5" borderId="15" xfId="0" applyFont="1" applyFill="1" applyBorder="1" applyAlignment="1">
      <alignment horizontal="left" vertical="justify" indent="2"/>
    </xf>
    <xf numFmtId="0" fontId="4" fillId="2" borderId="16" xfId="0" applyFont="1" applyFill="1" applyBorder="1" applyAlignment="1">
      <alignment horizontal="left" vertical="justify" indent="2"/>
    </xf>
    <xf numFmtId="0" fontId="4" fillId="0" borderId="16" xfId="0" applyFont="1" applyBorder="1" applyAlignment="1">
      <alignment horizontal="left" vertical="justify" indent="2"/>
    </xf>
    <xf numFmtId="0" fontId="4" fillId="2" borderId="18" xfId="0" applyFont="1" applyFill="1" applyBorder="1" applyAlignment="1">
      <alignment horizontal="left" vertical="justify" indent="2"/>
    </xf>
    <xf numFmtId="0" fontId="12" fillId="6" borderId="16" xfId="0" applyFont="1" applyFill="1" applyBorder="1" applyAlignment="1">
      <alignment horizontal="left" vertical="justify" indent="3"/>
    </xf>
    <xf numFmtId="0" fontId="12" fillId="0" borderId="15" xfId="0" applyFont="1" applyBorder="1" applyAlignment="1">
      <alignment horizontal="left" vertical="justify" indent="3"/>
    </xf>
    <xf numFmtId="0" fontId="12" fillId="6" borderId="16" xfId="0" applyFont="1" applyFill="1" applyBorder="1" applyAlignment="1">
      <alignment horizontal="left" vertical="justify" wrapText="1" indent="3"/>
    </xf>
    <xf numFmtId="0" fontId="19" fillId="6" borderId="16" xfId="0" applyFont="1" applyFill="1" applyBorder="1"/>
    <xf numFmtId="0" fontId="19" fillId="0" borderId="17" xfId="0" applyFont="1" applyFill="1" applyBorder="1" applyAlignment="1">
      <alignment vertical="justify"/>
    </xf>
    <xf numFmtId="0" fontId="20" fillId="0" borderId="17" xfId="0" applyFont="1" applyFill="1" applyBorder="1" applyAlignment="1">
      <alignment vertical="justify" wrapText="1"/>
    </xf>
    <xf numFmtId="0" fontId="20" fillId="0" borderId="19" xfId="0" applyFont="1" applyBorder="1" applyAlignment="1">
      <alignment vertical="justify"/>
    </xf>
    <xf numFmtId="0" fontId="20" fillId="0" borderId="17" xfId="0" applyFont="1" applyBorder="1" applyAlignment="1">
      <alignment vertical="justify"/>
    </xf>
    <xf numFmtId="0" fontId="20" fillId="2" borderId="17" xfId="0" applyFont="1" applyFill="1" applyBorder="1" applyAlignment="1">
      <alignment vertical="justify"/>
    </xf>
    <xf numFmtId="0" fontId="20" fillId="5" borderId="20" xfId="0" applyFont="1" applyFill="1" applyBorder="1" applyAlignment="1">
      <alignment vertical="justify"/>
    </xf>
    <xf numFmtId="3" fontId="0" fillId="0" borderId="13" xfId="0" applyNumberFormat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5" fillId="4" borderId="18" xfId="0" applyFont="1" applyFill="1" applyBorder="1" applyAlignment="1">
      <alignment vertical="center"/>
    </xf>
    <xf numFmtId="0" fontId="16" fillId="4" borderId="26" xfId="0" applyFont="1" applyFill="1" applyBorder="1" applyAlignment="1">
      <alignment vertical="center"/>
    </xf>
    <xf numFmtId="0" fontId="0" fillId="0" borderId="13" xfId="0" applyBorder="1" applyAlignment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/>
    </xf>
    <xf numFmtId="0" fontId="9" fillId="0" borderId="20" xfId="0" applyFont="1" applyBorder="1" applyAlignment="1">
      <alignment wrapText="1"/>
    </xf>
    <xf numFmtId="0" fontId="4" fillId="0" borderId="20" xfId="0" applyFont="1" applyFill="1" applyBorder="1" applyAlignment="1">
      <alignment vertical="justify" wrapText="1"/>
    </xf>
    <xf numFmtId="3" fontId="0" fillId="0" borderId="20" xfId="0" applyNumberFormat="1" applyFill="1" applyBorder="1"/>
    <xf numFmtId="0" fontId="0" fillId="0" borderId="20" xfId="0" applyBorder="1" applyAlignment="1">
      <alignment wrapText="1"/>
    </xf>
    <xf numFmtId="3" fontId="10" fillId="0" borderId="20" xfId="0" applyNumberFormat="1" applyFont="1" applyBorder="1"/>
    <xf numFmtId="0" fontId="0" fillId="0" borderId="21" xfId="0" applyBorder="1" applyAlignment="1">
      <alignment horizontal="left"/>
    </xf>
    <xf numFmtId="0" fontId="0" fillId="0" borderId="21" xfId="0" applyBorder="1"/>
    <xf numFmtId="0" fontId="4" fillId="0" borderId="21" xfId="0" applyFont="1" applyBorder="1" applyAlignment="1">
      <alignment vertical="justify"/>
    </xf>
    <xf numFmtId="3" fontId="10" fillId="0" borderId="21" xfId="0" applyNumberFormat="1" applyFont="1" applyBorder="1"/>
    <xf numFmtId="3" fontId="0" fillId="0" borderId="21" xfId="0" applyNumberFormat="1" applyFill="1" applyBorder="1"/>
    <xf numFmtId="0" fontId="15" fillId="4" borderId="17" xfId="0" applyFont="1" applyFill="1" applyBorder="1" applyAlignment="1">
      <alignment horizontal="center" vertical="justify"/>
    </xf>
    <xf numFmtId="0" fontId="0" fillId="5" borderId="0" xfId="0" applyFill="1" applyAlignment="1">
      <alignment vertical="center"/>
    </xf>
    <xf numFmtId="3" fontId="0" fillId="0" borderId="29" xfId="0" applyNumberFormat="1" applyFill="1" applyBorder="1"/>
    <xf numFmtId="3" fontId="0" fillId="0" borderId="30" xfId="0" applyNumberFormat="1" applyFill="1" applyBorder="1"/>
    <xf numFmtId="3" fontId="17" fillId="4" borderId="22" xfId="0" applyNumberFormat="1" applyFont="1" applyFill="1" applyBorder="1" applyAlignment="1">
      <alignment horizontal="center"/>
    </xf>
    <xf numFmtId="3" fontId="17" fillId="4" borderId="22" xfId="0" applyNumberFormat="1" applyFont="1" applyFill="1" applyBorder="1"/>
    <xf numFmtId="3" fontId="0" fillId="0" borderId="22" xfId="0" applyNumberFormat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17" fillId="4" borderId="27" xfId="0" applyNumberFormat="1" applyFont="1" applyFill="1" applyBorder="1"/>
    <xf numFmtId="3" fontId="17" fillId="4" borderId="27" xfId="0" applyNumberFormat="1" applyFont="1" applyFill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/>
    </xf>
    <xf numFmtId="3" fontId="0" fillId="0" borderId="28" xfId="0" applyNumberFormat="1" applyBorder="1"/>
    <xf numFmtId="3" fontId="0" fillId="0" borderId="29" xfId="0" applyNumberFormat="1" applyBorder="1"/>
    <xf numFmtId="3" fontId="0" fillId="5" borderId="15" xfId="0" applyNumberFormat="1" applyFill="1" applyBorder="1" applyAlignment="1">
      <alignment wrapText="1"/>
    </xf>
    <xf numFmtId="3" fontId="17" fillId="4" borderId="15" xfId="0" applyNumberFormat="1" applyFont="1" applyFill="1" applyBorder="1" applyAlignment="1">
      <alignment horizontal="center"/>
    </xf>
    <xf numFmtId="3" fontId="0" fillId="5" borderId="15" xfId="0" applyNumberFormat="1" applyFill="1" applyBorder="1" applyAlignment="1">
      <alignment horizontal="right"/>
    </xf>
    <xf numFmtId="3" fontId="17" fillId="4" borderId="15" xfId="0" applyNumberFormat="1" applyFont="1" applyFill="1" applyBorder="1"/>
    <xf numFmtId="3" fontId="17" fillId="4" borderId="15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5" borderId="22" xfId="0" applyNumberFormat="1" applyFill="1" applyBorder="1" applyAlignment="1">
      <alignment horizontal="center" vertical="center"/>
    </xf>
    <xf numFmtId="3" fontId="0" fillId="5" borderId="15" xfId="0" applyNumberFormat="1" applyFill="1" applyBorder="1" applyAlignment="1">
      <alignment horizontal="center" vertical="center"/>
    </xf>
    <xf numFmtId="3" fontId="0" fillId="5" borderId="23" xfId="0" applyNumberFormat="1" applyFill="1" applyBorder="1"/>
    <xf numFmtId="0" fontId="4" fillId="0" borderId="19" xfId="0" applyFont="1" applyBorder="1" applyAlignment="1">
      <alignment horizontal="left" vertical="justify" indent="2"/>
    </xf>
    <xf numFmtId="0" fontId="20" fillId="5" borderId="22" xfId="0" applyFont="1" applyFill="1" applyBorder="1" applyAlignment="1">
      <alignment vertical="justify"/>
    </xf>
    <xf numFmtId="0" fontId="16" fillId="4" borderId="3" xfId="0" applyFont="1" applyFill="1" applyBorder="1" applyAlignment="1">
      <alignment vertical="center"/>
    </xf>
    <xf numFmtId="3" fontId="17" fillId="4" borderId="13" xfId="0" applyNumberFormat="1" applyFont="1" applyFill="1" applyBorder="1"/>
    <xf numFmtId="0" fontId="4" fillId="2" borderId="19" xfId="0" applyFont="1" applyFill="1" applyBorder="1" applyAlignment="1">
      <alignment horizontal="left" vertical="justify" indent="2"/>
    </xf>
    <xf numFmtId="0" fontId="12" fillId="6" borderId="21" xfId="0" applyFont="1" applyFill="1" applyBorder="1" applyAlignment="1">
      <alignment horizontal="left" vertical="justify" indent="3"/>
    </xf>
    <xf numFmtId="3" fontId="0" fillId="5" borderId="18" xfId="0" applyNumberFormat="1" applyFill="1" applyBorder="1" applyAlignment="1">
      <alignment wrapText="1"/>
    </xf>
    <xf numFmtId="0" fontId="19" fillId="6" borderId="22" xfId="0" applyFont="1" applyFill="1" applyBorder="1"/>
    <xf numFmtId="3" fontId="10" fillId="6" borderId="23" xfId="0" applyNumberFormat="1" applyFont="1" applyFill="1" applyBorder="1" applyAlignment="1">
      <alignment vertical="center"/>
    </xf>
    <xf numFmtId="3" fontId="19" fillId="6" borderId="23" xfId="0" applyNumberFormat="1" applyFont="1" applyFill="1" applyBorder="1" applyAlignment="1">
      <alignment vertical="center" wrapText="1"/>
    </xf>
    <xf numFmtId="3" fontId="19" fillId="6" borderId="24" xfId="0" applyNumberFormat="1" applyFont="1" applyFill="1" applyBorder="1" applyAlignment="1">
      <alignment vertical="center" wrapText="1"/>
    </xf>
    <xf numFmtId="3" fontId="0" fillId="0" borderId="27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vertical="justify"/>
    </xf>
    <xf numFmtId="0" fontId="12" fillId="0" borderId="19" xfId="0" applyFont="1" applyBorder="1" applyAlignment="1">
      <alignment horizontal="left" vertical="justify" indent="3"/>
    </xf>
    <xf numFmtId="3" fontId="0" fillId="5" borderId="24" xfId="0" applyNumberFormat="1" applyFill="1" applyBorder="1" applyAlignment="1">
      <alignment vertical="center"/>
    </xf>
    <xf numFmtId="0" fontId="19" fillId="5" borderId="22" xfId="0" applyFont="1" applyFill="1" applyBorder="1" applyAlignment="1">
      <alignment vertical="justify"/>
    </xf>
    <xf numFmtId="3" fontId="0" fillId="5" borderId="23" xfId="0" applyNumberFormat="1" applyFill="1" applyBorder="1" applyAlignment="1">
      <alignment vertical="center"/>
    </xf>
    <xf numFmtId="3" fontId="0" fillId="5" borderId="18" xfId="0" applyNumberFormat="1" applyFill="1" applyBorder="1" applyAlignment="1">
      <alignment horizontal="center" vertical="center"/>
    </xf>
    <xf numFmtId="3" fontId="17" fillId="4" borderId="1" xfId="0" applyNumberFormat="1" applyFont="1" applyFill="1" applyBorder="1"/>
    <xf numFmtId="3" fontId="17" fillId="4" borderId="18" xfId="0" applyNumberFormat="1" applyFont="1" applyFill="1" applyBorder="1"/>
    <xf numFmtId="3" fontId="10" fillId="5" borderId="24" xfId="0" applyNumberFormat="1" applyFont="1" applyFill="1" applyBorder="1" applyAlignment="1">
      <alignment vertical="center"/>
    </xf>
    <xf numFmtId="3" fontId="0" fillId="0" borderId="30" xfId="0" applyNumberFormat="1" applyBorder="1"/>
    <xf numFmtId="3" fontId="0" fillId="5" borderId="18" xfId="0" applyNumberFormat="1" applyFill="1" applyBorder="1" applyAlignment="1">
      <alignment horizontal="right"/>
    </xf>
    <xf numFmtId="3" fontId="13" fillId="0" borderId="33" xfId="0" applyNumberFormat="1" applyFont="1" applyBorder="1"/>
    <xf numFmtId="3" fontId="13" fillId="0" borderId="34" xfId="0" applyNumberFormat="1" applyFont="1" applyBorder="1"/>
    <xf numFmtId="0" fontId="4" fillId="0" borderId="18" xfId="0" applyFont="1" applyBorder="1" applyAlignment="1">
      <alignment vertical="justify"/>
    </xf>
    <xf numFmtId="3" fontId="15" fillId="4" borderId="9" xfId="0" applyNumberFormat="1" applyFont="1" applyFill="1" applyBorder="1"/>
    <xf numFmtId="3" fontId="15" fillId="4" borderId="10" xfId="0" applyNumberFormat="1" applyFont="1" applyFill="1" applyBorder="1"/>
    <xf numFmtId="3" fontId="0" fillId="5" borderId="22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3" fontId="10" fillId="6" borderId="16" xfId="0" applyNumberFormat="1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vertical="center"/>
    </xf>
    <xf numFmtId="3" fontId="10" fillId="6" borderId="16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3" fontId="10" fillId="2" borderId="18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10" fillId="0" borderId="20" xfId="0" applyNumberFormat="1" applyFont="1" applyBorder="1" applyAlignment="1">
      <alignment horizontal="center" vertical="center"/>
    </xf>
    <xf numFmtId="3" fontId="0" fillId="5" borderId="17" xfId="0" applyNumberForma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8" fillId="6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1" fillId="5" borderId="0" xfId="0" applyFont="1" applyFill="1"/>
    <xf numFmtId="0" fontId="2" fillId="5" borderId="0" xfId="0" applyFont="1" applyFill="1" applyBorder="1"/>
    <xf numFmtId="0" fontId="21" fillId="5" borderId="0" xfId="0" applyFont="1" applyFill="1" applyBorder="1" applyAlignment="1">
      <alignment horizontal="center" vertical="justify"/>
    </xf>
    <xf numFmtId="0" fontId="21" fillId="5" borderId="0" xfId="0" applyFont="1" applyFill="1" applyAlignment="1">
      <alignment horizontal="left"/>
    </xf>
    <xf numFmtId="3" fontId="0" fillId="2" borderId="17" xfId="0" applyNumberFormat="1" applyFill="1" applyBorder="1" applyAlignment="1">
      <alignment horizontal="center"/>
    </xf>
    <xf numFmtId="3" fontId="0" fillId="5" borderId="20" xfId="0" applyNumberFormat="1" applyFill="1" applyBorder="1" applyAlignment="1">
      <alignment horizontal="center"/>
    </xf>
    <xf numFmtId="3" fontId="0" fillId="2" borderId="20" xfId="0" applyNumberForma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0" fontId="5" fillId="6" borderId="16" xfId="0" applyFont="1" applyFill="1" applyBorder="1" applyAlignment="1">
      <alignment horizontal="left" vertical="justify" wrapText="1" indent="3"/>
    </xf>
    <xf numFmtId="3" fontId="1" fillId="6" borderId="16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justify" indent="2"/>
    </xf>
    <xf numFmtId="0" fontId="13" fillId="6" borderId="16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left" vertical="justify" wrapText="1" indent="2"/>
    </xf>
    <xf numFmtId="0" fontId="12" fillId="2" borderId="18" xfId="0" applyFont="1" applyFill="1" applyBorder="1" applyAlignment="1">
      <alignment horizontal="left" vertical="justify" indent="2"/>
    </xf>
    <xf numFmtId="0" fontId="24" fillId="0" borderId="20" xfId="0" applyFont="1" applyBorder="1" applyAlignment="1">
      <alignment vertical="justify"/>
    </xf>
    <xf numFmtId="0" fontId="1" fillId="3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5" borderId="0" xfId="0" applyNumberFormat="1" applyFill="1" applyAlignment="1">
      <alignment horizontal="center" vertical="center"/>
    </xf>
    <xf numFmtId="3" fontId="0" fillId="5" borderId="35" xfId="0" applyNumberFormat="1" applyFill="1" applyBorder="1"/>
    <xf numFmtId="3" fontId="0" fillId="5" borderId="35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horizontal="center" vertical="center"/>
    </xf>
    <xf numFmtId="3" fontId="0" fillId="5" borderId="35" xfId="0" applyNumberFormat="1" applyFill="1" applyBorder="1" applyAlignment="1">
      <alignment horizontal="center" vertical="center"/>
    </xf>
    <xf numFmtId="0" fontId="4" fillId="0" borderId="35" xfId="0" applyFont="1" applyBorder="1" applyAlignment="1">
      <alignment vertical="justify"/>
    </xf>
    <xf numFmtId="3" fontId="0" fillId="0" borderId="35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15" fillId="4" borderId="36" xfId="0" applyNumberFormat="1" applyFont="1" applyFill="1" applyBorder="1"/>
    <xf numFmtId="3" fontId="15" fillId="4" borderId="34" xfId="0" applyNumberFormat="1" applyFont="1" applyFill="1" applyBorder="1"/>
    <xf numFmtId="0" fontId="4" fillId="0" borderId="37" xfId="0" applyFont="1" applyBorder="1" applyAlignment="1">
      <alignment vertical="justify"/>
    </xf>
    <xf numFmtId="0" fontId="4" fillId="0" borderId="40" xfId="0" applyFont="1" applyBorder="1" applyAlignment="1">
      <alignment vertical="justify"/>
    </xf>
    <xf numFmtId="0" fontId="4" fillId="0" borderId="42" xfId="0" applyFont="1" applyBorder="1" applyAlignment="1">
      <alignment vertical="justify"/>
    </xf>
    <xf numFmtId="3" fontId="0" fillId="0" borderId="43" xfId="0" applyNumberFormat="1" applyBorder="1" applyAlignment="1">
      <alignment horizontal="center"/>
    </xf>
    <xf numFmtId="3" fontId="0" fillId="0" borderId="38" xfId="0" applyNumberForma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justify"/>
    </xf>
    <xf numFmtId="0" fontId="15" fillId="4" borderId="39" xfId="0" applyFont="1" applyFill="1" applyBorder="1" applyAlignment="1">
      <alignment horizontal="center" vertical="center"/>
    </xf>
    <xf numFmtId="0" fontId="0" fillId="4" borderId="40" xfId="0" applyFill="1" applyBorder="1"/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left" vertical="top"/>
    </xf>
    <xf numFmtId="0" fontId="0" fillId="0" borderId="29" xfId="0" applyBorder="1"/>
    <xf numFmtId="0" fontId="0" fillId="0" borderId="29" xfId="0" applyBorder="1" applyAlignment="1"/>
    <xf numFmtId="0" fontId="16" fillId="4" borderId="45" xfId="0" applyFont="1" applyFill="1" applyBorder="1" applyAlignment="1">
      <alignment vertical="center"/>
    </xf>
    <xf numFmtId="3" fontId="17" fillId="4" borderId="45" xfId="0" applyNumberFormat="1" applyFont="1" applyFill="1" applyBorder="1"/>
    <xf numFmtId="0" fontId="16" fillId="4" borderId="47" xfId="0" applyFont="1" applyFill="1" applyBorder="1" applyAlignment="1">
      <alignment vertical="center"/>
    </xf>
    <xf numFmtId="3" fontId="17" fillId="4" borderId="47" xfId="0" applyNumberFormat="1" applyFont="1" applyFill="1" applyBorder="1"/>
    <xf numFmtId="0" fontId="4" fillId="0" borderId="37" xfId="0" applyFont="1" applyBorder="1" applyAlignment="1">
      <alignment vertical="justify" wrapText="1"/>
    </xf>
    <xf numFmtId="0" fontId="0" fillId="0" borderId="29" xfId="0" applyBorder="1" applyAlignment="1">
      <alignment horizontal="left"/>
    </xf>
    <xf numFmtId="0" fontId="4" fillId="0" borderId="29" xfId="0" applyFont="1" applyBorder="1" applyAlignment="1">
      <alignment vertical="justify"/>
    </xf>
    <xf numFmtId="0" fontId="15" fillId="4" borderId="45" xfId="0" applyFont="1" applyFill="1" applyBorder="1" applyAlignment="1">
      <alignment vertical="center"/>
    </xf>
    <xf numFmtId="3" fontId="15" fillId="4" borderId="45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vertical="justify"/>
    </xf>
    <xf numFmtId="0" fontId="4" fillId="0" borderId="37" xfId="0" applyFont="1" applyFill="1" applyBorder="1" applyAlignment="1">
      <alignment vertical="justify" wrapText="1"/>
    </xf>
    <xf numFmtId="0" fontId="4" fillId="0" borderId="40" xfId="0" applyFont="1" applyFill="1" applyBorder="1" applyAlignment="1">
      <alignment vertical="justify" wrapText="1"/>
    </xf>
    <xf numFmtId="3" fontId="0" fillId="5" borderId="9" xfId="0" applyNumberFormat="1" applyFill="1" applyBorder="1"/>
    <xf numFmtId="3" fontId="0" fillId="0" borderId="38" xfId="0" applyNumberFormat="1" applyBorder="1" applyAlignment="1">
      <alignment horizontal="center"/>
    </xf>
    <xf numFmtId="0" fontId="12" fillId="5" borderId="40" xfId="0" applyFont="1" applyFill="1" applyBorder="1" applyAlignment="1">
      <alignment vertical="justify"/>
    </xf>
    <xf numFmtId="0" fontId="4" fillId="5" borderId="8" xfId="0" applyFont="1" applyFill="1" applyBorder="1" applyAlignment="1">
      <alignment vertical="justify"/>
    </xf>
    <xf numFmtId="0" fontId="0" fillId="0" borderId="29" xfId="0" applyBorder="1" applyAlignment="1">
      <alignment horizontal="left" vertical="center"/>
    </xf>
    <xf numFmtId="3" fontId="0" fillId="0" borderId="46" xfId="0" applyNumberFormat="1" applyFill="1" applyBorder="1" applyAlignment="1">
      <alignment horizontal="center" vertical="center"/>
    </xf>
    <xf numFmtId="165" fontId="0" fillId="5" borderId="0" xfId="2" applyFont="1" applyFill="1"/>
    <xf numFmtId="0" fontId="0" fillId="0" borderId="7" xfId="0" applyFill="1" applyBorder="1" applyAlignment="1">
      <alignment horizontal="left"/>
    </xf>
    <xf numFmtId="2" fontId="15" fillId="4" borderId="39" xfId="0" applyNumberFormat="1" applyFont="1" applyFill="1" applyBorder="1" applyAlignment="1">
      <alignment horizontal="center" vertical="center"/>
    </xf>
    <xf numFmtId="0" fontId="28" fillId="4" borderId="7" xfId="0" applyFont="1" applyFill="1" applyBorder="1"/>
    <xf numFmtId="0" fontId="28" fillId="4" borderId="0" xfId="0" applyFont="1" applyFill="1"/>
    <xf numFmtId="0" fontId="28" fillId="5" borderId="0" xfId="0" applyFont="1" applyFill="1"/>
    <xf numFmtId="0" fontId="28" fillId="0" borderId="0" xfId="0" applyFont="1"/>
    <xf numFmtId="0" fontId="29" fillId="4" borderId="7" xfId="0" applyFont="1" applyFill="1" applyBorder="1"/>
    <xf numFmtId="0" fontId="29" fillId="4" borderId="40" xfId="0" applyFont="1" applyFill="1" applyBorder="1"/>
    <xf numFmtId="3" fontId="15" fillId="4" borderId="45" xfId="0" applyNumberFormat="1" applyFont="1" applyFill="1" applyBorder="1"/>
    <xf numFmtId="0" fontId="29" fillId="4" borderId="0" xfId="0" applyFont="1" applyFill="1"/>
    <xf numFmtId="0" fontId="29" fillId="5" borderId="0" xfId="0" applyFont="1" applyFill="1"/>
    <xf numFmtId="0" fontId="29" fillId="0" borderId="0" xfId="0" applyFont="1"/>
    <xf numFmtId="0" fontId="30" fillId="5" borderId="0" xfId="0" applyFont="1" applyFill="1" applyBorder="1" applyAlignment="1">
      <alignment horizontal="center" vertical="center"/>
    </xf>
    <xf numFmtId="2" fontId="30" fillId="5" borderId="0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left"/>
    </xf>
    <xf numFmtId="3" fontId="31" fillId="0" borderId="38" xfId="0" applyNumberFormat="1" applyFont="1" applyFill="1" applyBorder="1" applyAlignment="1">
      <alignment horizontal="center" vertical="center"/>
    </xf>
    <xf numFmtId="2" fontId="31" fillId="5" borderId="0" xfId="0" applyNumberFormat="1" applyFont="1" applyFill="1" applyBorder="1"/>
    <xf numFmtId="3" fontId="31" fillId="6" borderId="35" xfId="0" applyNumberFormat="1" applyFont="1" applyFill="1" applyBorder="1" applyAlignment="1">
      <alignment horizontal="center" vertical="center"/>
    </xf>
    <xf numFmtId="3" fontId="31" fillId="0" borderId="35" xfId="0" applyNumberFormat="1" applyFont="1" applyFill="1" applyBorder="1" applyAlignment="1">
      <alignment horizontal="center" vertical="center"/>
    </xf>
    <xf numFmtId="3" fontId="31" fillId="0" borderId="41" xfId="0" applyNumberFormat="1" applyFont="1" applyFill="1" applyBorder="1" applyAlignment="1">
      <alignment horizontal="center" vertical="center"/>
    </xf>
    <xf numFmtId="2" fontId="31" fillId="5" borderId="0" xfId="0" applyNumberFormat="1" applyFont="1" applyFill="1"/>
    <xf numFmtId="0" fontId="31" fillId="0" borderId="29" xfId="0" applyFont="1" applyBorder="1" applyAlignment="1">
      <alignment horizontal="left" vertical="center"/>
    </xf>
    <xf numFmtId="2" fontId="31" fillId="5" borderId="0" xfId="0" applyNumberFormat="1" applyFont="1" applyFill="1" applyAlignment="1">
      <alignment vertical="center"/>
    </xf>
    <xf numFmtId="3" fontId="31" fillId="0" borderId="43" xfId="0" applyNumberFormat="1" applyFont="1" applyFill="1" applyBorder="1" applyAlignment="1">
      <alignment horizontal="center" vertical="center"/>
    </xf>
    <xf numFmtId="3" fontId="31" fillId="0" borderId="44" xfId="0" applyNumberFormat="1" applyFont="1" applyFill="1" applyBorder="1" applyAlignment="1">
      <alignment horizontal="center" vertical="center"/>
    </xf>
    <xf numFmtId="2" fontId="31" fillId="5" borderId="0" xfId="0" applyNumberFormat="1" applyFont="1" applyFill="1" applyAlignment="1"/>
    <xf numFmtId="3" fontId="31" fillId="0" borderId="46" xfId="0" applyNumberFormat="1" applyFont="1" applyFill="1" applyBorder="1" applyAlignment="1">
      <alignment horizontal="center" vertical="center"/>
    </xf>
    <xf numFmtId="3" fontId="31" fillId="0" borderId="38" xfId="0" applyNumberFormat="1" applyFont="1" applyBorder="1" applyAlignment="1">
      <alignment horizontal="center" vertical="center"/>
    </xf>
    <xf numFmtId="3" fontId="31" fillId="5" borderId="39" xfId="0" applyNumberFormat="1" applyFont="1" applyFill="1" applyBorder="1" applyAlignment="1">
      <alignment horizontal="center" vertical="center"/>
    </xf>
    <xf numFmtId="2" fontId="31" fillId="5" borderId="0" xfId="0" applyNumberFormat="1" applyFont="1" applyFill="1" applyAlignment="1">
      <alignment horizontal="center" vertical="center"/>
    </xf>
    <xf numFmtId="0" fontId="31" fillId="0" borderId="29" xfId="0" applyFont="1" applyBorder="1"/>
    <xf numFmtId="3" fontId="31" fillId="0" borderId="43" xfId="0" applyNumberFormat="1" applyFont="1" applyBorder="1" applyAlignment="1">
      <alignment horizontal="center" vertical="center"/>
    </xf>
    <xf numFmtId="3" fontId="31" fillId="5" borderId="44" xfId="0" applyNumberFormat="1" applyFont="1" applyFill="1" applyBorder="1" applyAlignment="1">
      <alignment horizontal="center" vertical="center"/>
    </xf>
    <xf numFmtId="3" fontId="31" fillId="0" borderId="35" xfId="0" applyNumberFormat="1" applyFont="1" applyBorder="1" applyAlignment="1">
      <alignment horizontal="center"/>
    </xf>
    <xf numFmtId="3" fontId="31" fillId="5" borderId="38" xfId="0" applyNumberFormat="1" applyFont="1" applyFill="1" applyBorder="1" applyAlignment="1">
      <alignment horizontal="center"/>
    </xf>
    <xf numFmtId="3" fontId="31" fillId="5" borderId="38" xfId="0" applyNumberFormat="1" applyFont="1" applyFill="1" applyBorder="1" applyAlignment="1">
      <alignment vertical="center"/>
    </xf>
    <xf numFmtId="3" fontId="31" fillId="5" borderId="39" xfId="0" applyNumberFormat="1" applyFont="1" applyFill="1" applyBorder="1" applyAlignment="1">
      <alignment vertical="center"/>
    </xf>
    <xf numFmtId="0" fontId="31" fillId="0" borderId="29" xfId="0" applyFont="1" applyBorder="1" applyAlignment="1">
      <alignment vertical="center"/>
    </xf>
    <xf numFmtId="3" fontId="31" fillId="5" borderId="35" xfId="0" applyNumberFormat="1" applyFont="1" applyFill="1" applyBorder="1" applyAlignment="1">
      <alignment vertical="center"/>
    </xf>
    <xf numFmtId="3" fontId="31" fillId="5" borderId="41" xfId="0" applyNumberFormat="1" applyFont="1" applyFill="1" applyBorder="1" applyAlignment="1">
      <alignment vertical="center"/>
    </xf>
    <xf numFmtId="0" fontId="31" fillId="0" borderId="29" xfId="0" applyFont="1" applyBorder="1" applyAlignment="1">
      <alignment horizontal="left" vertical="top"/>
    </xf>
    <xf numFmtId="0" fontId="31" fillId="0" borderId="35" xfId="0" applyFont="1" applyBorder="1" applyAlignment="1">
      <alignment horizontal="center"/>
    </xf>
    <xf numFmtId="0" fontId="31" fillId="0" borderId="29" xfId="0" applyFont="1" applyBorder="1" applyAlignment="1"/>
    <xf numFmtId="3" fontId="31" fillId="0" borderId="43" xfId="0" applyNumberFormat="1" applyFont="1" applyBorder="1" applyAlignment="1">
      <alignment horizontal="center"/>
    </xf>
    <xf numFmtId="3" fontId="31" fillId="5" borderId="43" xfId="0" applyNumberFormat="1" applyFont="1" applyFill="1" applyBorder="1" applyAlignment="1">
      <alignment vertical="center"/>
    </xf>
    <xf numFmtId="3" fontId="31" fillId="5" borderId="44" xfId="0" applyNumberFormat="1" applyFont="1" applyFill="1" applyBorder="1" applyAlignment="1">
      <alignment vertical="center"/>
    </xf>
    <xf numFmtId="3" fontId="31" fillId="5" borderId="9" xfId="0" applyNumberFormat="1" applyFont="1" applyFill="1" applyBorder="1"/>
    <xf numFmtId="3" fontId="31" fillId="0" borderId="9" xfId="0" applyNumberFormat="1" applyFont="1" applyBorder="1" applyAlignment="1">
      <alignment horizontal="center"/>
    </xf>
    <xf numFmtId="3" fontId="31" fillId="5" borderId="9" xfId="0" applyNumberFormat="1" applyFont="1" applyFill="1" applyBorder="1" applyAlignment="1">
      <alignment vertical="center"/>
    </xf>
    <xf numFmtId="3" fontId="31" fillId="5" borderId="10" xfId="0" applyNumberFormat="1" applyFont="1" applyFill="1" applyBorder="1" applyAlignment="1">
      <alignment vertical="center"/>
    </xf>
    <xf numFmtId="3" fontId="31" fillId="0" borderId="38" xfId="0" applyNumberFormat="1" applyFont="1" applyBorder="1" applyAlignment="1">
      <alignment horizontal="center"/>
    </xf>
    <xf numFmtId="3" fontId="32" fillId="0" borderId="33" xfId="0" applyNumberFormat="1" applyFont="1" applyBorder="1"/>
    <xf numFmtId="3" fontId="32" fillId="0" borderId="34" xfId="0" applyNumberFormat="1" applyFont="1" applyBorder="1"/>
    <xf numFmtId="0" fontId="31" fillId="5" borderId="20" xfId="0" applyFont="1" applyFill="1" applyBorder="1"/>
    <xf numFmtId="0" fontId="31" fillId="5" borderId="0" xfId="0" applyFont="1" applyFill="1"/>
    <xf numFmtId="0" fontId="31" fillId="0" borderId="0" xfId="0" applyFont="1"/>
    <xf numFmtId="2" fontId="31" fillId="0" borderId="0" xfId="0" applyNumberFormat="1" applyFont="1"/>
    <xf numFmtId="0" fontId="15" fillId="4" borderId="47" xfId="0" applyFont="1" applyFill="1" applyBorder="1" applyAlignment="1">
      <alignment vertical="center"/>
    </xf>
    <xf numFmtId="3" fontId="15" fillId="4" borderId="47" xfId="0" applyNumberFormat="1" applyFont="1" applyFill="1" applyBorder="1"/>
    <xf numFmtId="164" fontId="28" fillId="0" borderId="0" xfId="1" applyFont="1"/>
    <xf numFmtId="0" fontId="5" fillId="0" borderId="42" xfId="0" applyFont="1" applyBorder="1" applyAlignment="1">
      <alignment vertical="justify"/>
    </xf>
    <xf numFmtId="0" fontId="31" fillId="0" borderId="14" xfId="0" applyFont="1" applyBorder="1" applyAlignment="1"/>
    <xf numFmtId="0" fontId="29" fillId="4" borderId="48" xfId="0" applyFont="1" applyFill="1" applyBorder="1"/>
    <xf numFmtId="0" fontId="31" fillId="0" borderId="13" xfId="0" applyFont="1" applyBorder="1" applyAlignment="1"/>
    <xf numFmtId="0" fontId="31" fillId="0" borderId="21" xfId="0" applyFont="1" applyBorder="1" applyAlignment="1">
      <alignment horizontal="center"/>
    </xf>
    <xf numFmtId="0" fontId="4" fillId="0" borderId="48" xfId="0" applyFont="1" applyBorder="1" applyAlignment="1">
      <alignment vertical="justify"/>
    </xf>
    <xf numFmtId="3" fontId="31" fillId="0" borderId="45" xfId="0" applyNumberFormat="1" applyFont="1" applyBorder="1" applyAlignment="1">
      <alignment horizontal="center"/>
    </xf>
    <xf numFmtId="3" fontId="33" fillId="0" borderId="43" xfId="0" applyNumberFormat="1" applyFont="1" applyBorder="1" applyAlignment="1">
      <alignment horizontal="center"/>
    </xf>
    <xf numFmtId="3" fontId="33" fillId="5" borderId="43" xfId="0" applyNumberFormat="1" applyFont="1" applyFill="1" applyBorder="1" applyAlignment="1">
      <alignment vertical="center"/>
    </xf>
    <xf numFmtId="3" fontId="33" fillId="5" borderId="44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left" vertical="top"/>
    </xf>
    <xf numFmtId="0" fontId="5" fillId="0" borderId="40" xfId="0" applyFont="1" applyBorder="1" applyAlignment="1">
      <alignment vertical="justify"/>
    </xf>
    <xf numFmtId="3" fontId="33" fillId="0" borderId="35" xfId="0" applyNumberFormat="1" applyFont="1" applyBorder="1" applyAlignment="1">
      <alignment horizontal="center"/>
    </xf>
    <xf numFmtId="3" fontId="33" fillId="5" borderId="35" xfId="0" applyNumberFormat="1" applyFont="1" applyFill="1" applyBorder="1" applyAlignment="1">
      <alignment vertical="center"/>
    </xf>
    <xf numFmtId="3" fontId="33" fillId="5" borderId="41" xfId="0" applyNumberFormat="1" applyFont="1" applyFill="1" applyBorder="1" applyAlignment="1">
      <alignment vertical="center"/>
    </xf>
    <xf numFmtId="2" fontId="33" fillId="5" borderId="0" xfId="0" applyNumberFormat="1" applyFont="1" applyFill="1"/>
    <xf numFmtId="0" fontId="1" fillId="0" borderId="0" xfId="0" applyFont="1"/>
    <xf numFmtId="0" fontId="1" fillId="5" borderId="0" xfId="0" applyFont="1" applyFill="1"/>
    <xf numFmtId="0" fontId="31" fillId="0" borderId="30" xfId="0" applyFont="1" applyBorder="1" applyAlignment="1">
      <alignment horizontal="left" vertical="top"/>
    </xf>
    <xf numFmtId="3" fontId="31" fillId="0" borderId="47" xfId="0" applyNumberFormat="1" applyFont="1" applyBorder="1" applyAlignment="1">
      <alignment horizontal="center"/>
    </xf>
    <xf numFmtId="0" fontId="5" fillId="0" borderId="49" xfId="0" applyFont="1" applyBorder="1" applyAlignment="1">
      <alignment vertical="justify"/>
    </xf>
    <xf numFmtId="0" fontId="1" fillId="5" borderId="0" xfId="0" applyFont="1" applyFill="1" applyBorder="1"/>
    <xf numFmtId="3" fontId="31" fillId="5" borderId="45" xfId="0" applyNumberFormat="1" applyFont="1" applyFill="1" applyBorder="1" applyAlignment="1">
      <alignment vertical="center"/>
    </xf>
    <xf numFmtId="3" fontId="31" fillId="5" borderId="51" xfId="0" applyNumberFormat="1" applyFont="1" applyFill="1" applyBorder="1" applyAlignment="1">
      <alignment vertical="center"/>
    </xf>
    <xf numFmtId="0" fontId="5" fillId="0" borderId="52" xfId="0" applyFont="1" applyBorder="1" applyAlignment="1">
      <alignment vertical="justify"/>
    </xf>
    <xf numFmtId="0" fontId="5" fillId="0" borderId="53" xfId="0" applyFont="1" applyBorder="1" applyAlignment="1">
      <alignment vertical="justify"/>
    </xf>
    <xf numFmtId="0" fontId="33" fillId="0" borderId="29" xfId="0" applyFont="1" applyBorder="1" applyAlignment="1">
      <alignment vertical="center"/>
    </xf>
    <xf numFmtId="0" fontId="5" fillId="0" borderId="37" xfId="0" applyFont="1" applyFill="1" applyBorder="1" applyAlignment="1">
      <alignment vertical="justify" wrapText="1"/>
    </xf>
    <xf numFmtId="3" fontId="33" fillId="6" borderId="38" xfId="0" applyNumberFormat="1" applyFont="1" applyFill="1" applyBorder="1" applyAlignment="1">
      <alignment horizontal="center" vertical="center"/>
    </xf>
    <xf numFmtId="3" fontId="33" fillId="0" borderId="38" xfId="0" applyNumberFormat="1" applyFont="1" applyFill="1" applyBorder="1" applyAlignment="1">
      <alignment horizontal="center" vertical="center"/>
    </xf>
    <xf numFmtId="3" fontId="33" fillId="0" borderId="39" xfId="0" applyNumberFormat="1" applyFont="1" applyFill="1" applyBorder="1" applyAlignment="1">
      <alignment horizontal="center" vertical="center"/>
    </xf>
    <xf numFmtId="3" fontId="33" fillId="0" borderId="35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vertical="justify"/>
    </xf>
    <xf numFmtId="3" fontId="33" fillId="0" borderId="45" xfId="0" applyNumberFormat="1" applyFont="1" applyBorder="1" applyAlignment="1">
      <alignment horizontal="center"/>
    </xf>
    <xf numFmtId="3" fontId="33" fillId="5" borderId="45" xfId="0" applyNumberFormat="1" applyFont="1" applyFill="1" applyBorder="1" applyAlignment="1">
      <alignment vertical="center"/>
    </xf>
    <xf numFmtId="3" fontId="33" fillId="0" borderId="45" xfId="0" applyNumberFormat="1" applyFont="1" applyBorder="1" applyAlignment="1">
      <alignment vertical="justify"/>
    </xf>
    <xf numFmtId="3" fontId="33" fillId="0" borderId="47" xfId="0" applyNumberFormat="1" applyFont="1" applyFill="1" applyBorder="1" applyAlignment="1">
      <alignment horizontal="center" vertical="center"/>
    </xf>
    <xf numFmtId="3" fontId="33" fillId="0" borderId="43" xfId="0" applyNumberFormat="1" applyFont="1" applyFill="1" applyBorder="1" applyAlignment="1">
      <alignment horizontal="center" vertical="center"/>
    </xf>
    <xf numFmtId="3" fontId="33" fillId="0" borderId="44" xfId="0" applyNumberFormat="1" applyFont="1" applyFill="1" applyBorder="1" applyAlignment="1">
      <alignment horizontal="center" vertical="center"/>
    </xf>
    <xf numFmtId="3" fontId="33" fillId="0" borderId="47" xfId="0" applyNumberFormat="1" applyFont="1" applyBorder="1" applyAlignment="1">
      <alignment horizontal="center"/>
    </xf>
    <xf numFmtId="3" fontId="33" fillId="5" borderId="47" xfId="0" applyNumberFormat="1" applyFont="1" applyFill="1" applyBorder="1" applyAlignment="1">
      <alignment vertical="center"/>
    </xf>
    <xf numFmtId="3" fontId="33" fillId="5" borderId="50" xfId="0" applyNumberFormat="1" applyFont="1" applyFill="1" applyBorder="1" applyAlignment="1">
      <alignment vertical="center"/>
    </xf>
    <xf numFmtId="3" fontId="33" fillId="0" borderId="47" xfId="0" applyNumberFormat="1" applyFont="1" applyBorder="1" applyAlignment="1">
      <alignment horizontal="center" vertical="center"/>
    </xf>
    <xf numFmtId="2" fontId="34" fillId="4" borderId="39" xfId="0" applyNumberFormat="1" applyFont="1" applyFill="1" applyBorder="1" applyAlignment="1">
      <alignment horizontal="center" vertical="justify"/>
    </xf>
    <xf numFmtId="0" fontId="1" fillId="5" borderId="0" xfId="0" applyFont="1" applyFill="1" applyBorder="1" applyAlignment="1">
      <alignment vertical="justify"/>
    </xf>
    <xf numFmtId="0" fontId="1" fillId="5" borderId="0" xfId="0" applyFont="1" applyFill="1" applyAlignment="1">
      <alignment vertical="justify"/>
    </xf>
    <xf numFmtId="0" fontId="35" fillId="5" borderId="0" xfId="0" applyFont="1" applyFill="1" applyBorder="1" applyAlignment="1">
      <alignment vertical="justify"/>
    </xf>
    <xf numFmtId="0" fontId="35" fillId="5" borderId="0" xfId="0" applyFont="1" applyFill="1" applyAlignment="1">
      <alignment vertical="justify"/>
    </xf>
    <xf numFmtId="0" fontId="31" fillId="0" borderId="35" xfId="0" applyFont="1" applyBorder="1" applyAlignment="1">
      <alignment horizontal="left"/>
    </xf>
    <xf numFmtId="0" fontId="31" fillId="0" borderId="35" xfId="0" applyFont="1" applyBorder="1" applyAlignment="1">
      <alignment horizontal="left" vertical="center"/>
    </xf>
    <xf numFmtId="0" fontId="29" fillId="4" borderId="54" xfId="0" applyFont="1" applyFill="1" applyBorder="1"/>
    <xf numFmtId="3" fontId="31" fillId="5" borderId="35" xfId="0" applyNumberFormat="1" applyFont="1" applyFill="1" applyBorder="1" applyAlignment="1">
      <alignment horizontal="center" vertical="center"/>
    </xf>
    <xf numFmtId="3" fontId="38" fillId="5" borderId="35" xfId="0" applyNumberFormat="1" applyFont="1" applyFill="1" applyBorder="1" applyAlignment="1">
      <alignment horizontal="center" vertical="center"/>
    </xf>
    <xf numFmtId="0" fontId="29" fillId="4" borderId="55" xfId="0" applyFont="1" applyFill="1" applyBorder="1"/>
    <xf numFmtId="0" fontId="4" fillId="0" borderId="35" xfId="0" applyFont="1" applyFill="1" applyBorder="1" applyAlignment="1">
      <alignment vertical="justify" wrapText="1"/>
    </xf>
    <xf numFmtId="0" fontId="12" fillId="5" borderId="35" xfId="0" applyFont="1" applyFill="1" applyBorder="1" applyAlignment="1">
      <alignment vertical="justify"/>
    </xf>
    <xf numFmtId="0" fontId="31" fillId="0" borderId="35" xfId="0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3" fontId="38" fillId="0" borderId="35" xfId="0" applyNumberFormat="1" applyFont="1" applyFill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vertical="center"/>
    </xf>
    <xf numFmtId="0" fontId="38" fillId="0" borderId="29" xfId="0" applyFont="1" applyBorder="1" applyAlignment="1">
      <alignment horizontal="left" vertical="top"/>
    </xf>
    <xf numFmtId="0" fontId="38" fillId="0" borderId="29" xfId="0" applyFont="1" applyBorder="1"/>
    <xf numFmtId="0" fontId="38" fillId="0" borderId="29" xfId="0" applyFont="1" applyBorder="1" applyAlignment="1"/>
    <xf numFmtId="0" fontId="38" fillId="5" borderId="29" xfId="0" applyFont="1" applyFill="1" applyBorder="1" applyAlignment="1">
      <alignment vertical="center"/>
    </xf>
    <xf numFmtId="3" fontId="38" fillId="5" borderId="35" xfId="0" applyNumberFormat="1" applyFont="1" applyFill="1" applyBorder="1" applyAlignment="1">
      <alignment horizontal="center"/>
    </xf>
    <xf numFmtId="3" fontId="38" fillId="5" borderId="35" xfId="0" applyNumberFormat="1" applyFont="1" applyFill="1" applyBorder="1" applyAlignment="1">
      <alignment vertical="center"/>
    </xf>
    <xf numFmtId="3" fontId="38" fillId="0" borderId="35" xfId="0" applyNumberFormat="1" applyFont="1" applyBorder="1" applyAlignment="1">
      <alignment horizontal="center"/>
    </xf>
    <xf numFmtId="0" fontId="38" fillId="0" borderId="35" xfId="0" applyFont="1" applyBorder="1" applyAlignment="1">
      <alignment horizontal="left" vertical="center"/>
    </xf>
    <xf numFmtId="0" fontId="38" fillId="5" borderId="35" xfId="0" applyFont="1" applyFill="1" applyBorder="1" applyAlignment="1">
      <alignment horizontal="left"/>
    </xf>
    <xf numFmtId="0" fontId="38" fillId="5" borderId="35" xfId="0" applyFont="1" applyFill="1" applyBorder="1" applyAlignment="1">
      <alignment horizontal="left" vertical="center"/>
    </xf>
    <xf numFmtId="0" fontId="38" fillId="5" borderId="35" xfId="0" applyFont="1" applyFill="1" applyBorder="1" applyAlignment="1">
      <alignment horizontal="left" vertical="top"/>
    </xf>
    <xf numFmtId="3" fontId="38" fillId="5" borderId="41" xfId="0" applyNumberFormat="1" applyFont="1" applyFill="1" applyBorder="1" applyAlignment="1">
      <alignment vertical="center"/>
    </xf>
    <xf numFmtId="3" fontId="38" fillId="5" borderId="43" xfId="0" applyNumberFormat="1" applyFont="1" applyFill="1" applyBorder="1" applyAlignment="1">
      <alignment vertical="center"/>
    </xf>
    <xf numFmtId="3" fontId="38" fillId="5" borderId="44" xfId="0" applyNumberFormat="1" applyFont="1" applyFill="1" applyBorder="1" applyAlignment="1">
      <alignment vertical="center"/>
    </xf>
    <xf numFmtId="0" fontId="12" fillId="5" borderId="37" xfId="0" applyFont="1" applyFill="1" applyBorder="1" applyAlignment="1">
      <alignment vertical="justify"/>
    </xf>
    <xf numFmtId="3" fontId="38" fillId="5" borderId="38" xfId="0" applyNumberFormat="1" applyFont="1" applyFill="1" applyBorder="1" applyAlignment="1">
      <alignment horizontal="center"/>
    </xf>
    <xf numFmtId="0" fontId="12" fillId="5" borderId="48" xfId="0" applyFont="1" applyFill="1" applyBorder="1" applyAlignment="1">
      <alignment vertical="justify"/>
    </xf>
    <xf numFmtId="3" fontId="38" fillId="5" borderId="45" xfId="0" applyNumberFormat="1" applyFont="1" applyFill="1" applyBorder="1" applyAlignment="1">
      <alignment horizontal="center"/>
    </xf>
    <xf numFmtId="0" fontId="12" fillId="5" borderId="42" xfId="0" applyFont="1" applyFill="1" applyBorder="1" applyAlignment="1">
      <alignment vertical="justify"/>
    </xf>
    <xf numFmtId="3" fontId="38" fillId="5" borderId="43" xfId="0" applyNumberFormat="1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1" fillId="3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4" fillId="0" borderId="35" xfId="0" applyFont="1" applyBorder="1" applyAlignment="1">
      <alignment horizontal="center" vertical="justify"/>
    </xf>
    <xf numFmtId="3" fontId="38" fillId="5" borderId="35" xfId="0" applyNumberFormat="1" applyFont="1" applyFill="1" applyBorder="1" applyAlignment="1">
      <alignment horizontal="center" vertical="justify"/>
    </xf>
    <xf numFmtId="0" fontId="29" fillId="7" borderId="53" xfId="0" applyFont="1" applyFill="1" applyBorder="1"/>
    <xf numFmtId="0" fontId="15" fillId="7" borderId="35" xfId="0" applyFont="1" applyFill="1" applyBorder="1" applyAlignment="1">
      <alignment vertical="center"/>
    </xf>
    <xf numFmtId="0" fontId="29" fillId="7" borderId="54" xfId="0" applyFont="1" applyFill="1" applyBorder="1"/>
    <xf numFmtId="0" fontId="15" fillId="7" borderId="47" xfId="0" applyFont="1" applyFill="1" applyBorder="1" applyAlignment="1">
      <alignment vertical="center"/>
    </xf>
    <xf numFmtId="3" fontId="15" fillId="7" borderId="47" xfId="0" applyNumberFormat="1" applyFont="1" applyFill="1" applyBorder="1"/>
    <xf numFmtId="2" fontId="15" fillId="7" borderId="39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vertical="justify" wrapText="1"/>
    </xf>
    <xf numFmtId="3" fontId="38" fillId="0" borderId="38" xfId="0" applyNumberFormat="1" applyFont="1" applyBorder="1" applyAlignment="1">
      <alignment horizontal="center" vertical="center"/>
    </xf>
    <xf numFmtId="3" fontId="38" fillId="5" borderId="39" xfId="0" applyNumberFormat="1" applyFont="1" applyFill="1" applyBorder="1" applyAlignment="1">
      <alignment horizontal="center" vertical="center"/>
    </xf>
    <xf numFmtId="0" fontId="12" fillId="0" borderId="42" xfId="0" applyFont="1" applyBorder="1" applyAlignment="1">
      <alignment vertical="justify"/>
    </xf>
    <xf numFmtId="3" fontId="38" fillId="0" borderId="43" xfId="0" applyNumberFormat="1" applyFont="1" applyBorder="1" applyAlignment="1">
      <alignment horizontal="center" vertical="center"/>
    </xf>
    <xf numFmtId="3" fontId="38" fillId="5" borderId="44" xfId="0" applyNumberFormat="1" applyFont="1" applyFill="1" applyBorder="1" applyAlignment="1">
      <alignment horizontal="center" vertical="center"/>
    </xf>
    <xf numFmtId="0" fontId="38" fillId="5" borderId="35" xfId="0" applyFont="1" applyFill="1" applyBorder="1" applyAlignment="1">
      <alignment horizontal="center"/>
    </xf>
    <xf numFmtId="0" fontId="10" fillId="0" borderId="0" xfId="0" applyFont="1"/>
    <xf numFmtId="0" fontId="39" fillId="5" borderId="0" xfId="0" applyFont="1" applyFill="1"/>
    <xf numFmtId="0" fontId="39" fillId="5" borderId="0" xfId="0" applyFont="1" applyFill="1" applyBorder="1" applyAlignment="1">
      <alignment horizontal="center" vertical="justify"/>
    </xf>
    <xf numFmtId="3" fontId="40" fillId="0" borderId="33" xfId="0" applyNumberFormat="1" applyFont="1" applyBorder="1"/>
    <xf numFmtId="3" fontId="40" fillId="0" borderId="34" xfId="0" applyNumberFormat="1" applyFont="1" applyBorder="1"/>
    <xf numFmtId="0" fontId="38" fillId="5" borderId="20" xfId="0" applyFont="1" applyFill="1" applyBorder="1"/>
    <xf numFmtId="2" fontId="38" fillId="5" borderId="0" xfId="0" applyNumberFormat="1" applyFont="1" applyFill="1"/>
    <xf numFmtId="0" fontId="41" fillId="5" borderId="0" xfId="0" applyFont="1" applyFill="1" applyAlignment="1">
      <alignment vertical="justify"/>
    </xf>
    <xf numFmtId="0" fontId="10" fillId="5" borderId="0" xfId="0" applyFont="1" applyFill="1"/>
    <xf numFmtId="0" fontId="39" fillId="5" borderId="0" xfId="0" applyFont="1" applyFill="1" applyAlignment="1">
      <alignment horizontal="left"/>
    </xf>
    <xf numFmtId="0" fontId="10" fillId="5" borderId="0" xfId="0" applyFont="1" applyFill="1" applyAlignment="1">
      <alignment vertical="justify"/>
    </xf>
    <xf numFmtId="0" fontId="38" fillId="5" borderId="0" xfId="0" applyFont="1" applyFill="1"/>
    <xf numFmtId="0" fontId="0" fillId="0" borderId="0" xfId="0" applyAlignment="1">
      <alignment horizontal="left" vertical="top"/>
    </xf>
    <xf numFmtId="3" fontId="0" fillId="3" borderId="0" xfId="0" applyNumberFormat="1" applyFill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/>
    </xf>
    <xf numFmtId="0" fontId="1" fillId="3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7" xfId="0" applyBorder="1" applyAlignment="1">
      <alignment horizontal="left"/>
    </xf>
    <xf numFmtId="3" fontId="0" fillId="0" borderId="19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18" fillId="6" borderId="18" xfId="0" applyFont="1" applyFill="1" applyBorder="1" applyAlignment="1">
      <alignment horizontal="left" vertical="center"/>
    </xf>
    <xf numFmtId="0" fontId="18" fillId="6" borderId="14" xfId="0" applyFont="1" applyFill="1" applyBorder="1" applyAlignment="1">
      <alignment horizontal="left" vertical="center"/>
    </xf>
    <xf numFmtId="0" fontId="18" fillId="6" borderId="21" xfId="0" applyFont="1" applyFill="1" applyBorder="1" applyAlignment="1">
      <alignment horizontal="left" vertical="center"/>
    </xf>
    <xf numFmtId="0" fontId="19" fillId="6" borderId="18" xfId="0" applyFont="1" applyFill="1" applyBorder="1" applyAlignment="1">
      <alignment horizontal="left" vertical="center" wrapText="1"/>
    </xf>
    <xf numFmtId="0" fontId="19" fillId="6" borderId="14" xfId="0" applyFont="1" applyFill="1" applyBorder="1" applyAlignment="1">
      <alignment horizontal="left" vertical="center" wrapText="1"/>
    </xf>
    <xf numFmtId="0" fontId="19" fillId="6" borderId="21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justify"/>
    </xf>
    <xf numFmtId="0" fontId="14" fillId="4" borderId="14" xfId="0" applyFont="1" applyFill="1" applyBorder="1" applyAlignment="1">
      <alignment horizontal="center" vertical="justify"/>
    </xf>
    <xf numFmtId="0" fontId="0" fillId="0" borderId="16" xfId="0" applyFill="1" applyBorder="1" applyAlignment="1">
      <alignment horizontal="left" vertical="center"/>
    </xf>
    <xf numFmtId="0" fontId="18" fillId="6" borderId="18" xfId="0" applyFont="1" applyFill="1" applyBorder="1" applyAlignment="1">
      <alignment horizontal="left" vertical="top"/>
    </xf>
    <xf numFmtId="0" fontId="18" fillId="6" borderId="21" xfId="0" applyFont="1" applyFill="1" applyBorder="1" applyAlignment="1">
      <alignment horizontal="left" vertical="top"/>
    </xf>
    <xf numFmtId="3" fontId="10" fillId="6" borderId="18" xfId="0" applyNumberFormat="1" applyFont="1" applyFill="1" applyBorder="1" applyAlignment="1">
      <alignment horizontal="center" vertical="center"/>
    </xf>
    <xf numFmtId="3" fontId="10" fillId="6" borderId="14" xfId="0" applyNumberFormat="1" applyFont="1" applyFill="1" applyBorder="1" applyAlignment="1">
      <alignment horizontal="center" vertical="center"/>
    </xf>
    <xf numFmtId="3" fontId="10" fillId="6" borderId="2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3" fontId="0" fillId="5" borderId="0" xfId="0" applyNumberFormat="1" applyFill="1" applyAlignment="1">
      <alignment horizontal="center" vertical="center"/>
    </xf>
    <xf numFmtId="3" fontId="19" fillId="6" borderId="18" xfId="0" applyNumberFormat="1" applyFont="1" applyFill="1" applyBorder="1" applyAlignment="1">
      <alignment horizontal="center" vertical="center" wrapText="1"/>
    </xf>
    <xf numFmtId="3" fontId="19" fillId="6" borderId="14" xfId="0" applyNumberFormat="1" applyFont="1" applyFill="1" applyBorder="1" applyAlignment="1">
      <alignment horizontal="center" vertical="center" wrapText="1"/>
    </xf>
    <xf numFmtId="3" fontId="19" fillId="6" borderId="21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14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5" borderId="13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3" fontId="0" fillId="5" borderId="21" xfId="0" applyNumberForma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right"/>
    </xf>
    <xf numFmtId="3" fontId="0" fillId="5" borderId="15" xfId="0" applyNumberFormat="1" applyFill="1" applyBorder="1" applyAlignment="1">
      <alignment horizontal="center" vertical="center"/>
    </xf>
    <xf numFmtId="3" fontId="10" fillId="5" borderId="15" xfId="0" applyNumberFormat="1" applyFont="1" applyFill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10" fillId="5" borderId="14" xfId="0" applyNumberFormat="1" applyFont="1" applyFill="1" applyBorder="1" applyAlignment="1">
      <alignment horizontal="center" vertical="center"/>
    </xf>
    <xf numFmtId="3" fontId="10" fillId="5" borderId="19" xfId="0" applyNumberFormat="1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right"/>
    </xf>
    <xf numFmtId="0" fontId="22" fillId="4" borderId="23" xfId="0" applyFont="1" applyFill="1" applyBorder="1" applyAlignment="1">
      <alignment horizontal="right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3" fontId="0" fillId="0" borderId="2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top"/>
    </xf>
    <xf numFmtId="0" fontId="18" fillId="6" borderId="21" xfId="0" applyFont="1" applyFill="1" applyBorder="1" applyAlignment="1">
      <alignment horizontal="center" vertical="top"/>
    </xf>
    <xf numFmtId="0" fontId="19" fillId="6" borderId="30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justify"/>
    </xf>
    <xf numFmtId="0" fontId="23" fillId="4" borderId="14" xfId="0" applyFont="1" applyFill="1" applyBorder="1" applyAlignment="1">
      <alignment horizontal="center" vertical="justify"/>
    </xf>
    <xf numFmtId="0" fontId="18" fillId="6" borderId="18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4" fillId="4" borderId="37" xfId="0" applyFont="1" applyFill="1" applyBorder="1" applyAlignment="1">
      <alignment horizontal="center" vertical="justify"/>
    </xf>
    <xf numFmtId="0" fontId="14" fillId="4" borderId="40" xfId="0" applyFont="1" applyFill="1" applyBorder="1" applyAlignment="1">
      <alignment horizontal="center" vertical="justify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22" fillId="4" borderId="4" xfId="0" applyFont="1" applyFill="1" applyBorder="1" applyAlignment="1">
      <alignment horizontal="right"/>
    </xf>
    <xf numFmtId="0" fontId="22" fillId="4" borderId="5" xfId="0" applyFont="1" applyFill="1" applyBorder="1" applyAlignment="1">
      <alignment horizontal="right"/>
    </xf>
    <xf numFmtId="0" fontId="27" fillId="0" borderId="0" xfId="0" applyFont="1" applyAlignment="1">
      <alignment horizontal="left" vertical="center" wrapText="1"/>
    </xf>
    <xf numFmtId="0" fontId="23" fillId="4" borderId="37" xfId="0" applyFont="1" applyFill="1" applyBorder="1" applyAlignment="1">
      <alignment horizontal="center" vertical="justify"/>
    </xf>
    <xf numFmtId="0" fontId="23" fillId="4" borderId="40" xfId="0" applyFont="1" applyFill="1" applyBorder="1" applyAlignment="1">
      <alignment horizontal="center" vertical="justify"/>
    </xf>
    <xf numFmtId="0" fontId="42" fillId="5" borderId="2" xfId="0" applyFont="1" applyFill="1" applyBorder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0</xdr:row>
      <xdr:rowOff>38100</xdr:rowOff>
    </xdr:from>
    <xdr:to>
      <xdr:col>11</xdr:col>
      <xdr:colOff>438150</xdr:colOff>
      <xdr:row>0</xdr:row>
      <xdr:rowOff>609600</xdr:rowOff>
    </xdr:to>
    <xdr:grpSp>
      <xdr:nvGrpSpPr>
        <xdr:cNvPr id="11" name="Grupo 12"/>
        <xdr:cNvGrpSpPr>
          <a:grpSpLocks/>
        </xdr:cNvGrpSpPr>
      </xdr:nvGrpSpPr>
      <xdr:grpSpPr bwMode="auto">
        <a:xfrm>
          <a:off x="9648825" y="38100"/>
          <a:ext cx="2409825" cy="571500"/>
          <a:chOff x="42881" y="15532"/>
          <a:chExt cx="13652" cy="4079"/>
        </a:xfrm>
      </xdr:grpSpPr>
      <xdr:sp macro="" textlink="">
        <xdr:nvSpPr>
          <xdr:cNvPr id="12" name="Caixa de Texto 2"/>
          <xdr:cNvSpPr txBox="1">
            <a:spLocks noChangeArrowheads="1"/>
          </xdr:cNvSpPr>
        </xdr:nvSpPr>
        <xdr:spPr bwMode="auto">
          <a:xfrm>
            <a:off x="42881" y="16356"/>
            <a:ext cx="6982" cy="307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800" b="1" i="0" u="none" strike="noStrike" kern="0" cap="none" spc="0" normalizeH="0" baseline="0" noProof="0">
                <a:ln>
                  <a:noFill/>
                </a:ln>
                <a:solidFill>
                  <a:srgbClr val="767171"/>
                </a:solidFill>
                <a:effectLst/>
                <a:uLnTx/>
                <a:uFillTx/>
                <a:latin typeface="Arial"/>
                <a:cs typeface="Arial"/>
              </a:rPr>
              <a:t>Secretaria de </a:t>
            </a:r>
            <a:endParaRPr kumimoji="0" lang="pt-BR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800" b="1" i="0" u="none" strike="noStrike" kern="0" cap="none" spc="0" normalizeH="0" baseline="0" noProof="0">
                <a:ln>
                  <a:noFill/>
                </a:ln>
                <a:solidFill>
                  <a:srgbClr val="767171"/>
                </a:solidFill>
                <a:effectLst/>
                <a:uLnTx/>
                <a:uFillTx/>
                <a:latin typeface="Arial"/>
                <a:cs typeface="Arial"/>
              </a:rPr>
              <a:t>Cultura e Turismo</a:t>
            </a:r>
          </a:p>
        </xdr:txBody>
      </xdr:sp>
      <xdr:pic>
        <xdr:nvPicPr>
          <xdr:cNvPr id="13" name="Imagem 12" descr="RTEmagicC_logo_prefeitura_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83" y="15532"/>
            <a:ext cx="6851" cy="40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0</xdr:row>
      <xdr:rowOff>165100</xdr:rowOff>
    </xdr:from>
    <xdr:to>
      <xdr:col>7</xdr:col>
      <xdr:colOff>962025</xdr:colOff>
      <xdr:row>0</xdr:row>
      <xdr:rowOff>736600</xdr:rowOff>
    </xdr:to>
    <xdr:grpSp>
      <xdr:nvGrpSpPr>
        <xdr:cNvPr id="2" name="Grupo 12"/>
        <xdr:cNvGrpSpPr>
          <a:grpSpLocks/>
        </xdr:cNvGrpSpPr>
      </xdr:nvGrpSpPr>
      <xdr:grpSpPr bwMode="auto">
        <a:xfrm>
          <a:off x="7851775" y="165100"/>
          <a:ext cx="2416175" cy="571500"/>
          <a:chOff x="42881" y="15532"/>
          <a:chExt cx="13652" cy="4079"/>
        </a:xfrm>
      </xdr:grpSpPr>
      <xdr:sp macro="" textlink="">
        <xdr:nvSpPr>
          <xdr:cNvPr id="3" name="Caixa de Texto 2"/>
          <xdr:cNvSpPr txBox="1">
            <a:spLocks noChangeArrowheads="1"/>
          </xdr:cNvSpPr>
        </xdr:nvSpPr>
        <xdr:spPr bwMode="auto">
          <a:xfrm>
            <a:off x="42881" y="16356"/>
            <a:ext cx="6982" cy="307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800" b="1" i="0" u="none" strike="noStrike" kern="0" cap="none" spc="0" normalizeH="0" baseline="0" noProof="0">
                <a:ln>
                  <a:noFill/>
                </a:ln>
                <a:solidFill>
                  <a:srgbClr val="767171"/>
                </a:solidFill>
                <a:effectLst/>
                <a:uLnTx/>
                <a:uFillTx/>
                <a:latin typeface="Arial"/>
                <a:cs typeface="Arial"/>
              </a:rPr>
              <a:t>Secretaria de </a:t>
            </a:r>
            <a:endParaRPr kumimoji="0" lang="pt-BR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800" b="1" i="0" u="none" strike="noStrike" kern="0" cap="none" spc="0" normalizeH="0" baseline="0" noProof="0">
                <a:ln>
                  <a:noFill/>
                </a:ln>
                <a:solidFill>
                  <a:srgbClr val="767171"/>
                </a:solidFill>
                <a:effectLst/>
                <a:uLnTx/>
                <a:uFillTx/>
                <a:latin typeface="Arial"/>
                <a:cs typeface="Arial"/>
              </a:rPr>
              <a:t>Cultura e Turismo</a:t>
            </a:r>
          </a:p>
        </xdr:txBody>
      </xdr:sp>
      <xdr:pic>
        <xdr:nvPicPr>
          <xdr:cNvPr id="4" name="Imagem 3" descr="RTEmagicC_logo_prefeitura_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83" y="15532"/>
            <a:ext cx="6851" cy="40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133350</xdr:rowOff>
    </xdr:from>
    <xdr:to>
      <xdr:col>7</xdr:col>
      <xdr:colOff>19050</xdr:colOff>
      <xdr:row>0</xdr:row>
      <xdr:rowOff>704850</xdr:rowOff>
    </xdr:to>
    <xdr:grpSp>
      <xdr:nvGrpSpPr>
        <xdr:cNvPr id="2" name="Grupo 12"/>
        <xdr:cNvGrpSpPr>
          <a:grpSpLocks/>
        </xdr:cNvGrpSpPr>
      </xdr:nvGrpSpPr>
      <xdr:grpSpPr bwMode="auto">
        <a:xfrm>
          <a:off x="7181850" y="133350"/>
          <a:ext cx="2409825" cy="571500"/>
          <a:chOff x="42881" y="15532"/>
          <a:chExt cx="13652" cy="4079"/>
        </a:xfrm>
      </xdr:grpSpPr>
      <xdr:sp macro="" textlink="">
        <xdr:nvSpPr>
          <xdr:cNvPr id="3" name="Caixa de Texto 2"/>
          <xdr:cNvSpPr txBox="1">
            <a:spLocks noChangeArrowheads="1"/>
          </xdr:cNvSpPr>
        </xdr:nvSpPr>
        <xdr:spPr bwMode="auto">
          <a:xfrm>
            <a:off x="42881" y="16356"/>
            <a:ext cx="6982" cy="307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800" b="1" i="0" u="none" strike="noStrike" kern="0" cap="none" spc="0" normalizeH="0" baseline="0" noProof="0">
                <a:ln>
                  <a:noFill/>
                </a:ln>
                <a:solidFill>
                  <a:srgbClr val="767171"/>
                </a:solidFill>
                <a:effectLst/>
                <a:uLnTx/>
                <a:uFillTx/>
                <a:latin typeface="Arial"/>
                <a:cs typeface="Arial"/>
              </a:rPr>
              <a:t>Secretaria de </a:t>
            </a:r>
            <a:endParaRPr kumimoji="0" lang="pt-BR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800" b="1" i="0" u="none" strike="noStrike" kern="0" cap="none" spc="0" normalizeH="0" baseline="0" noProof="0">
                <a:ln>
                  <a:noFill/>
                </a:ln>
                <a:solidFill>
                  <a:srgbClr val="767171"/>
                </a:solidFill>
                <a:effectLst/>
                <a:uLnTx/>
                <a:uFillTx/>
                <a:latin typeface="Arial"/>
                <a:cs typeface="Arial"/>
              </a:rPr>
              <a:t>Cultura e Turismo</a:t>
            </a:r>
          </a:p>
        </xdr:txBody>
      </xdr:sp>
      <xdr:pic>
        <xdr:nvPicPr>
          <xdr:cNvPr id="4" name="Imagem 3" descr="RTEmagicC_logo_prefeitura_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83" y="15532"/>
            <a:ext cx="6851" cy="40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133350</xdr:rowOff>
    </xdr:from>
    <xdr:to>
      <xdr:col>7</xdr:col>
      <xdr:colOff>19050</xdr:colOff>
      <xdr:row>0</xdr:row>
      <xdr:rowOff>704850</xdr:rowOff>
    </xdr:to>
    <xdr:grpSp>
      <xdr:nvGrpSpPr>
        <xdr:cNvPr id="2" name="Grupo 12"/>
        <xdr:cNvGrpSpPr>
          <a:grpSpLocks/>
        </xdr:cNvGrpSpPr>
      </xdr:nvGrpSpPr>
      <xdr:grpSpPr bwMode="auto">
        <a:xfrm>
          <a:off x="7181850" y="133350"/>
          <a:ext cx="2409825" cy="571500"/>
          <a:chOff x="42881" y="15532"/>
          <a:chExt cx="13652" cy="4079"/>
        </a:xfrm>
      </xdr:grpSpPr>
      <xdr:sp macro="" textlink="">
        <xdr:nvSpPr>
          <xdr:cNvPr id="3" name="Caixa de Texto 2"/>
          <xdr:cNvSpPr txBox="1">
            <a:spLocks noChangeArrowheads="1"/>
          </xdr:cNvSpPr>
        </xdr:nvSpPr>
        <xdr:spPr bwMode="auto">
          <a:xfrm>
            <a:off x="42881" y="16356"/>
            <a:ext cx="6982" cy="307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800" b="1" i="0" u="none" strike="noStrike" kern="0" cap="none" spc="0" normalizeH="0" baseline="0" noProof="0">
                <a:ln>
                  <a:noFill/>
                </a:ln>
                <a:solidFill>
                  <a:srgbClr val="767171"/>
                </a:solidFill>
                <a:effectLst/>
                <a:uLnTx/>
                <a:uFillTx/>
                <a:latin typeface="Arial"/>
                <a:cs typeface="Arial"/>
              </a:rPr>
              <a:t>Secretaria de </a:t>
            </a:r>
            <a:endParaRPr kumimoji="0" lang="pt-BR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800" b="1" i="0" u="none" strike="noStrike" kern="0" cap="none" spc="0" normalizeH="0" baseline="0" noProof="0">
                <a:ln>
                  <a:noFill/>
                </a:ln>
                <a:solidFill>
                  <a:srgbClr val="767171"/>
                </a:solidFill>
                <a:effectLst/>
                <a:uLnTx/>
                <a:uFillTx/>
                <a:latin typeface="Arial"/>
                <a:cs typeface="Arial"/>
              </a:rPr>
              <a:t>Cultura e Turismo</a:t>
            </a:r>
          </a:p>
        </xdr:txBody>
      </xdr:sp>
      <xdr:pic>
        <xdr:nvPicPr>
          <xdr:cNvPr id="4" name="Imagem 3" descr="RTEmagicC_logo_prefeitura_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83" y="15532"/>
            <a:ext cx="6851" cy="40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114300</xdr:rowOff>
    </xdr:from>
    <xdr:to>
      <xdr:col>7</xdr:col>
      <xdr:colOff>1000125</xdr:colOff>
      <xdr:row>0</xdr:row>
      <xdr:rowOff>685800</xdr:rowOff>
    </xdr:to>
    <xdr:grpSp>
      <xdr:nvGrpSpPr>
        <xdr:cNvPr id="2" name="Grupo 12"/>
        <xdr:cNvGrpSpPr>
          <a:grpSpLocks/>
        </xdr:cNvGrpSpPr>
      </xdr:nvGrpSpPr>
      <xdr:grpSpPr bwMode="auto">
        <a:xfrm>
          <a:off x="7896225" y="114300"/>
          <a:ext cx="2409825" cy="571500"/>
          <a:chOff x="42881" y="15532"/>
          <a:chExt cx="13652" cy="4079"/>
        </a:xfrm>
      </xdr:grpSpPr>
      <xdr:sp macro="" textlink="">
        <xdr:nvSpPr>
          <xdr:cNvPr id="3" name="Caixa de Texto 2"/>
          <xdr:cNvSpPr txBox="1">
            <a:spLocks noChangeArrowheads="1"/>
          </xdr:cNvSpPr>
        </xdr:nvSpPr>
        <xdr:spPr bwMode="auto">
          <a:xfrm>
            <a:off x="42881" y="16356"/>
            <a:ext cx="6982" cy="307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800" b="1" i="0" u="none" strike="noStrike" kern="0" cap="none" spc="0" normalizeH="0" baseline="0" noProof="0">
                <a:ln>
                  <a:noFill/>
                </a:ln>
                <a:solidFill>
                  <a:srgbClr val="767171"/>
                </a:solidFill>
                <a:effectLst/>
                <a:uLnTx/>
                <a:uFillTx/>
                <a:latin typeface="Arial"/>
                <a:cs typeface="Arial"/>
              </a:rPr>
              <a:t>Secretaria de </a:t>
            </a:r>
            <a:endParaRPr kumimoji="0" lang="pt-BR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800" b="1" i="0" u="none" strike="noStrike" kern="0" cap="none" spc="0" normalizeH="0" baseline="0" noProof="0">
                <a:ln>
                  <a:noFill/>
                </a:ln>
                <a:solidFill>
                  <a:srgbClr val="767171"/>
                </a:solidFill>
                <a:effectLst/>
                <a:uLnTx/>
                <a:uFillTx/>
                <a:latin typeface="Arial"/>
                <a:cs typeface="Arial"/>
              </a:rPr>
              <a:t>Cultura e Turismo</a:t>
            </a:r>
          </a:p>
        </xdr:txBody>
      </xdr:sp>
      <xdr:pic>
        <xdr:nvPicPr>
          <xdr:cNvPr id="4" name="Imagem 3" descr="RTEmagicC_logo_prefeitura_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83" y="15532"/>
            <a:ext cx="6851" cy="40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1" workbookViewId="0">
      <selection activeCell="D8" sqref="D8"/>
    </sheetView>
  </sheetViews>
  <sheetFormatPr defaultRowHeight="15" x14ac:dyDescent="0.25"/>
  <cols>
    <col min="1" max="1" width="14" customWidth="1"/>
    <col min="2" max="2" width="17.5703125" customWidth="1"/>
    <col min="3" max="3" width="106.5703125" customWidth="1"/>
    <col min="4" max="6" width="13.42578125" customWidth="1"/>
    <col min="7" max="7" width="15.140625" customWidth="1"/>
    <col min="9" max="9" width="92.7109375" customWidth="1"/>
  </cols>
  <sheetData>
    <row r="1" spans="1:9" ht="60" customHeight="1" x14ac:dyDescent="0.25">
      <c r="D1" s="8" t="s">
        <v>39</v>
      </c>
      <c r="E1" s="8"/>
      <c r="F1" s="8"/>
      <c r="G1" s="2" t="s">
        <v>2</v>
      </c>
      <c r="H1" s="4" t="s">
        <v>38</v>
      </c>
    </row>
    <row r="2" spans="1:9" x14ac:dyDescent="0.25">
      <c r="A2" t="s">
        <v>85</v>
      </c>
      <c r="B2" s="9"/>
      <c r="C2" s="9" t="s">
        <v>15</v>
      </c>
      <c r="D2" s="9" t="s">
        <v>98</v>
      </c>
      <c r="E2" s="9" t="s">
        <v>99</v>
      </c>
      <c r="F2" s="9" t="s">
        <v>100</v>
      </c>
      <c r="G2" s="9"/>
      <c r="H2" s="9"/>
    </row>
    <row r="3" spans="1:9" ht="68.25" customHeight="1" x14ac:dyDescent="0.25">
      <c r="A3" t="s">
        <v>72</v>
      </c>
      <c r="B3" s="8" t="s">
        <v>39</v>
      </c>
      <c r="C3" s="7" t="s">
        <v>51</v>
      </c>
      <c r="D3" s="5">
        <f>2000000+3500000</f>
        <v>5500000</v>
      </c>
      <c r="E3" s="5">
        <f>18936477</f>
        <v>18936477</v>
      </c>
      <c r="F3" s="5">
        <f>D3+E3</f>
        <v>24436477</v>
      </c>
      <c r="G3" s="2"/>
      <c r="H3" s="4"/>
      <c r="I3" s="14" t="s">
        <v>63</v>
      </c>
    </row>
    <row r="4" spans="1:9" ht="17.25" customHeight="1" x14ac:dyDescent="0.25">
      <c r="A4" t="s">
        <v>73</v>
      </c>
      <c r="B4" s="8" t="s">
        <v>40</v>
      </c>
      <c r="C4" t="s">
        <v>24</v>
      </c>
      <c r="D4" s="15">
        <v>750000</v>
      </c>
      <c r="E4" s="15"/>
      <c r="F4" s="5">
        <f t="shared" ref="F4:F28" si="0">D4+E4</f>
        <v>750000</v>
      </c>
      <c r="G4" s="2"/>
      <c r="H4" s="4"/>
    </row>
    <row r="5" spans="1:9" x14ac:dyDescent="0.25">
      <c r="A5" t="s">
        <v>74</v>
      </c>
      <c r="B5" t="s">
        <v>40</v>
      </c>
      <c r="C5" t="s">
        <v>25</v>
      </c>
      <c r="D5" s="15">
        <v>750000</v>
      </c>
      <c r="E5" s="15"/>
      <c r="F5" s="5">
        <f t="shared" si="0"/>
        <v>750000</v>
      </c>
      <c r="G5" s="2"/>
      <c r="H5" s="4"/>
    </row>
    <row r="6" spans="1:9" x14ac:dyDescent="0.25">
      <c r="A6" t="s">
        <v>75</v>
      </c>
      <c r="B6" t="s">
        <v>40</v>
      </c>
      <c r="C6" t="s">
        <v>26</v>
      </c>
      <c r="D6" s="1">
        <v>50000</v>
      </c>
      <c r="E6" s="1"/>
      <c r="F6" s="5">
        <f t="shared" si="0"/>
        <v>50000</v>
      </c>
      <c r="G6" s="2"/>
      <c r="H6" s="4"/>
    </row>
    <row r="7" spans="1:9" x14ac:dyDescent="0.25">
      <c r="A7" t="s">
        <v>76</v>
      </c>
      <c r="B7" t="s">
        <v>40</v>
      </c>
      <c r="C7" t="s">
        <v>27</v>
      </c>
      <c r="D7" s="15">
        <v>170000</v>
      </c>
      <c r="E7" s="15">
        <v>10000000</v>
      </c>
      <c r="F7" s="5">
        <f t="shared" si="0"/>
        <v>10170000</v>
      </c>
      <c r="G7" s="2"/>
      <c r="H7" s="4"/>
    </row>
    <row r="8" spans="1:9" x14ac:dyDescent="0.25">
      <c r="A8" t="s">
        <v>77</v>
      </c>
      <c r="B8" t="s">
        <v>40</v>
      </c>
      <c r="C8" t="s">
        <v>28</v>
      </c>
      <c r="D8" s="15">
        <v>33000000</v>
      </c>
      <c r="E8" s="15"/>
      <c r="F8" s="5">
        <f t="shared" si="0"/>
        <v>33000000</v>
      </c>
      <c r="G8" s="2"/>
      <c r="H8" s="4"/>
    </row>
    <row r="9" spans="1:9" x14ac:dyDescent="0.25">
      <c r="A9" t="s">
        <v>78</v>
      </c>
      <c r="B9" t="s">
        <v>40</v>
      </c>
      <c r="C9" t="s">
        <v>29</v>
      </c>
      <c r="D9" s="15">
        <v>1530000</v>
      </c>
      <c r="E9" s="15"/>
      <c r="F9" s="5">
        <f t="shared" si="0"/>
        <v>1530000</v>
      </c>
      <c r="G9" s="2"/>
      <c r="H9" s="4"/>
    </row>
    <row r="10" spans="1:9" x14ac:dyDescent="0.25">
      <c r="A10" t="s">
        <v>79</v>
      </c>
      <c r="B10" t="s">
        <v>40</v>
      </c>
      <c r="C10" t="s">
        <v>30</v>
      </c>
      <c r="D10" s="15">
        <v>300000</v>
      </c>
      <c r="E10" s="15">
        <v>11000000</v>
      </c>
      <c r="F10" s="5">
        <f t="shared" si="0"/>
        <v>11300000</v>
      </c>
      <c r="G10" s="2"/>
      <c r="H10" s="4"/>
    </row>
    <row r="11" spans="1:9" x14ac:dyDescent="0.25">
      <c r="A11" t="s">
        <v>80</v>
      </c>
      <c r="B11" t="s">
        <v>40</v>
      </c>
      <c r="C11" t="s">
        <v>31</v>
      </c>
      <c r="D11" s="1">
        <v>4500000</v>
      </c>
      <c r="E11" s="1"/>
      <c r="F11" s="5">
        <f t="shared" si="0"/>
        <v>4500000</v>
      </c>
      <c r="G11" s="2"/>
      <c r="H11" s="4"/>
    </row>
    <row r="12" spans="1:9" x14ac:dyDescent="0.25">
      <c r="A12" t="s">
        <v>81</v>
      </c>
      <c r="B12" t="s">
        <v>40</v>
      </c>
      <c r="C12" t="s">
        <v>32</v>
      </c>
      <c r="D12" s="1"/>
      <c r="E12" s="1">
        <v>500000</v>
      </c>
      <c r="F12" s="5">
        <f t="shared" si="0"/>
        <v>500000</v>
      </c>
      <c r="G12" s="2"/>
      <c r="H12" s="10"/>
    </row>
    <row r="13" spans="1:9" ht="30" x14ac:dyDescent="0.25">
      <c r="B13" s="4" t="s">
        <v>38</v>
      </c>
      <c r="C13" s="11" t="s">
        <v>54</v>
      </c>
      <c r="D13" s="1"/>
      <c r="E13" s="1"/>
      <c r="F13" s="5">
        <f t="shared" si="0"/>
        <v>0</v>
      </c>
      <c r="G13" s="2"/>
      <c r="H13" s="10">
        <v>200000</v>
      </c>
    </row>
    <row r="14" spans="1:9" x14ac:dyDescent="0.25">
      <c r="B14" s="4" t="s">
        <v>38</v>
      </c>
      <c r="C14" s="4" t="s">
        <v>48</v>
      </c>
      <c r="D14" s="1"/>
      <c r="E14" s="1"/>
      <c r="F14" s="5">
        <f t="shared" si="0"/>
        <v>0</v>
      </c>
      <c r="G14" s="2"/>
      <c r="H14" s="10">
        <v>200000</v>
      </c>
    </row>
    <row r="15" spans="1:9" x14ac:dyDescent="0.25">
      <c r="B15" s="4" t="s">
        <v>38</v>
      </c>
      <c r="C15" s="4" t="s">
        <v>55</v>
      </c>
      <c r="D15" s="1"/>
      <c r="E15" s="1"/>
      <c r="F15" s="5">
        <f t="shared" si="0"/>
        <v>0</v>
      </c>
      <c r="G15" s="2"/>
      <c r="H15" s="10">
        <v>100000</v>
      </c>
    </row>
    <row r="16" spans="1:9" x14ac:dyDescent="0.25">
      <c r="A16" t="s">
        <v>82</v>
      </c>
      <c r="B16" t="s">
        <v>40</v>
      </c>
      <c r="C16" t="s">
        <v>33</v>
      </c>
      <c r="D16" s="1">
        <v>650000</v>
      </c>
      <c r="E16" s="1"/>
      <c r="F16" s="5">
        <f t="shared" si="0"/>
        <v>650000</v>
      </c>
      <c r="G16" s="2"/>
      <c r="H16" s="4"/>
      <c r="I16" t="s">
        <v>101</v>
      </c>
    </row>
    <row r="17" spans="1:9" x14ac:dyDescent="0.25">
      <c r="A17" t="s">
        <v>83</v>
      </c>
      <c r="B17" t="s">
        <v>40</v>
      </c>
      <c r="C17" t="s">
        <v>34</v>
      </c>
      <c r="D17" s="1">
        <v>500000</v>
      </c>
      <c r="E17" s="1"/>
      <c r="F17" s="5">
        <f t="shared" si="0"/>
        <v>500000</v>
      </c>
      <c r="G17" s="2"/>
      <c r="H17" s="4"/>
    </row>
    <row r="18" spans="1:9" ht="19.5" customHeight="1" x14ac:dyDescent="0.25">
      <c r="B18" s="2" t="s">
        <v>2</v>
      </c>
      <c r="C18" s="16" t="s">
        <v>53</v>
      </c>
      <c r="F18" s="5">
        <f t="shared" si="0"/>
        <v>0</v>
      </c>
      <c r="G18" s="13" t="s">
        <v>58</v>
      </c>
      <c r="H18" s="4"/>
    </row>
    <row r="19" spans="1:9" ht="16.5" customHeight="1" x14ac:dyDescent="0.25">
      <c r="B19" s="2" t="s">
        <v>2</v>
      </c>
      <c r="C19" s="2" t="s">
        <v>42</v>
      </c>
      <c r="F19" s="5">
        <f t="shared" si="0"/>
        <v>0</v>
      </c>
      <c r="G19" s="13" t="s">
        <v>58</v>
      </c>
      <c r="H19" s="4"/>
      <c r="I19" t="s">
        <v>64</v>
      </c>
    </row>
    <row r="20" spans="1:9" ht="15.75" customHeight="1" x14ac:dyDescent="0.25">
      <c r="B20" s="2" t="s">
        <v>2</v>
      </c>
      <c r="C20" s="16" t="s">
        <v>43</v>
      </c>
      <c r="F20" s="5">
        <f t="shared" si="0"/>
        <v>0</v>
      </c>
      <c r="G20" s="17" t="s">
        <v>58</v>
      </c>
      <c r="H20" s="4"/>
      <c r="I20" t="s">
        <v>106</v>
      </c>
    </row>
    <row r="21" spans="1:9" s="3" customFormat="1" ht="42" customHeight="1" x14ac:dyDescent="0.25">
      <c r="B21" s="33" t="s">
        <v>38</v>
      </c>
      <c r="C21" s="11" t="s">
        <v>46</v>
      </c>
      <c r="F21" s="5">
        <f t="shared" si="0"/>
        <v>0</v>
      </c>
      <c r="G21" s="2"/>
      <c r="H21" s="10">
        <v>1100000</v>
      </c>
      <c r="I21" s="18" t="s">
        <v>65</v>
      </c>
    </row>
    <row r="22" spans="1:9" x14ac:dyDescent="0.25">
      <c r="B22" s="2" t="s">
        <v>2</v>
      </c>
      <c r="C22" s="2" t="s">
        <v>37</v>
      </c>
      <c r="D22" s="1"/>
      <c r="E22" s="1"/>
      <c r="F22" s="5">
        <f t="shared" si="0"/>
        <v>0</v>
      </c>
      <c r="G22" s="19">
        <v>50000</v>
      </c>
      <c r="H22" s="4"/>
      <c r="I22" t="s">
        <v>67</v>
      </c>
    </row>
    <row r="23" spans="1:9" ht="12" customHeight="1" x14ac:dyDescent="0.25">
      <c r="B23" s="2" t="s">
        <v>2</v>
      </c>
      <c r="C23" s="2" t="s">
        <v>41</v>
      </c>
      <c r="F23" s="5">
        <f t="shared" si="0"/>
        <v>0</v>
      </c>
      <c r="G23" s="17" t="s">
        <v>58</v>
      </c>
      <c r="H23" s="4"/>
      <c r="I23" t="s">
        <v>66</v>
      </c>
    </row>
    <row r="24" spans="1:9" s="3" customFormat="1" x14ac:dyDescent="0.25">
      <c r="A24" s="3" t="s">
        <v>84</v>
      </c>
      <c r="B24" s="3" t="s">
        <v>40</v>
      </c>
      <c r="C24" s="3" t="s">
        <v>47</v>
      </c>
      <c r="D24" s="5"/>
      <c r="E24" s="5">
        <f>250000*3</f>
        <v>750000</v>
      </c>
      <c r="F24" s="5">
        <f t="shared" si="0"/>
        <v>750000</v>
      </c>
      <c r="G24" s="2"/>
      <c r="H24" s="509">
        <v>450000</v>
      </c>
    </row>
    <row r="25" spans="1:9" s="3" customFormat="1" ht="45" x14ac:dyDescent="0.25">
      <c r="A25" s="3" t="s">
        <v>86</v>
      </c>
      <c r="B25" s="3" t="s">
        <v>40</v>
      </c>
      <c r="C25" s="7" t="s">
        <v>52</v>
      </c>
      <c r="D25" s="5">
        <v>1000000</v>
      </c>
      <c r="E25" s="5">
        <v>300000</v>
      </c>
      <c r="F25" s="5">
        <f t="shared" si="0"/>
        <v>1300000</v>
      </c>
      <c r="G25" s="2"/>
      <c r="H25" s="509"/>
    </row>
    <row r="26" spans="1:9" s="3" customFormat="1" ht="29.25" customHeight="1" x14ac:dyDescent="0.25">
      <c r="B26" s="4" t="s">
        <v>38</v>
      </c>
      <c r="C26" s="34" t="s">
        <v>61</v>
      </c>
      <c r="F26" s="5">
        <f t="shared" si="0"/>
        <v>0</v>
      </c>
      <c r="G26" s="2"/>
      <c r="H26" s="10">
        <v>2180000</v>
      </c>
    </row>
    <row r="27" spans="1:9" s="3" customFormat="1" ht="30" x14ac:dyDescent="0.25">
      <c r="B27" s="4" t="s">
        <v>38</v>
      </c>
      <c r="C27" s="11" t="s">
        <v>62</v>
      </c>
      <c r="F27" s="5">
        <f t="shared" si="0"/>
        <v>0</v>
      </c>
      <c r="G27" s="2"/>
      <c r="H27" s="10">
        <v>1900000</v>
      </c>
      <c r="I27" s="30" t="s">
        <v>93</v>
      </c>
    </row>
    <row r="28" spans="1:9" s="3" customFormat="1" x14ac:dyDescent="0.25">
      <c r="B28" s="4" t="s">
        <v>38</v>
      </c>
      <c r="C28" s="11" t="s">
        <v>56</v>
      </c>
      <c r="F28" s="5">
        <f t="shared" si="0"/>
        <v>0</v>
      </c>
      <c r="G28" s="2"/>
      <c r="H28" s="10">
        <v>225000</v>
      </c>
      <c r="I28" s="3" t="s">
        <v>94</v>
      </c>
    </row>
    <row r="29" spans="1:9" x14ac:dyDescent="0.25">
      <c r="B29" s="9"/>
      <c r="C29" s="9" t="s">
        <v>6</v>
      </c>
      <c r="D29" s="9"/>
      <c r="E29" s="9"/>
      <c r="F29" s="9"/>
      <c r="G29" s="9"/>
      <c r="H29" s="9"/>
    </row>
    <row r="30" spans="1:9" ht="30" x14ac:dyDescent="0.25">
      <c r="A30" s="514" t="s">
        <v>87</v>
      </c>
      <c r="B30" t="s">
        <v>40</v>
      </c>
      <c r="C30" s="8" t="s">
        <v>49</v>
      </c>
      <c r="D30" s="510">
        <v>1000000</v>
      </c>
      <c r="E30" s="12"/>
      <c r="F30" s="12"/>
      <c r="G30" s="2"/>
      <c r="H30" s="511">
        <v>575000</v>
      </c>
    </row>
    <row r="31" spans="1:9" x14ac:dyDescent="0.25">
      <c r="A31" s="514"/>
      <c r="B31" t="s">
        <v>40</v>
      </c>
      <c r="C31" t="s">
        <v>4</v>
      </c>
      <c r="D31" s="510"/>
      <c r="E31" s="12"/>
      <c r="F31" s="12"/>
      <c r="G31" s="2"/>
      <c r="H31" s="511"/>
      <c r="I31" s="1"/>
    </row>
    <row r="32" spans="1:9" x14ac:dyDescent="0.25">
      <c r="A32" t="s">
        <v>88</v>
      </c>
      <c r="B32" t="s">
        <v>40</v>
      </c>
      <c r="C32" t="s">
        <v>5</v>
      </c>
      <c r="D32" s="1">
        <v>250000</v>
      </c>
      <c r="E32" s="1"/>
      <c r="F32" s="1"/>
      <c r="G32" s="2"/>
      <c r="H32" s="4"/>
    </row>
    <row r="33" spans="1:9" x14ac:dyDescent="0.25">
      <c r="B33" s="9"/>
      <c r="C33" s="9" t="s">
        <v>9</v>
      </c>
      <c r="D33" s="9"/>
      <c r="E33" s="9"/>
      <c r="F33" s="9"/>
      <c r="G33" s="9"/>
      <c r="H33" s="9"/>
    </row>
    <row r="34" spans="1:9" x14ac:dyDescent="0.25">
      <c r="A34" t="s">
        <v>89</v>
      </c>
      <c r="B34" t="s">
        <v>40</v>
      </c>
      <c r="C34" t="s">
        <v>10</v>
      </c>
      <c r="D34" s="1">
        <v>280000</v>
      </c>
      <c r="E34" s="1"/>
      <c r="F34" s="1"/>
      <c r="G34" s="6">
        <v>100000</v>
      </c>
      <c r="H34" s="10">
        <v>850000</v>
      </c>
    </row>
    <row r="35" spans="1:9" x14ac:dyDescent="0.25">
      <c r="A35" t="s">
        <v>90</v>
      </c>
      <c r="B35" t="s">
        <v>40</v>
      </c>
      <c r="C35" t="s">
        <v>12</v>
      </c>
      <c r="D35" s="1">
        <v>50000</v>
      </c>
      <c r="E35" s="1"/>
      <c r="F35" s="1"/>
      <c r="G35" s="2"/>
      <c r="H35" s="4"/>
    </row>
    <row r="36" spans="1:9" x14ac:dyDescent="0.25">
      <c r="A36" t="s">
        <v>91</v>
      </c>
      <c r="B36" t="s">
        <v>40</v>
      </c>
      <c r="C36" t="s">
        <v>35</v>
      </c>
      <c r="D36" s="1">
        <v>200000</v>
      </c>
      <c r="E36" s="1"/>
      <c r="F36" s="1"/>
      <c r="G36" s="6"/>
      <c r="H36" s="4"/>
    </row>
    <row r="37" spans="1:9" x14ac:dyDescent="0.25">
      <c r="B37" s="2" t="s">
        <v>2</v>
      </c>
      <c r="C37" s="2" t="s">
        <v>108</v>
      </c>
      <c r="D37" s="1"/>
      <c r="E37" s="1"/>
      <c r="F37" s="1"/>
      <c r="G37" s="6">
        <v>200000</v>
      </c>
      <c r="H37" s="4"/>
      <c r="I37" t="s">
        <v>95</v>
      </c>
    </row>
    <row r="38" spans="1:9" x14ac:dyDescent="0.25">
      <c r="B38" s="2" t="s">
        <v>2</v>
      </c>
      <c r="C38" s="2" t="s">
        <v>36</v>
      </c>
      <c r="D38" s="1"/>
      <c r="E38" s="1"/>
      <c r="F38" s="1"/>
      <c r="G38" s="13" t="s">
        <v>58</v>
      </c>
      <c r="H38" s="4"/>
    </row>
    <row r="39" spans="1:9" x14ac:dyDescent="0.25">
      <c r="A39" t="s">
        <v>96</v>
      </c>
      <c r="B39" t="s">
        <v>40</v>
      </c>
      <c r="C39" t="s">
        <v>13</v>
      </c>
      <c r="D39" s="1">
        <v>150000</v>
      </c>
      <c r="E39" s="1"/>
      <c r="F39" s="1"/>
      <c r="G39" s="2"/>
      <c r="H39" s="4"/>
    </row>
    <row r="40" spans="1:9" x14ac:dyDescent="0.25">
      <c r="A40" t="s">
        <v>97</v>
      </c>
      <c r="B40" t="s">
        <v>40</v>
      </c>
      <c r="C40" t="s">
        <v>14</v>
      </c>
      <c r="D40" s="1">
        <v>100000</v>
      </c>
      <c r="E40" s="1"/>
      <c r="F40" s="1"/>
      <c r="G40" s="2"/>
      <c r="H40" s="4"/>
    </row>
    <row r="41" spans="1:9" ht="30" x14ac:dyDescent="0.25">
      <c r="B41" s="2" t="s">
        <v>2</v>
      </c>
      <c r="C41" s="13" t="s">
        <v>57</v>
      </c>
      <c r="D41" s="1"/>
      <c r="E41" s="1"/>
      <c r="F41" s="1"/>
      <c r="G41" s="13" t="s">
        <v>58</v>
      </c>
      <c r="H41" s="4"/>
    </row>
    <row r="42" spans="1:9" ht="30" x14ac:dyDescent="0.25">
      <c r="B42" s="4" t="s">
        <v>38</v>
      </c>
      <c r="C42" s="11" t="s">
        <v>50</v>
      </c>
      <c r="D42" s="1"/>
      <c r="E42" s="1"/>
      <c r="F42" s="1"/>
      <c r="G42" s="2"/>
      <c r="H42" s="10">
        <v>365000</v>
      </c>
      <c r="I42" s="14" t="s">
        <v>105</v>
      </c>
    </row>
    <row r="43" spans="1:9" x14ac:dyDescent="0.25">
      <c r="B43" s="9"/>
      <c r="C43" s="9" t="s">
        <v>0</v>
      </c>
      <c r="D43" s="9"/>
      <c r="E43" s="9"/>
      <c r="F43" s="9"/>
      <c r="G43" s="9"/>
      <c r="H43" s="9"/>
    </row>
    <row r="44" spans="1:9" ht="15.75" thickBot="1" x14ac:dyDescent="0.3">
      <c r="A44" t="s">
        <v>102</v>
      </c>
      <c r="B44" t="s">
        <v>40</v>
      </c>
      <c r="C44" s="32" t="s">
        <v>8</v>
      </c>
      <c r="D44" s="1">
        <v>1500000</v>
      </c>
      <c r="E44" s="1"/>
      <c r="F44" s="1"/>
      <c r="G44" s="2"/>
      <c r="H44" s="4"/>
    </row>
    <row r="45" spans="1:9" x14ac:dyDescent="0.25">
      <c r="B45" s="20" t="s">
        <v>2</v>
      </c>
      <c r="C45" s="21" t="s">
        <v>7</v>
      </c>
      <c r="D45" s="22"/>
      <c r="E45" s="22"/>
      <c r="F45" s="22"/>
      <c r="G45" s="23">
        <v>20000</v>
      </c>
      <c r="H45" s="24"/>
      <c r="I45" s="512" t="s">
        <v>68</v>
      </c>
    </row>
    <row r="46" spans="1:9" ht="15.75" thickBot="1" x14ac:dyDescent="0.3">
      <c r="B46" s="25" t="s">
        <v>2</v>
      </c>
      <c r="C46" s="26" t="s">
        <v>11</v>
      </c>
      <c r="D46" s="27"/>
      <c r="E46" s="27"/>
      <c r="F46" s="27"/>
      <c r="G46" s="28">
        <v>100000</v>
      </c>
      <c r="H46" s="29"/>
      <c r="I46" s="513"/>
    </row>
    <row r="47" spans="1:9" x14ac:dyDescent="0.25">
      <c r="B47" s="9"/>
      <c r="C47" s="9" t="s">
        <v>3</v>
      </c>
      <c r="D47" s="9"/>
      <c r="E47" s="9"/>
      <c r="F47" s="9"/>
      <c r="G47" s="9"/>
      <c r="H47" s="9"/>
    </row>
    <row r="48" spans="1:9" x14ac:dyDescent="0.25">
      <c r="A48" s="508" t="s">
        <v>107</v>
      </c>
      <c r="B48" s="2" t="s">
        <v>2</v>
      </c>
      <c r="C48" s="2" t="s">
        <v>45</v>
      </c>
      <c r="G48" s="13" t="s">
        <v>58</v>
      </c>
      <c r="H48" s="4"/>
      <c r="I48" t="s">
        <v>69</v>
      </c>
    </row>
    <row r="49" spans="1:9" x14ac:dyDescent="0.25">
      <c r="A49" s="508"/>
      <c r="B49" s="2" t="s">
        <v>2</v>
      </c>
      <c r="C49" s="31" t="s">
        <v>59</v>
      </c>
      <c r="D49" s="1"/>
      <c r="E49" s="1"/>
      <c r="F49" s="1"/>
      <c r="G49" s="6">
        <v>70000</v>
      </c>
      <c r="H49" s="4"/>
      <c r="I49" t="s">
        <v>70</v>
      </c>
    </row>
    <row r="50" spans="1:9" x14ac:dyDescent="0.25">
      <c r="A50" s="508"/>
      <c r="B50" s="2" t="s">
        <v>2</v>
      </c>
      <c r="C50" s="2" t="s">
        <v>44</v>
      </c>
      <c r="G50" s="13" t="s">
        <v>58</v>
      </c>
      <c r="H50" s="4"/>
      <c r="I50" t="s">
        <v>71</v>
      </c>
    </row>
    <row r="51" spans="1:9" x14ac:dyDescent="0.25">
      <c r="A51" s="508"/>
      <c r="B51" s="2" t="s">
        <v>2</v>
      </c>
      <c r="C51" s="2" t="s">
        <v>60</v>
      </c>
      <c r="D51" s="1"/>
      <c r="E51" s="1"/>
      <c r="F51" s="1"/>
      <c r="G51" s="6">
        <v>50000</v>
      </c>
      <c r="H51" s="4"/>
      <c r="I51" t="s">
        <v>69</v>
      </c>
    </row>
    <row r="52" spans="1:9" x14ac:dyDescent="0.25">
      <c r="A52" t="s">
        <v>103</v>
      </c>
      <c r="B52" t="s">
        <v>40</v>
      </c>
      <c r="C52" t="s">
        <v>22</v>
      </c>
      <c r="D52" s="1">
        <v>500000</v>
      </c>
      <c r="E52" s="1"/>
      <c r="F52" s="1"/>
      <c r="G52" s="2"/>
      <c r="H52" s="4"/>
    </row>
    <row r="53" spans="1:9" x14ac:dyDescent="0.25">
      <c r="A53" t="s">
        <v>104</v>
      </c>
      <c r="B53" t="s">
        <v>40</v>
      </c>
      <c r="C53" t="s">
        <v>23</v>
      </c>
      <c r="D53" s="1">
        <v>250000</v>
      </c>
      <c r="E53" s="1"/>
      <c r="F53" s="1"/>
      <c r="G53" s="2"/>
      <c r="H53" s="4"/>
    </row>
    <row r="54" spans="1:9" x14ac:dyDescent="0.25">
      <c r="B54" s="9"/>
      <c r="C54" s="9" t="s">
        <v>16</v>
      </c>
      <c r="D54" s="9"/>
      <c r="E54" s="9"/>
      <c r="F54" s="9"/>
      <c r="G54" s="9"/>
      <c r="H54" s="9"/>
    </row>
    <row r="55" spans="1:9" x14ac:dyDescent="0.25">
      <c r="B55" t="s">
        <v>40</v>
      </c>
      <c r="C55" t="s">
        <v>1</v>
      </c>
      <c r="D55" s="1">
        <v>786129</v>
      </c>
      <c r="E55" s="1"/>
      <c r="F55" s="1"/>
      <c r="G55" s="2"/>
      <c r="H55" s="4"/>
    </row>
    <row r="56" spans="1:9" x14ac:dyDescent="0.25">
      <c r="B56" t="s">
        <v>40</v>
      </c>
      <c r="C56" t="s">
        <v>17</v>
      </c>
      <c r="D56" s="1">
        <v>200000</v>
      </c>
      <c r="E56" s="1"/>
      <c r="F56" s="1"/>
      <c r="G56" s="2"/>
      <c r="H56" s="4"/>
    </row>
    <row r="57" spans="1:9" x14ac:dyDescent="0.25">
      <c r="B57" t="s">
        <v>40</v>
      </c>
      <c r="C57" t="s">
        <v>18</v>
      </c>
      <c r="D57" s="1">
        <v>3800000</v>
      </c>
      <c r="E57" s="1"/>
      <c r="F57" s="1"/>
      <c r="G57" s="2"/>
      <c r="H57" s="4"/>
    </row>
    <row r="58" spans="1:9" x14ac:dyDescent="0.25">
      <c r="B58" t="s">
        <v>40</v>
      </c>
      <c r="C58" t="s">
        <v>19</v>
      </c>
      <c r="D58" s="1">
        <v>2000000</v>
      </c>
      <c r="E58" s="1"/>
      <c r="F58" s="1"/>
      <c r="G58" s="2"/>
      <c r="H58" s="4"/>
    </row>
    <row r="59" spans="1:9" x14ac:dyDescent="0.25">
      <c r="B59" t="s">
        <v>40</v>
      </c>
      <c r="C59" t="s">
        <v>20</v>
      </c>
      <c r="D59" s="1">
        <v>875864</v>
      </c>
      <c r="E59" s="1"/>
      <c r="F59" s="1"/>
      <c r="G59" s="2"/>
      <c r="H59" s="4"/>
    </row>
    <row r="60" spans="1:9" x14ac:dyDescent="0.25">
      <c r="B60" t="s">
        <v>40</v>
      </c>
      <c r="C60" t="s">
        <v>21</v>
      </c>
      <c r="D60" s="1">
        <v>200000</v>
      </c>
      <c r="E60" s="1"/>
      <c r="F60" s="1"/>
      <c r="G60" s="2"/>
      <c r="H60" s="4"/>
    </row>
  </sheetData>
  <mergeCells count="6">
    <mergeCell ref="A48:A51"/>
    <mergeCell ref="H24:H25"/>
    <mergeCell ref="D30:D31"/>
    <mergeCell ref="H30:H31"/>
    <mergeCell ref="I45:I46"/>
    <mergeCell ref="A30:A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opLeftCell="B10" workbookViewId="0">
      <selection activeCell="E43" sqref="E43"/>
    </sheetView>
  </sheetViews>
  <sheetFormatPr defaultRowHeight="15" x14ac:dyDescent="0.25"/>
  <cols>
    <col min="1" max="1" width="12" hidden="1" customWidth="1"/>
    <col min="2" max="2" width="5" style="52" customWidth="1"/>
    <col min="3" max="3" width="7.5703125" customWidth="1"/>
    <col min="4" max="4" width="11.28515625" customWidth="1"/>
    <col min="5" max="5" width="84.5703125" customWidth="1"/>
    <col min="6" max="8" width="13.42578125" customWidth="1"/>
    <col min="9" max="9" width="15.140625" customWidth="1"/>
    <col min="11" max="11" width="92.7109375" hidden="1" customWidth="1"/>
    <col min="16" max="16" width="15.85546875" bestFit="1" customWidth="1"/>
  </cols>
  <sheetData>
    <row r="1" spans="1:12" ht="47.25" customHeight="1" thickBot="1" x14ac:dyDescent="0.3">
      <c r="C1" s="544" t="s">
        <v>171</v>
      </c>
      <c r="D1" s="544"/>
      <c r="E1" s="544"/>
      <c r="F1" s="544"/>
      <c r="G1" s="544"/>
      <c r="H1" s="544"/>
      <c r="I1" s="51"/>
      <c r="J1" s="51"/>
      <c r="K1" s="52"/>
      <c r="L1" s="52"/>
    </row>
    <row r="2" spans="1:12" ht="30" customHeight="1" x14ac:dyDescent="0.25">
      <c r="A2" s="9" t="s">
        <v>85</v>
      </c>
      <c r="C2" s="545" t="s">
        <v>112</v>
      </c>
      <c r="D2" s="545" t="s">
        <v>116</v>
      </c>
      <c r="E2" s="111" t="s">
        <v>117</v>
      </c>
      <c r="F2" s="109" t="s">
        <v>98</v>
      </c>
      <c r="G2" s="109" t="s">
        <v>99</v>
      </c>
      <c r="H2" s="109" t="s">
        <v>100</v>
      </c>
      <c r="I2" s="52"/>
      <c r="J2" s="52"/>
      <c r="K2" s="52"/>
      <c r="L2" s="52"/>
    </row>
    <row r="3" spans="1:12" ht="30" customHeight="1" thickBot="1" x14ac:dyDescent="0.3">
      <c r="A3" s="9"/>
      <c r="C3" s="546"/>
      <c r="D3" s="546"/>
      <c r="E3" s="165" t="s">
        <v>167</v>
      </c>
      <c r="F3" s="110">
        <f>F4+F5+F6+F7+F8+F9+F10+F11+F12+F13+F14+F15+F16+F17+F18+F19+F22+F23+F24+F25+F26+F27+F28+F29+F30+F31+F32</f>
        <v>44910000</v>
      </c>
      <c r="G3" s="110">
        <f>G4+G5+G6+G7+G8+G9+G10+G11+G12+G13+G14+G15+G16+G17+G18+G19+G22+G23+G24+G25+G26+G27+G28+G29+G30+G31+G32</f>
        <v>44150000</v>
      </c>
      <c r="H3" s="110">
        <f>H4+H5+H6+H7+H8+H9+H10+H11+H12+H13+H14+H19+H22+H27+H30</f>
        <v>89060000</v>
      </c>
      <c r="I3" s="52"/>
      <c r="J3" s="52"/>
      <c r="K3" s="52"/>
      <c r="L3" s="52"/>
    </row>
    <row r="4" spans="1:12" ht="33" customHeight="1" thickBot="1" x14ac:dyDescent="0.3">
      <c r="A4" s="40" t="s">
        <v>72</v>
      </c>
      <c r="C4" s="169" t="s">
        <v>113</v>
      </c>
      <c r="D4" s="170" t="s">
        <v>39</v>
      </c>
      <c r="E4" s="171" t="s">
        <v>172</v>
      </c>
      <c r="F4" s="172">
        <v>2000000</v>
      </c>
      <c r="G4" s="172">
        <v>19000000</v>
      </c>
      <c r="H4" s="172">
        <f>F4+G4</f>
        <v>21000000</v>
      </c>
      <c r="I4" s="52"/>
      <c r="J4" s="52"/>
      <c r="K4" s="53" t="s">
        <v>63</v>
      </c>
      <c r="L4" s="52"/>
    </row>
    <row r="5" spans="1:12" ht="39.75" customHeight="1" thickBot="1" x14ac:dyDescent="0.3">
      <c r="A5" s="40" t="s">
        <v>109</v>
      </c>
      <c r="C5" s="169" t="s">
        <v>109</v>
      </c>
      <c r="D5" s="173" t="s">
        <v>40</v>
      </c>
      <c r="E5" s="171" t="s">
        <v>173</v>
      </c>
      <c r="F5" s="172">
        <v>13000000</v>
      </c>
      <c r="G5" s="172">
        <v>3000000</v>
      </c>
      <c r="H5" s="172">
        <f t="shared" ref="H5:H19" si="0">F5+G5</f>
        <v>16000000</v>
      </c>
      <c r="I5" s="44"/>
      <c r="J5" s="44"/>
      <c r="K5" s="14"/>
    </row>
    <row r="6" spans="1:12" ht="27.75" customHeight="1" thickBot="1" x14ac:dyDescent="0.3">
      <c r="A6" s="40" t="s">
        <v>73</v>
      </c>
      <c r="C6" s="169" t="s">
        <v>73</v>
      </c>
      <c r="D6" s="173" t="s">
        <v>40</v>
      </c>
      <c r="E6" s="130" t="s">
        <v>120</v>
      </c>
      <c r="F6" s="174">
        <v>630000</v>
      </c>
      <c r="G6" s="174">
        <v>50000</v>
      </c>
      <c r="H6" s="172">
        <f t="shared" si="0"/>
        <v>680000</v>
      </c>
      <c r="I6" s="44"/>
      <c r="J6" s="44"/>
    </row>
    <row r="7" spans="1:12" ht="24.75" customHeight="1" thickBot="1" x14ac:dyDescent="0.3">
      <c r="A7" s="40" t="s">
        <v>74</v>
      </c>
      <c r="C7" s="169" t="s">
        <v>74</v>
      </c>
      <c r="D7" s="87" t="s">
        <v>40</v>
      </c>
      <c r="E7" s="130" t="s">
        <v>121</v>
      </c>
      <c r="F7" s="174">
        <v>530000</v>
      </c>
      <c r="G7" s="174">
        <v>50000</v>
      </c>
      <c r="H7" s="172">
        <f t="shared" si="0"/>
        <v>580000</v>
      </c>
      <c r="I7" s="44"/>
      <c r="J7" s="44"/>
    </row>
    <row r="8" spans="1:12" ht="26.25" thickBot="1" x14ac:dyDescent="0.3">
      <c r="A8" s="40" t="s">
        <v>75</v>
      </c>
      <c r="C8" s="169" t="s">
        <v>75</v>
      </c>
      <c r="D8" s="87" t="s">
        <v>40</v>
      </c>
      <c r="E8" s="130" t="s">
        <v>122</v>
      </c>
      <c r="F8" s="174">
        <v>180000</v>
      </c>
      <c r="G8" s="174">
        <v>0</v>
      </c>
      <c r="H8" s="172">
        <f t="shared" si="0"/>
        <v>180000</v>
      </c>
      <c r="I8" s="44"/>
      <c r="J8" s="44"/>
    </row>
    <row r="9" spans="1:12" ht="26.25" thickBot="1" x14ac:dyDescent="0.3">
      <c r="A9" s="40" t="s">
        <v>76</v>
      </c>
      <c r="C9" s="169" t="s">
        <v>76</v>
      </c>
      <c r="D9" s="87" t="s">
        <v>40</v>
      </c>
      <c r="E9" s="130" t="s">
        <v>123</v>
      </c>
      <c r="F9" s="174">
        <v>170000</v>
      </c>
      <c r="G9" s="174">
        <v>7500000</v>
      </c>
      <c r="H9" s="172">
        <f t="shared" si="0"/>
        <v>7670000</v>
      </c>
      <c r="I9" s="44"/>
      <c r="J9" s="44"/>
    </row>
    <row r="10" spans="1:12" ht="26.25" thickBot="1" x14ac:dyDescent="0.3">
      <c r="A10" s="40" t="s">
        <v>77</v>
      </c>
      <c r="C10" s="169" t="s">
        <v>118</v>
      </c>
      <c r="D10" s="87" t="s">
        <v>40</v>
      </c>
      <c r="E10" s="130" t="s">
        <v>124</v>
      </c>
      <c r="F10" s="174">
        <v>23500000</v>
      </c>
      <c r="G10" s="174">
        <v>0</v>
      </c>
      <c r="H10" s="172">
        <f t="shared" si="0"/>
        <v>23500000</v>
      </c>
      <c r="I10" s="44"/>
      <c r="J10" s="44"/>
    </row>
    <row r="11" spans="1:12" ht="15.75" thickBot="1" x14ac:dyDescent="0.3">
      <c r="A11" s="40" t="s">
        <v>78</v>
      </c>
      <c r="C11" s="169" t="s">
        <v>77</v>
      </c>
      <c r="D11" s="87" t="s">
        <v>40</v>
      </c>
      <c r="E11" s="130" t="s">
        <v>125</v>
      </c>
      <c r="F11" s="174">
        <v>1050000</v>
      </c>
      <c r="G11" s="174">
        <v>0</v>
      </c>
      <c r="H11" s="172">
        <f t="shared" si="0"/>
        <v>1050000</v>
      </c>
      <c r="I11" s="44"/>
      <c r="J11" s="44"/>
    </row>
    <row r="12" spans="1:12" ht="38.25" customHeight="1" thickBot="1" x14ac:dyDescent="0.3">
      <c r="A12" s="40" t="s">
        <v>79</v>
      </c>
      <c r="C12" s="169" t="s">
        <v>114</v>
      </c>
      <c r="D12" s="87" t="s">
        <v>40</v>
      </c>
      <c r="E12" s="130" t="s">
        <v>127</v>
      </c>
      <c r="F12" s="174">
        <v>300000</v>
      </c>
      <c r="G12" s="174">
        <v>10000000</v>
      </c>
      <c r="H12" s="172">
        <f t="shared" si="0"/>
        <v>10300000</v>
      </c>
      <c r="I12" s="44"/>
      <c r="J12" s="44"/>
    </row>
    <row r="13" spans="1:12" ht="15.75" thickBot="1" x14ac:dyDescent="0.3">
      <c r="A13" s="40" t="s">
        <v>80</v>
      </c>
      <c r="C13" s="175" t="s">
        <v>78</v>
      </c>
      <c r="D13" s="176" t="s">
        <v>40</v>
      </c>
      <c r="E13" s="177" t="s">
        <v>126</v>
      </c>
      <c r="F13" s="178">
        <v>1050000</v>
      </c>
      <c r="G13" s="178">
        <v>0</v>
      </c>
      <c r="H13" s="179">
        <f t="shared" si="0"/>
        <v>1050000</v>
      </c>
      <c r="I13" s="44"/>
      <c r="J13" s="44"/>
    </row>
    <row r="14" spans="1:12" x14ac:dyDescent="0.25">
      <c r="A14" s="516" t="s">
        <v>81</v>
      </c>
      <c r="B14" s="56"/>
      <c r="C14" s="542" t="s">
        <v>79</v>
      </c>
      <c r="D14" s="84" t="s">
        <v>40</v>
      </c>
      <c r="E14" s="139" t="s">
        <v>174</v>
      </c>
      <c r="F14" s="85"/>
      <c r="G14" s="85"/>
      <c r="H14" s="558">
        <f>G14+G15+G16+G17+G18+F14+F15+F16+F17+F18</f>
        <v>1000000</v>
      </c>
      <c r="I14" s="44"/>
      <c r="J14" s="46"/>
      <c r="K14" t="s">
        <v>110</v>
      </c>
    </row>
    <row r="15" spans="1:12" ht="25.5" x14ac:dyDescent="0.25">
      <c r="A15" s="516"/>
      <c r="B15" s="56"/>
      <c r="C15" s="532"/>
      <c r="D15" s="63" t="s">
        <v>40</v>
      </c>
      <c r="E15" s="151" t="s">
        <v>133</v>
      </c>
      <c r="F15" s="71">
        <v>0</v>
      </c>
      <c r="G15" s="71">
        <v>700000</v>
      </c>
      <c r="H15" s="559"/>
      <c r="I15" s="44"/>
      <c r="J15" s="46"/>
    </row>
    <row r="16" spans="1:12" ht="26.25" thickBot="1" x14ac:dyDescent="0.3">
      <c r="A16" s="516"/>
      <c r="B16" s="56"/>
      <c r="C16" s="532"/>
      <c r="D16" s="523" t="s">
        <v>38</v>
      </c>
      <c r="E16" s="152" t="s">
        <v>134</v>
      </c>
      <c r="F16" s="115">
        <v>0</v>
      </c>
      <c r="G16" s="116">
        <v>50000</v>
      </c>
      <c r="H16" s="559"/>
      <c r="I16" s="44"/>
      <c r="J16" s="46"/>
    </row>
    <row r="17" spans="1:11" ht="15.75" thickBot="1" x14ac:dyDescent="0.3">
      <c r="A17" s="516"/>
      <c r="B17" s="56"/>
      <c r="C17" s="532"/>
      <c r="D17" s="524"/>
      <c r="E17" s="152" t="s">
        <v>135</v>
      </c>
      <c r="F17" s="115">
        <v>0</v>
      </c>
      <c r="G17" s="116">
        <v>200000</v>
      </c>
      <c r="H17" s="559"/>
      <c r="I17" s="44"/>
      <c r="J17" s="46"/>
    </row>
    <row r="18" spans="1:11" ht="15.75" thickBot="1" x14ac:dyDescent="0.3">
      <c r="A18" s="516"/>
      <c r="B18" s="56"/>
      <c r="C18" s="531"/>
      <c r="D18" s="525"/>
      <c r="E18" s="152" t="s">
        <v>136</v>
      </c>
      <c r="F18" s="115">
        <v>0</v>
      </c>
      <c r="G18" s="116">
        <v>50000</v>
      </c>
      <c r="H18" s="560"/>
      <c r="I18" s="44"/>
      <c r="J18" s="46"/>
    </row>
    <row r="19" spans="1:11" x14ac:dyDescent="0.25">
      <c r="A19" s="40" t="s">
        <v>82</v>
      </c>
      <c r="C19" s="80" t="s">
        <v>80</v>
      </c>
      <c r="D19" s="81" t="s">
        <v>40</v>
      </c>
      <c r="E19" s="127" t="s">
        <v>128</v>
      </c>
      <c r="F19" s="82">
        <v>1000000</v>
      </c>
      <c r="G19" s="82">
        <v>0</v>
      </c>
      <c r="H19" s="83">
        <f t="shared" si="0"/>
        <v>1000000</v>
      </c>
      <c r="I19" s="44"/>
      <c r="J19" s="44"/>
      <c r="K19" t="s">
        <v>101</v>
      </c>
    </row>
    <row r="20" spans="1:11" ht="19.5" hidden="1" customHeight="1" x14ac:dyDescent="0.25">
      <c r="A20" s="40"/>
      <c r="C20" s="62"/>
      <c r="D20" s="65" t="s">
        <v>2</v>
      </c>
      <c r="E20" s="67" t="s">
        <v>53</v>
      </c>
      <c r="F20" s="63"/>
      <c r="G20" s="63"/>
      <c r="H20" s="70"/>
      <c r="I20" s="47"/>
      <c r="J20" s="44"/>
    </row>
    <row r="21" spans="1:11" ht="16.5" hidden="1" customHeight="1" x14ac:dyDescent="0.25">
      <c r="A21" s="40"/>
      <c r="C21" s="77"/>
      <c r="D21" s="107" t="s">
        <v>2</v>
      </c>
      <c r="E21" s="108" t="s">
        <v>42</v>
      </c>
      <c r="F21" s="78"/>
      <c r="G21" s="78"/>
      <c r="H21" s="79"/>
      <c r="I21" s="47"/>
      <c r="J21" s="44"/>
      <c r="K21" t="s">
        <v>64</v>
      </c>
    </row>
    <row r="22" spans="1:11" ht="16.5" customHeight="1" thickBot="1" x14ac:dyDescent="0.3">
      <c r="A22" s="515" t="s">
        <v>92</v>
      </c>
      <c r="B22" s="57"/>
      <c r="C22" s="523" t="s">
        <v>115</v>
      </c>
      <c r="D22" s="526" t="s">
        <v>38</v>
      </c>
      <c r="E22" s="153" t="s">
        <v>178</v>
      </c>
      <c r="F22" s="550">
        <v>500000</v>
      </c>
      <c r="G22" s="550">
        <v>1500000</v>
      </c>
      <c r="H22" s="555">
        <f>G22+G23+G24+G25+G26+F22+F23+F24+F25+F26</f>
        <v>2000000</v>
      </c>
      <c r="I22" s="47"/>
      <c r="J22" s="44"/>
    </row>
    <row r="23" spans="1:11" s="3" customFormat="1" ht="55.5" customHeight="1" thickBot="1" x14ac:dyDescent="0.3">
      <c r="A23" s="515"/>
      <c r="B23" s="57"/>
      <c r="C23" s="524"/>
      <c r="D23" s="527"/>
      <c r="E23" s="150" t="s">
        <v>179</v>
      </c>
      <c r="F23" s="551"/>
      <c r="G23" s="551"/>
      <c r="H23" s="556"/>
      <c r="I23" s="44"/>
      <c r="J23" s="46"/>
      <c r="K23" s="543" t="s">
        <v>65</v>
      </c>
    </row>
    <row r="24" spans="1:11" s="3" customFormat="1" ht="38.25" customHeight="1" thickBot="1" x14ac:dyDescent="0.3">
      <c r="A24" s="515"/>
      <c r="B24" s="57"/>
      <c r="C24" s="524"/>
      <c r="D24" s="527"/>
      <c r="E24" s="150" t="s">
        <v>130</v>
      </c>
      <c r="F24" s="551"/>
      <c r="G24" s="551"/>
      <c r="H24" s="556"/>
      <c r="I24" s="44"/>
      <c r="J24" s="46"/>
      <c r="K24" s="543"/>
    </row>
    <row r="25" spans="1:11" s="3" customFormat="1" ht="40.5" customHeight="1" thickBot="1" x14ac:dyDescent="0.3">
      <c r="A25" s="515"/>
      <c r="B25" s="57"/>
      <c r="C25" s="524"/>
      <c r="D25" s="527"/>
      <c r="E25" s="150" t="s">
        <v>131</v>
      </c>
      <c r="F25" s="551"/>
      <c r="G25" s="551"/>
      <c r="H25" s="556"/>
      <c r="I25" s="44"/>
      <c r="J25" s="46"/>
      <c r="K25" s="543"/>
    </row>
    <row r="26" spans="1:11" s="3" customFormat="1" ht="37.5" customHeight="1" thickBot="1" x14ac:dyDescent="0.3">
      <c r="A26" s="54"/>
      <c r="B26" s="57"/>
      <c r="C26" s="525"/>
      <c r="D26" s="528"/>
      <c r="E26" s="150" t="s">
        <v>132</v>
      </c>
      <c r="F26" s="552"/>
      <c r="G26" s="552"/>
      <c r="H26" s="557"/>
      <c r="I26" s="44"/>
      <c r="J26" s="46"/>
      <c r="K26" s="35"/>
    </row>
    <row r="27" spans="1:11" s="3" customFormat="1" ht="28.5" customHeight="1" x14ac:dyDescent="0.25">
      <c r="A27" s="517" t="s">
        <v>84</v>
      </c>
      <c r="B27" s="56"/>
      <c r="C27" s="533" t="s">
        <v>81</v>
      </c>
      <c r="D27" s="104" t="s">
        <v>40</v>
      </c>
      <c r="E27" s="154" t="s">
        <v>119</v>
      </c>
      <c r="F27" s="106">
        <v>0</v>
      </c>
      <c r="G27" s="105">
        <f>250000*3-150000</f>
        <v>600000</v>
      </c>
      <c r="H27" s="558">
        <f>G27+G28+G29+F27+F28+F29</f>
        <v>750000</v>
      </c>
      <c r="I27" s="44"/>
      <c r="J27" s="48"/>
    </row>
    <row r="28" spans="1:11" s="3" customFormat="1" ht="26.25" thickBot="1" x14ac:dyDescent="0.3">
      <c r="A28" s="517"/>
      <c r="B28" s="56"/>
      <c r="C28" s="534"/>
      <c r="D28" s="548" t="s">
        <v>38</v>
      </c>
      <c r="E28" s="142" t="s">
        <v>138</v>
      </c>
      <c r="F28" s="115">
        <v>0</v>
      </c>
      <c r="G28" s="116">
        <v>100000</v>
      </c>
      <c r="H28" s="559"/>
      <c r="I28" s="44"/>
      <c r="J28" s="46"/>
      <c r="K28" s="30" t="s">
        <v>93</v>
      </c>
    </row>
    <row r="29" spans="1:11" s="3" customFormat="1" ht="26.25" thickBot="1" x14ac:dyDescent="0.3">
      <c r="A29" s="517"/>
      <c r="B29" s="56"/>
      <c r="C29" s="547"/>
      <c r="D29" s="549"/>
      <c r="E29" s="142" t="s">
        <v>137</v>
      </c>
      <c r="F29" s="115">
        <v>0</v>
      </c>
      <c r="G29" s="116">
        <v>50000</v>
      </c>
      <c r="H29" s="560"/>
      <c r="I29" s="44"/>
      <c r="J29" s="46"/>
      <c r="K29" s="3" t="s">
        <v>94</v>
      </c>
    </row>
    <row r="30" spans="1:11" s="3" customFormat="1" ht="24.75" customHeight="1" x14ac:dyDescent="0.25">
      <c r="A30" s="529" t="s">
        <v>86</v>
      </c>
      <c r="B30" s="58"/>
      <c r="C30" s="533" t="s">
        <v>82</v>
      </c>
      <c r="D30" s="104" t="s">
        <v>40</v>
      </c>
      <c r="E30" s="155" t="s">
        <v>139</v>
      </c>
      <c r="F30" s="105">
        <v>1000000</v>
      </c>
      <c r="G30" s="105">
        <v>1000000</v>
      </c>
      <c r="H30" s="558">
        <f>G30+G31+G32+F30+F31+F32</f>
        <v>2300000</v>
      </c>
      <c r="I30" s="44"/>
      <c r="J30" s="49"/>
    </row>
    <row r="31" spans="1:11" s="3" customFormat="1" ht="28.5" customHeight="1" thickBot="1" x14ac:dyDescent="0.3">
      <c r="A31" s="529"/>
      <c r="B31" s="58"/>
      <c r="C31" s="534"/>
      <c r="D31" s="117" t="s">
        <v>38</v>
      </c>
      <c r="E31" s="142" t="s">
        <v>161</v>
      </c>
      <c r="F31" s="115">
        <v>0</v>
      </c>
      <c r="G31" s="116">
        <v>200000</v>
      </c>
      <c r="H31" s="559"/>
      <c r="I31" s="44"/>
      <c r="J31" s="49"/>
    </row>
    <row r="32" spans="1:11" s="3" customFormat="1" ht="15.75" thickBot="1" x14ac:dyDescent="0.3">
      <c r="A32" s="529"/>
      <c r="B32" s="58"/>
      <c r="C32" s="535"/>
      <c r="D32" s="107" t="s">
        <v>2</v>
      </c>
      <c r="E32" s="149" t="s">
        <v>140</v>
      </c>
      <c r="F32" s="107"/>
      <c r="G32" s="133">
        <v>100000</v>
      </c>
      <c r="H32" s="559"/>
      <c r="I32" s="50"/>
      <c r="J32" s="44"/>
      <c r="K32" t="s">
        <v>66</v>
      </c>
    </row>
    <row r="33" spans="1:16" ht="31.5" customHeight="1" thickBot="1" x14ac:dyDescent="0.35">
      <c r="A33" s="55"/>
      <c r="C33" s="122"/>
      <c r="D33" s="123"/>
      <c r="E33" s="124" t="s">
        <v>168</v>
      </c>
      <c r="F33" s="125">
        <f>F34+F36</f>
        <v>3250000</v>
      </c>
      <c r="G33" s="125">
        <f>G34+G36</f>
        <v>2000000</v>
      </c>
      <c r="H33" s="126">
        <f>F33+G33</f>
        <v>5250000</v>
      </c>
      <c r="I33" s="44"/>
      <c r="J33" s="44"/>
      <c r="K33" s="9"/>
    </row>
    <row r="34" spans="1:16" ht="25.5" x14ac:dyDescent="0.25">
      <c r="A34" s="520" t="s">
        <v>87</v>
      </c>
      <c r="B34" s="58"/>
      <c r="C34" s="530" t="s">
        <v>87</v>
      </c>
      <c r="D34" s="81" t="s">
        <v>40</v>
      </c>
      <c r="E34" s="128" t="s">
        <v>143</v>
      </c>
      <c r="F34" s="521">
        <v>3000000</v>
      </c>
      <c r="G34" s="518">
        <v>2000000</v>
      </c>
      <c r="H34" s="518">
        <f>F34+G34</f>
        <v>5000000</v>
      </c>
      <c r="I34" s="553"/>
      <c r="J34" s="554"/>
    </row>
    <row r="35" spans="1:16" ht="26.25" thickBot="1" x14ac:dyDescent="0.3">
      <c r="A35" s="520"/>
      <c r="B35" s="58"/>
      <c r="C35" s="531"/>
      <c r="D35" s="64" t="s">
        <v>40</v>
      </c>
      <c r="E35" s="148" t="s">
        <v>142</v>
      </c>
      <c r="F35" s="522"/>
      <c r="G35" s="519"/>
      <c r="H35" s="519"/>
      <c r="I35" s="553"/>
      <c r="J35" s="554"/>
      <c r="K35" s="1"/>
    </row>
    <row r="36" spans="1:16" ht="26.25" thickBot="1" x14ac:dyDescent="0.3">
      <c r="A36" s="40" t="s">
        <v>88</v>
      </c>
      <c r="C36" s="118" t="s">
        <v>88</v>
      </c>
      <c r="D36" s="118" t="s">
        <v>40</v>
      </c>
      <c r="E36" s="129" t="s">
        <v>141</v>
      </c>
      <c r="F36" s="119">
        <v>250000</v>
      </c>
      <c r="G36" s="120">
        <v>0</v>
      </c>
      <c r="H36" s="121">
        <f>F36+G36</f>
        <v>250000</v>
      </c>
      <c r="I36" s="44"/>
      <c r="J36" s="44"/>
    </row>
    <row r="37" spans="1:16" ht="30.75" customHeight="1" thickBot="1" x14ac:dyDescent="0.35">
      <c r="A37" s="55"/>
      <c r="C37" s="122"/>
      <c r="D37" s="123"/>
      <c r="E37" s="124" t="s">
        <v>9</v>
      </c>
      <c r="F37" s="125">
        <f>F38+F39+F40+F41+F42+F43+F44+F45+F46+F47+F48</f>
        <v>1900000</v>
      </c>
      <c r="G37" s="125">
        <f>G38+G39+G40+G41+G42+G43+G44+G45+G46+G47+G48</f>
        <v>50000</v>
      </c>
      <c r="H37" s="125">
        <f>H38+H43+H44+H46+H47+H48</f>
        <v>1950000</v>
      </c>
      <c r="I37" s="44"/>
      <c r="J37" s="44"/>
      <c r="K37" s="9"/>
      <c r="P37" s="45"/>
    </row>
    <row r="38" spans="1:16" ht="25.5" x14ac:dyDescent="0.25">
      <c r="A38" s="516" t="s">
        <v>90</v>
      </c>
      <c r="B38" s="56"/>
      <c r="C38" s="530" t="s">
        <v>90</v>
      </c>
      <c r="D38" s="81" t="s">
        <v>40</v>
      </c>
      <c r="E38" s="156" t="s">
        <v>144</v>
      </c>
      <c r="F38" s="565">
        <v>150000</v>
      </c>
      <c r="G38" s="565">
        <v>0</v>
      </c>
      <c r="H38" s="563">
        <f>F38+F39+F40+F41+F42+G38+G39+G40+G41+G42</f>
        <v>150000</v>
      </c>
      <c r="I38" s="44"/>
      <c r="J38" s="44"/>
    </row>
    <row r="39" spans="1:16" x14ac:dyDescent="0.25">
      <c r="A39" s="516"/>
      <c r="B39" s="56"/>
      <c r="C39" s="532"/>
      <c r="D39" s="65" t="s">
        <v>2</v>
      </c>
      <c r="E39" s="144" t="s">
        <v>108</v>
      </c>
      <c r="F39" s="563"/>
      <c r="G39" s="563"/>
      <c r="H39" s="563"/>
      <c r="I39" s="46"/>
      <c r="J39" s="44"/>
    </row>
    <row r="40" spans="1:16" x14ac:dyDescent="0.25">
      <c r="A40" s="516"/>
      <c r="B40" s="56"/>
      <c r="C40" s="532"/>
      <c r="D40" s="65" t="s">
        <v>2</v>
      </c>
      <c r="E40" s="144" t="s">
        <v>146</v>
      </c>
      <c r="F40" s="563"/>
      <c r="G40" s="563"/>
      <c r="H40" s="563"/>
      <c r="I40" s="47"/>
      <c r="J40" s="44"/>
    </row>
    <row r="41" spans="1:16" ht="25.5" x14ac:dyDescent="0.25">
      <c r="A41" s="516"/>
      <c r="B41" s="56"/>
      <c r="C41" s="532"/>
      <c r="D41" s="65" t="s">
        <v>2</v>
      </c>
      <c r="E41" s="145" t="s">
        <v>145</v>
      </c>
      <c r="F41" s="563"/>
      <c r="G41" s="563"/>
      <c r="H41" s="563"/>
      <c r="I41" s="50"/>
      <c r="J41" s="44"/>
    </row>
    <row r="42" spans="1:16" ht="26.25" thickBot="1" x14ac:dyDescent="0.3">
      <c r="A42" s="516"/>
      <c r="B42" s="56"/>
      <c r="C42" s="531"/>
      <c r="D42" s="114" t="s">
        <v>38</v>
      </c>
      <c r="E42" s="142" t="s">
        <v>175</v>
      </c>
      <c r="F42" s="564"/>
      <c r="G42" s="564"/>
      <c r="H42" s="564"/>
      <c r="I42" s="50"/>
      <c r="J42" s="46"/>
      <c r="K42" s="14" t="s">
        <v>105</v>
      </c>
    </row>
    <row r="43" spans="1:16" ht="26.25" thickBot="1" x14ac:dyDescent="0.3">
      <c r="A43" s="39" t="s">
        <v>91</v>
      </c>
      <c r="B43" s="59"/>
      <c r="C43" s="86" t="s">
        <v>91</v>
      </c>
      <c r="D43" s="87" t="s">
        <v>40</v>
      </c>
      <c r="E43" s="130" t="s">
        <v>147</v>
      </c>
      <c r="F43" s="88">
        <v>300000</v>
      </c>
      <c r="G43" s="88">
        <v>0</v>
      </c>
      <c r="H43" s="89">
        <f t="shared" ref="H43:H48" si="1">F43+G43</f>
        <v>300000</v>
      </c>
      <c r="I43" s="46"/>
      <c r="J43" s="44"/>
    </row>
    <row r="44" spans="1:16" x14ac:dyDescent="0.25">
      <c r="A44" s="516" t="s">
        <v>89</v>
      </c>
      <c r="B44" s="56"/>
      <c r="C44" s="538" t="s">
        <v>89</v>
      </c>
      <c r="D44" s="84" t="s">
        <v>40</v>
      </c>
      <c r="E44" s="157" t="s">
        <v>148</v>
      </c>
      <c r="F44" s="85">
        <v>600000</v>
      </c>
      <c r="G44" s="84">
        <v>0</v>
      </c>
      <c r="H44" s="565">
        <f>G44+G45+F45+F44</f>
        <v>700000</v>
      </c>
      <c r="I44" s="50"/>
      <c r="J44" s="44"/>
    </row>
    <row r="45" spans="1:16" ht="26.25" thickBot="1" x14ac:dyDescent="0.3">
      <c r="A45" s="516"/>
      <c r="B45" s="56"/>
      <c r="C45" s="539"/>
      <c r="D45" s="90" t="s">
        <v>2</v>
      </c>
      <c r="E45" s="143" t="s">
        <v>169</v>
      </c>
      <c r="F45" s="96">
        <v>100000</v>
      </c>
      <c r="G45" s="90">
        <v>0</v>
      </c>
      <c r="H45" s="564"/>
      <c r="I45" s="50"/>
      <c r="J45" s="44"/>
    </row>
    <row r="46" spans="1:16" ht="15.75" thickBot="1" x14ac:dyDescent="0.3">
      <c r="A46" s="43"/>
      <c r="B46" s="56"/>
      <c r="C46" s="92" t="s">
        <v>96</v>
      </c>
      <c r="D46" s="87" t="s">
        <v>40</v>
      </c>
      <c r="E46" s="130" t="s">
        <v>129</v>
      </c>
      <c r="F46" s="88">
        <v>500000</v>
      </c>
      <c r="G46" s="88">
        <v>0</v>
      </c>
      <c r="H46" s="93">
        <f>F46+G46</f>
        <v>500000</v>
      </c>
      <c r="I46" s="50"/>
      <c r="J46" s="44"/>
    </row>
    <row r="47" spans="1:16" ht="15.75" thickBot="1" x14ac:dyDescent="0.3">
      <c r="A47" s="40" t="s">
        <v>96</v>
      </c>
      <c r="C47" s="87" t="s">
        <v>97</v>
      </c>
      <c r="D47" s="87" t="s">
        <v>40</v>
      </c>
      <c r="E47" s="130" t="s">
        <v>149</v>
      </c>
      <c r="F47" s="88">
        <v>100000</v>
      </c>
      <c r="G47" s="88">
        <v>50000</v>
      </c>
      <c r="H47" s="89">
        <f t="shared" si="1"/>
        <v>150000</v>
      </c>
      <c r="I47" s="44"/>
      <c r="J47" s="44"/>
    </row>
    <row r="48" spans="1:16" ht="26.25" thickBot="1" x14ac:dyDescent="0.3">
      <c r="A48" s="41" t="s">
        <v>97</v>
      </c>
      <c r="B48" s="60"/>
      <c r="C48" s="167" t="s">
        <v>163</v>
      </c>
      <c r="D48" s="118" t="s">
        <v>40</v>
      </c>
      <c r="E48" s="130" t="s">
        <v>150</v>
      </c>
      <c r="F48" s="88">
        <v>150000</v>
      </c>
      <c r="G48" s="88">
        <v>0</v>
      </c>
      <c r="H48" s="89">
        <f t="shared" si="1"/>
        <v>150000</v>
      </c>
      <c r="I48" s="44"/>
      <c r="J48" s="44"/>
    </row>
    <row r="49" spans="1:11" ht="24.75" customHeight="1" thickBot="1" x14ac:dyDescent="0.35">
      <c r="A49" s="55"/>
      <c r="C49" s="122"/>
      <c r="D49" s="123"/>
      <c r="E49" s="166" t="s">
        <v>166</v>
      </c>
      <c r="F49" s="112">
        <f>F50+F51+F52+F53</f>
        <v>1600000</v>
      </c>
      <c r="G49" s="112">
        <f>G50+G51+G52+G53</f>
        <v>0</v>
      </c>
      <c r="H49" s="112">
        <f>F49+G49</f>
        <v>1600000</v>
      </c>
      <c r="I49" s="44"/>
      <c r="J49" s="44"/>
      <c r="K49" s="9"/>
    </row>
    <row r="50" spans="1:11" ht="24.75" customHeight="1" x14ac:dyDescent="0.25">
      <c r="A50" s="55"/>
      <c r="C50" s="530" t="s">
        <v>102</v>
      </c>
      <c r="D50" s="81" t="s">
        <v>40</v>
      </c>
      <c r="E50" s="140" t="s">
        <v>176</v>
      </c>
      <c r="F50" s="94"/>
      <c r="G50" s="94"/>
      <c r="H50" s="569">
        <f>F50+G50+F51+G51+F52+G52+F53+G53</f>
        <v>1600000</v>
      </c>
      <c r="I50" s="46"/>
      <c r="J50" s="44"/>
      <c r="K50" s="9"/>
    </row>
    <row r="51" spans="1:11" ht="18" customHeight="1" x14ac:dyDescent="0.25">
      <c r="A51" s="55"/>
      <c r="C51" s="532"/>
      <c r="D51" s="63" t="s">
        <v>40</v>
      </c>
      <c r="E51" s="141" t="s">
        <v>162</v>
      </c>
      <c r="F51" s="72">
        <v>1350000</v>
      </c>
      <c r="G51" s="72">
        <v>0</v>
      </c>
      <c r="H51" s="570"/>
      <c r="I51" s="46"/>
      <c r="J51" s="44"/>
      <c r="K51" s="9"/>
    </row>
    <row r="52" spans="1:11" ht="16.5" customHeight="1" x14ac:dyDescent="0.25">
      <c r="A52" s="55"/>
      <c r="C52" s="532"/>
      <c r="D52" s="63" t="s">
        <v>40</v>
      </c>
      <c r="E52" s="141" t="s">
        <v>151</v>
      </c>
      <c r="F52" s="72">
        <v>150000</v>
      </c>
      <c r="G52" s="72">
        <v>0</v>
      </c>
      <c r="H52" s="570"/>
      <c r="I52" s="46"/>
      <c r="J52" s="44"/>
      <c r="K52" s="9"/>
    </row>
    <row r="53" spans="1:11" ht="15.75" thickBot="1" x14ac:dyDescent="0.3">
      <c r="A53" s="38" t="s">
        <v>102</v>
      </c>
      <c r="B53" s="56"/>
      <c r="C53" s="531"/>
      <c r="D53" s="114" t="s">
        <v>38</v>
      </c>
      <c r="E53" s="142" t="s">
        <v>152</v>
      </c>
      <c r="F53" s="116">
        <v>100000</v>
      </c>
      <c r="G53" s="116">
        <v>0</v>
      </c>
      <c r="H53" s="571"/>
      <c r="I53" s="44"/>
      <c r="J53" s="44"/>
      <c r="K53" s="36" t="s">
        <v>68</v>
      </c>
    </row>
    <row r="54" spans="1:11" ht="24" customHeight="1" thickBot="1" x14ac:dyDescent="0.35">
      <c r="A54" s="55"/>
      <c r="C54" s="122"/>
      <c r="D54" s="123"/>
      <c r="E54" s="166" t="s">
        <v>165</v>
      </c>
      <c r="F54" s="112">
        <f>F55+F56+F57+F58+F59+F60+F61+F62</f>
        <v>650000</v>
      </c>
      <c r="G54" s="112">
        <f>G55+G56+G57+G58+G59+G60+G61+G62</f>
        <v>200000</v>
      </c>
      <c r="H54" s="113">
        <f>F54+G54</f>
        <v>850000</v>
      </c>
      <c r="I54" s="44"/>
      <c r="J54" s="44"/>
      <c r="K54" s="9"/>
    </row>
    <row r="55" spans="1:11" ht="26.25" thickBot="1" x14ac:dyDescent="0.3">
      <c r="A55" s="536" t="s">
        <v>103</v>
      </c>
      <c r="B55" s="58"/>
      <c r="C55" s="540" t="s">
        <v>92</v>
      </c>
      <c r="D55" s="84" t="s">
        <v>40</v>
      </c>
      <c r="E55" s="131" t="s">
        <v>153</v>
      </c>
      <c r="F55" s="85">
        <v>100000</v>
      </c>
      <c r="G55" s="85">
        <v>100000</v>
      </c>
      <c r="H55" s="95">
        <f>F55+G55</f>
        <v>200000</v>
      </c>
      <c r="I55" s="44"/>
      <c r="J55" s="44"/>
    </row>
    <row r="56" spans="1:11" ht="15.75" hidden="1" thickBot="1" x14ac:dyDescent="0.3">
      <c r="A56" s="537"/>
      <c r="B56" s="58"/>
      <c r="C56" s="541"/>
      <c r="D56" s="90" t="s">
        <v>2</v>
      </c>
      <c r="E56" s="91" t="s">
        <v>154</v>
      </c>
      <c r="F56" s="96"/>
      <c r="G56" s="96"/>
      <c r="H56" s="97">
        <f t="shared" ref="H56:H62" si="2">F56+G56</f>
        <v>0</v>
      </c>
      <c r="I56" s="46"/>
      <c r="J56" s="44"/>
      <c r="K56" t="s">
        <v>111</v>
      </c>
    </row>
    <row r="57" spans="1:11" ht="25.5" x14ac:dyDescent="0.25">
      <c r="A57" s="516" t="s">
        <v>104</v>
      </c>
      <c r="B57" s="56"/>
      <c r="C57" s="542" t="s">
        <v>103</v>
      </c>
      <c r="D57" s="98" t="s">
        <v>2</v>
      </c>
      <c r="E57" s="158" t="s">
        <v>155</v>
      </c>
      <c r="F57" s="99"/>
      <c r="G57" s="99">
        <v>50000</v>
      </c>
      <c r="H57" s="566">
        <f>F57+G57+F58+G58+F59+G59</f>
        <v>110000</v>
      </c>
      <c r="I57" s="44"/>
      <c r="J57" s="44"/>
    </row>
    <row r="58" spans="1:11" x14ac:dyDescent="0.25">
      <c r="A58" s="516"/>
      <c r="B58" s="56"/>
      <c r="C58" s="532"/>
      <c r="D58" s="66" t="s">
        <v>40</v>
      </c>
      <c r="E58" s="146" t="s">
        <v>156</v>
      </c>
      <c r="F58" s="72">
        <v>0</v>
      </c>
      <c r="G58" s="72">
        <v>50000</v>
      </c>
      <c r="H58" s="567"/>
      <c r="I58" s="47"/>
      <c r="J58" s="44"/>
      <c r="K58" t="s">
        <v>69</v>
      </c>
    </row>
    <row r="59" spans="1:11" ht="15.75" thickBot="1" x14ac:dyDescent="0.3">
      <c r="A59" s="516"/>
      <c r="B59" s="56"/>
      <c r="C59" s="531"/>
      <c r="D59" s="90" t="s">
        <v>2</v>
      </c>
      <c r="E59" s="147" t="s">
        <v>157</v>
      </c>
      <c r="F59" s="96">
        <f>30000-20000</f>
        <v>10000</v>
      </c>
      <c r="G59" s="96">
        <v>0</v>
      </c>
      <c r="H59" s="568"/>
      <c r="I59" s="47"/>
      <c r="J59" s="44"/>
      <c r="K59" t="s">
        <v>71</v>
      </c>
    </row>
    <row r="60" spans="1:11" ht="15.75" thickBot="1" x14ac:dyDescent="0.3">
      <c r="A60" s="42" t="s">
        <v>107</v>
      </c>
      <c r="B60" s="61"/>
      <c r="C60" s="92" t="s">
        <v>104</v>
      </c>
      <c r="D60" s="100" t="s">
        <v>40</v>
      </c>
      <c r="E60" s="159" t="s">
        <v>177</v>
      </c>
      <c r="F60" s="101">
        <v>140000</v>
      </c>
      <c r="G60" s="101">
        <v>0</v>
      </c>
      <c r="H60" s="101">
        <f>F60+G60</f>
        <v>140000</v>
      </c>
      <c r="I60" s="46"/>
      <c r="J60" s="44"/>
      <c r="K60" t="s">
        <v>70</v>
      </c>
    </row>
    <row r="61" spans="1:11" ht="26.25" thickBot="1" x14ac:dyDescent="0.3">
      <c r="A61" s="42"/>
      <c r="B61" s="61"/>
      <c r="C61" s="92" t="s">
        <v>107</v>
      </c>
      <c r="D61" s="102" t="s">
        <v>2</v>
      </c>
      <c r="E61" s="132" t="s">
        <v>158</v>
      </c>
      <c r="F61" s="103">
        <v>200000</v>
      </c>
      <c r="G61" s="103">
        <v>0</v>
      </c>
      <c r="H61" s="101">
        <f t="shared" si="2"/>
        <v>200000</v>
      </c>
      <c r="I61" s="46"/>
      <c r="J61" s="44"/>
    </row>
    <row r="62" spans="1:11" ht="15.75" thickBot="1" x14ac:dyDescent="0.3">
      <c r="A62" s="42"/>
      <c r="B62" s="61"/>
      <c r="C62" s="92" t="s">
        <v>159</v>
      </c>
      <c r="D62" s="102" t="s">
        <v>2</v>
      </c>
      <c r="E62" s="132" t="s">
        <v>160</v>
      </c>
      <c r="F62" s="103">
        <v>200000</v>
      </c>
      <c r="G62" s="103">
        <v>0</v>
      </c>
      <c r="H62" s="101">
        <f t="shared" si="2"/>
        <v>200000</v>
      </c>
      <c r="I62" s="46"/>
      <c r="J62" s="44"/>
    </row>
    <row r="63" spans="1:11" ht="19.5" thickBot="1" x14ac:dyDescent="0.35">
      <c r="A63" s="55"/>
      <c r="C63" s="122"/>
      <c r="D63" s="123"/>
      <c r="E63" s="124" t="s">
        <v>164</v>
      </c>
      <c r="F63" s="125">
        <f>F64+F65+F66+F67+F68+F69</f>
        <v>202341</v>
      </c>
      <c r="G63" s="125">
        <f>G64+G65+G66+G67+G68+G69</f>
        <v>6112341</v>
      </c>
      <c r="H63" s="125">
        <f t="shared" ref="H63:H69" si="3">G63+F63</f>
        <v>6314682</v>
      </c>
      <c r="I63" s="44"/>
      <c r="J63" s="44"/>
      <c r="K63" s="9"/>
    </row>
    <row r="64" spans="1:11" x14ac:dyDescent="0.25">
      <c r="A64" s="40"/>
      <c r="C64" s="561"/>
      <c r="D64" s="81" t="s">
        <v>40</v>
      </c>
      <c r="E64" s="127" t="s">
        <v>1</v>
      </c>
      <c r="F64" s="82">
        <f>200000+2341</f>
        <v>202341</v>
      </c>
      <c r="G64" s="82"/>
      <c r="H64" s="82">
        <f t="shared" si="3"/>
        <v>202341</v>
      </c>
      <c r="I64" s="44"/>
      <c r="J64" s="44"/>
    </row>
    <row r="65" spans="1:10" x14ac:dyDescent="0.25">
      <c r="A65" s="40"/>
      <c r="C65" s="561"/>
      <c r="D65" s="63" t="s">
        <v>40</v>
      </c>
      <c r="E65" s="68" t="s">
        <v>17</v>
      </c>
      <c r="F65" s="71">
        <v>0</v>
      </c>
      <c r="G65" s="71">
        <v>300000</v>
      </c>
      <c r="H65" s="71">
        <f t="shared" si="3"/>
        <v>300000</v>
      </c>
      <c r="I65" s="44"/>
      <c r="J65" s="44"/>
    </row>
    <row r="66" spans="1:10" x14ac:dyDescent="0.25">
      <c r="A66" s="40"/>
      <c r="C66" s="561"/>
      <c r="D66" s="63" t="s">
        <v>40</v>
      </c>
      <c r="E66" s="68" t="s">
        <v>18</v>
      </c>
      <c r="F66" s="71">
        <v>0</v>
      </c>
      <c r="G66" s="71">
        <v>3000000</v>
      </c>
      <c r="H66" s="71">
        <f t="shared" si="3"/>
        <v>3000000</v>
      </c>
      <c r="I66" s="44"/>
      <c r="J66" s="44"/>
    </row>
    <row r="67" spans="1:10" x14ac:dyDescent="0.25">
      <c r="A67" s="40"/>
      <c r="C67" s="561"/>
      <c r="D67" s="63" t="s">
        <v>40</v>
      </c>
      <c r="E67" s="68" t="s">
        <v>19</v>
      </c>
      <c r="F67" s="71">
        <v>0</v>
      </c>
      <c r="G67" s="71">
        <v>2000000</v>
      </c>
      <c r="H67" s="71">
        <f t="shared" si="3"/>
        <v>2000000</v>
      </c>
      <c r="I67" s="44"/>
      <c r="J67" s="44"/>
    </row>
    <row r="68" spans="1:10" x14ac:dyDescent="0.25">
      <c r="A68" s="40"/>
      <c r="C68" s="561"/>
      <c r="D68" s="63" t="s">
        <v>40</v>
      </c>
      <c r="E68" s="68" t="s">
        <v>20</v>
      </c>
      <c r="F68" s="71">
        <v>0</v>
      </c>
      <c r="G68" s="71">
        <f>725000-112659</f>
        <v>612341</v>
      </c>
      <c r="H68" s="71">
        <f t="shared" si="3"/>
        <v>612341</v>
      </c>
      <c r="I68" s="44"/>
      <c r="J68" s="44"/>
    </row>
    <row r="69" spans="1:10" ht="15.75" thickBot="1" x14ac:dyDescent="0.3">
      <c r="A69" s="40"/>
      <c r="C69" s="562"/>
      <c r="D69" s="64" t="s">
        <v>40</v>
      </c>
      <c r="E69" s="69" t="s">
        <v>21</v>
      </c>
      <c r="F69" s="73">
        <v>0</v>
      </c>
      <c r="G69" s="73">
        <v>200000</v>
      </c>
      <c r="H69" s="73">
        <f t="shared" si="3"/>
        <v>200000</v>
      </c>
      <c r="I69" s="44"/>
      <c r="J69" s="44"/>
    </row>
    <row r="70" spans="1:10" ht="30" customHeight="1" thickBot="1" x14ac:dyDescent="0.3">
      <c r="A70" s="37"/>
      <c r="B70" s="59"/>
      <c r="C70" s="37"/>
      <c r="D70" s="37"/>
      <c r="E70" s="74" t="s">
        <v>100</v>
      </c>
      <c r="F70" s="75">
        <f>F63+F54+F49+F37+F33+F3</f>
        <v>52512341</v>
      </c>
      <c r="G70" s="75">
        <f>G63+G54+G49+G37+G33+G3</f>
        <v>52512341</v>
      </c>
      <c r="H70" s="76">
        <f>F70+G70</f>
        <v>105024682</v>
      </c>
      <c r="I70" s="37"/>
      <c r="J70" s="37"/>
    </row>
    <row r="71" spans="1:10" ht="15.75" thickBot="1" x14ac:dyDescent="0.3">
      <c r="D71" s="135"/>
      <c r="E71" s="134" t="s">
        <v>170</v>
      </c>
      <c r="F71" s="137">
        <f>52512341-F70</f>
        <v>0</v>
      </c>
      <c r="G71" s="138">
        <f>52512341-G70</f>
        <v>0</v>
      </c>
      <c r="H71" s="136">
        <f>F71+G71</f>
        <v>0</v>
      </c>
    </row>
  </sheetData>
  <mergeCells count="44">
    <mergeCell ref="C64:C69"/>
    <mergeCell ref="H38:H42"/>
    <mergeCell ref="H44:H45"/>
    <mergeCell ref="H57:H59"/>
    <mergeCell ref="H50:H53"/>
    <mergeCell ref="F38:F42"/>
    <mergeCell ref="G38:G42"/>
    <mergeCell ref="H34:H35"/>
    <mergeCell ref="I34:I35"/>
    <mergeCell ref="J34:J35"/>
    <mergeCell ref="H22:H26"/>
    <mergeCell ref="H14:H18"/>
    <mergeCell ref="H27:H29"/>
    <mergeCell ref="H30:H32"/>
    <mergeCell ref="K23:K25"/>
    <mergeCell ref="C1:H1"/>
    <mergeCell ref="D2:D3"/>
    <mergeCell ref="C2:C3"/>
    <mergeCell ref="C27:C29"/>
    <mergeCell ref="C14:C18"/>
    <mergeCell ref="D16:D18"/>
    <mergeCell ref="D28:D29"/>
    <mergeCell ref="F22:F26"/>
    <mergeCell ref="G22:G26"/>
    <mergeCell ref="A57:A59"/>
    <mergeCell ref="A55:A56"/>
    <mergeCell ref="C50:C53"/>
    <mergeCell ref="C44:C45"/>
    <mergeCell ref="C55:C56"/>
    <mergeCell ref="C57:C59"/>
    <mergeCell ref="A22:A25"/>
    <mergeCell ref="A44:A45"/>
    <mergeCell ref="A14:A18"/>
    <mergeCell ref="A27:A29"/>
    <mergeCell ref="G34:G35"/>
    <mergeCell ref="A34:A35"/>
    <mergeCell ref="F34:F35"/>
    <mergeCell ref="C22:C26"/>
    <mergeCell ref="D22:D26"/>
    <mergeCell ref="A30:A32"/>
    <mergeCell ref="C34:C35"/>
    <mergeCell ref="C38:C42"/>
    <mergeCell ref="A38:A42"/>
    <mergeCell ref="C30:C32"/>
  </mergeCells>
  <pageMargins left="0.70866141732283472" right="0.70866141732283472" top="0.35433070866141736" bottom="0.35433070866141736" header="0.31496062992125984" footer="0.31496062992125984"/>
  <pageSetup paperSize="8" scale="71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opLeftCell="B46" workbookViewId="0">
      <selection activeCell="L68" sqref="L68"/>
    </sheetView>
  </sheetViews>
  <sheetFormatPr defaultRowHeight="15" x14ac:dyDescent="0.25"/>
  <cols>
    <col min="1" max="1" width="12" hidden="1" customWidth="1"/>
    <col min="2" max="2" width="5" style="52" customWidth="1"/>
    <col min="3" max="3" width="7.5703125" customWidth="1"/>
    <col min="4" max="4" width="11.28515625" customWidth="1"/>
    <col min="5" max="5" width="84.5703125" customWidth="1"/>
    <col min="6" max="7" width="13.42578125" customWidth="1"/>
    <col min="8" max="8" width="14.7109375" customWidth="1"/>
    <col min="9" max="9" width="15.140625" customWidth="1"/>
    <col min="11" max="11" width="92.7109375" hidden="1" customWidth="1"/>
    <col min="16" max="16" width="15.85546875" bestFit="1" customWidth="1"/>
  </cols>
  <sheetData>
    <row r="1" spans="1:13" ht="67.5" customHeight="1" thickBot="1" x14ac:dyDescent="0.3">
      <c r="C1" s="544" t="s">
        <v>225</v>
      </c>
      <c r="D1" s="544"/>
      <c r="E1" s="544"/>
      <c r="F1" s="544"/>
      <c r="G1" s="544"/>
      <c r="H1" s="544"/>
      <c r="I1" s="51"/>
      <c r="J1" s="51"/>
      <c r="K1" s="52"/>
      <c r="L1" s="52"/>
      <c r="M1" s="44"/>
    </row>
    <row r="2" spans="1:13" ht="30" customHeight="1" x14ac:dyDescent="0.25">
      <c r="A2" s="9" t="s">
        <v>85</v>
      </c>
      <c r="C2" s="545" t="s">
        <v>112</v>
      </c>
      <c r="D2" s="595" t="s">
        <v>116</v>
      </c>
      <c r="E2" s="111" t="s">
        <v>117</v>
      </c>
      <c r="F2" s="109" t="s">
        <v>183</v>
      </c>
      <c r="G2" s="109" t="s">
        <v>184</v>
      </c>
      <c r="H2" s="180" t="s">
        <v>185</v>
      </c>
      <c r="I2" s="109" t="s">
        <v>186</v>
      </c>
      <c r="J2" s="52"/>
      <c r="K2" s="52"/>
      <c r="L2" s="52"/>
      <c r="M2" s="44"/>
    </row>
    <row r="3" spans="1:13" ht="30" customHeight="1" thickBot="1" x14ac:dyDescent="0.3">
      <c r="A3" s="9"/>
      <c r="C3" s="546"/>
      <c r="D3" s="596"/>
      <c r="E3" s="165" t="s">
        <v>167</v>
      </c>
      <c r="F3" s="110">
        <f>F4+F5+F6+F7+F8+F9+F10+F11+F12+F13+F14+F15+F16+F17+F18+F19+F22+F23+F24+F25+F26+F27+F28+F29+F30+F31+F32</f>
        <v>44910000</v>
      </c>
      <c r="G3" s="110">
        <f>G4+G5+G6+G7+G8+G9+G10+G11+G12+G13+G14+G15+G16+G17+G18+G19+G22+G23+G24+G25+G26+G27+G28+G29+G30+G31+G32</f>
        <v>44150000</v>
      </c>
      <c r="H3" s="110">
        <f>H4+H5+H6+H7+H8+H9+H10+H11+H12+H13+H15+H19+H23+H27+H30</f>
        <v>89060000</v>
      </c>
      <c r="I3" s="110">
        <f>H3*D73</f>
        <v>285704480</v>
      </c>
      <c r="J3" s="52"/>
      <c r="K3" s="52"/>
      <c r="L3" s="52"/>
      <c r="M3" s="44"/>
    </row>
    <row r="4" spans="1:13" ht="36.75" customHeight="1" thickBot="1" x14ac:dyDescent="0.3">
      <c r="A4" s="40" t="s">
        <v>72</v>
      </c>
      <c r="C4" s="169" t="s">
        <v>113</v>
      </c>
      <c r="D4" s="170" t="s">
        <v>39</v>
      </c>
      <c r="E4" s="171" t="s">
        <v>194</v>
      </c>
      <c r="F4" s="93">
        <v>2000000</v>
      </c>
      <c r="G4" s="93">
        <v>19000000</v>
      </c>
      <c r="H4" s="187">
        <f>F4+G4</f>
        <v>21000000</v>
      </c>
      <c r="I4" s="247">
        <f>H4*D73</f>
        <v>67368000</v>
      </c>
      <c r="J4" s="52"/>
      <c r="K4" s="53" t="s">
        <v>63</v>
      </c>
      <c r="L4" s="52"/>
      <c r="M4" s="44"/>
    </row>
    <row r="5" spans="1:13" ht="39.75" customHeight="1" thickBot="1" x14ac:dyDescent="0.3">
      <c r="A5" s="40" t="s">
        <v>109</v>
      </c>
      <c r="C5" s="169" t="s">
        <v>109</v>
      </c>
      <c r="D5" s="250" t="s">
        <v>40</v>
      </c>
      <c r="E5" s="171" t="s">
        <v>195</v>
      </c>
      <c r="F5" s="93">
        <v>13000000</v>
      </c>
      <c r="G5" s="93">
        <v>3000000</v>
      </c>
      <c r="H5" s="187">
        <f t="shared" ref="H5:H19" si="0">F5+G5</f>
        <v>16000000</v>
      </c>
      <c r="I5" s="201">
        <f>H5*D73</f>
        <v>51328000</v>
      </c>
      <c r="J5" s="44"/>
      <c r="K5" s="14"/>
      <c r="L5" s="44"/>
      <c r="M5" s="44"/>
    </row>
    <row r="6" spans="1:13" ht="27.75" customHeight="1" thickBot="1" x14ac:dyDescent="0.3">
      <c r="A6" s="40" t="s">
        <v>73</v>
      </c>
      <c r="C6" s="169" t="s">
        <v>73</v>
      </c>
      <c r="D6" s="250" t="s">
        <v>40</v>
      </c>
      <c r="E6" s="130" t="s">
        <v>187</v>
      </c>
      <c r="F6" s="246">
        <v>630000</v>
      </c>
      <c r="G6" s="246">
        <v>50000</v>
      </c>
      <c r="H6" s="187">
        <f t="shared" si="0"/>
        <v>680000</v>
      </c>
      <c r="I6" s="201">
        <f>H6*D73</f>
        <v>2181440</v>
      </c>
      <c r="J6" s="44"/>
      <c r="L6" s="44"/>
      <c r="M6" s="44"/>
    </row>
    <row r="7" spans="1:13" ht="24.75" customHeight="1" thickBot="1" x14ac:dyDescent="0.3">
      <c r="A7" s="40" t="s">
        <v>74</v>
      </c>
      <c r="C7" s="169" t="s">
        <v>74</v>
      </c>
      <c r="D7" s="251" t="s">
        <v>40</v>
      </c>
      <c r="E7" s="130" t="s">
        <v>188</v>
      </c>
      <c r="F7" s="246">
        <v>530000</v>
      </c>
      <c r="G7" s="246">
        <v>50000</v>
      </c>
      <c r="H7" s="187">
        <f t="shared" si="0"/>
        <v>580000</v>
      </c>
      <c r="I7" s="201">
        <f>H7*D73</f>
        <v>1860640</v>
      </c>
      <c r="J7" s="44"/>
      <c r="L7" s="44"/>
      <c r="M7" s="44"/>
    </row>
    <row r="8" spans="1:13" ht="26.25" thickBot="1" x14ac:dyDescent="0.3">
      <c r="A8" s="40" t="s">
        <v>75</v>
      </c>
      <c r="C8" s="169" t="s">
        <v>75</v>
      </c>
      <c r="D8" s="251" t="s">
        <v>40</v>
      </c>
      <c r="E8" s="130" t="s">
        <v>189</v>
      </c>
      <c r="F8" s="246">
        <v>180000</v>
      </c>
      <c r="G8" s="246">
        <v>0</v>
      </c>
      <c r="H8" s="187">
        <f t="shared" si="0"/>
        <v>180000</v>
      </c>
      <c r="I8" s="201">
        <f>H8*D73</f>
        <v>577440</v>
      </c>
      <c r="J8" s="44"/>
      <c r="L8" s="44"/>
      <c r="M8" s="44"/>
    </row>
    <row r="9" spans="1:13" ht="15.75" thickBot="1" x14ac:dyDescent="0.3">
      <c r="A9" s="40" t="s">
        <v>76</v>
      </c>
      <c r="C9" s="169" t="s">
        <v>76</v>
      </c>
      <c r="D9" s="251" t="s">
        <v>40</v>
      </c>
      <c r="E9" s="130" t="s">
        <v>192</v>
      </c>
      <c r="F9" s="246">
        <v>170000</v>
      </c>
      <c r="G9" s="246">
        <v>7500000</v>
      </c>
      <c r="H9" s="187">
        <f t="shared" si="0"/>
        <v>7670000</v>
      </c>
      <c r="I9" s="201">
        <f>H9*D73</f>
        <v>24605360</v>
      </c>
      <c r="J9" s="44"/>
      <c r="L9" s="44"/>
      <c r="M9" s="44"/>
    </row>
    <row r="10" spans="1:13" ht="15.75" thickBot="1" x14ac:dyDescent="0.3">
      <c r="A10" s="40" t="s">
        <v>77</v>
      </c>
      <c r="C10" s="169" t="s">
        <v>118</v>
      </c>
      <c r="D10" s="251" t="s">
        <v>40</v>
      </c>
      <c r="E10" s="130" t="s">
        <v>193</v>
      </c>
      <c r="F10" s="246">
        <v>23500000</v>
      </c>
      <c r="G10" s="246">
        <v>0</v>
      </c>
      <c r="H10" s="187">
        <f t="shared" si="0"/>
        <v>23500000</v>
      </c>
      <c r="I10" s="201">
        <f>H10*D73</f>
        <v>75388000</v>
      </c>
      <c r="J10" s="44"/>
      <c r="L10" s="44"/>
      <c r="M10" s="44"/>
    </row>
    <row r="11" spans="1:13" ht="15.75" thickBot="1" x14ac:dyDescent="0.3">
      <c r="A11" s="40" t="s">
        <v>78</v>
      </c>
      <c r="C11" s="169" t="s">
        <v>77</v>
      </c>
      <c r="D11" s="251" t="s">
        <v>40</v>
      </c>
      <c r="E11" s="130" t="s">
        <v>190</v>
      </c>
      <c r="F11" s="246">
        <v>1050000</v>
      </c>
      <c r="G11" s="246">
        <v>0</v>
      </c>
      <c r="H11" s="187">
        <f t="shared" si="0"/>
        <v>1050000</v>
      </c>
      <c r="I11" s="201">
        <f>H11*D73</f>
        <v>3368400</v>
      </c>
      <c r="J11" s="44"/>
      <c r="L11" s="44"/>
      <c r="M11" s="44"/>
    </row>
    <row r="12" spans="1:13" ht="22.5" customHeight="1" thickBot="1" x14ac:dyDescent="0.3">
      <c r="A12" s="40" t="s">
        <v>79</v>
      </c>
      <c r="C12" s="169" t="s">
        <v>114</v>
      </c>
      <c r="D12" s="251" t="s">
        <v>40</v>
      </c>
      <c r="E12" s="130" t="s">
        <v>191</v>
      </c>
      <c r="F12" s="246">
        <v>300000</v>
      </c>
      <c r="G12" s="246">
        <v>10000000</v>
      </c>
      <c r="H12" s="187">
        <f t="shared" si="0"/>
        <v>10300000</v>
      </c>
      <c r="I12" s="201">
        <f>H12*D73</f>
        <v>33042400.000000004</v>
      </c>
      <c r="J12" s="44"/>
      <c r="L12" s="44"/>
      <c r="M12" s="44"/>
    </row>
    <row r="13" spans="1:13" ht="15.75" thickBot="1" x14ac:dyDescent="0.3">
      <c r="A13" s="40" t="s">
        <v>80</v>
      </c>
      <c r="C13" s="175" t="s">
        <v>78</v>
      </c>
      <c r="D13" s="168" t="s">
        <v>40</v>
      </c>
      <c r="E13" s="215" t="s">
        <v>126</v>
      </c>
      <c r="F13" s="248">
        <v>1050000</v>
      </c>
      <c r="G13" s="248">
        <v>0</v>
      </c>
      <c r="H13" s="214">
        <f t="shared" si="0"/>
        <v>1050000</v>
      </c>
      <c r="I13" s="220">
        <f>H13*D73</f>
        <v>3368400</v>
      </c>
      <c r="J13" s="44"/>
      <c r="L13" s="44"/>
      <c r="M13" s="44"/>
    </row>
    <row r="14" spans="1:13" ht="15.75" thickBot="1" x14ac:dyDescent="0.3">
      <c r="A14" s="516" t="s">
        <v>81</v>
      </c>
      <c r="B14" s="56"/>
      <c r="C14" s="542" t="s">
        <v>79</v>
      </c>
      <c r="D14" s="252" t="s">
        <v>40</v>
      </c>
      <c r="E14" s="218" t="s">
        <v>196</v>
      </c>
      <c r="F14" s="202"/>
      <c r="G14" s="202"/>
      <c r="H14" s="219"/>
      <c r="I14" s="217"/>
      <c r="J14" s="46"/>
      <c r="K14" t="s">
        <v>110</v>
      </c>
      <c r="L14" s="44"/>
      <c r="M14" s="44"/>
    </row>
    <row r="15" spans="1:13" ht="25.5" x14ac:dyDescent="0.25">
      <c r="A15" s="516"/>
      <c r="B15" s="56"/>
      <c r="C15" s="532"/>
      <c r="D15" s="253" t="s">
        <v>40</v>
      </c>
      <c r="E15" s="216" t="s">
        <v>133</v>
      </c>
      <c r="F15" s="163">
        <v>0</v>
      </c>
      <c r="G15" s="163">
        <v>700000</v>
      </c>
      <c r="H15" s="559">
        <f>F15+G15+F16+G16+F17+G17+F18+G18</f>
        <v>1000000</v>
      </c>
      <c r="I15" s="570">
        <f>H15*D73</f>
        <v>3208000</v>
      </c>
      <c r="J15" s="46"/>
      <c r="L15" s="44"/>
      <c r="M15" s="44"/>
    </row>
    <row r="16" spans="1:13" ht="26.25" thickBot="1" x14ac:dyDescent="0.3">
      <c r="A16" s="516"/>
      <c r="B16" s="56"/>
      <c r="C16" s="532"/>
      <c r="D16" s="597" t="s">
        <v>38</v>
      </c>
      <c r="E16" s="152" t="s">
        <v>199</v>
      </c>
      <c r="F16" s="241">
        <v>0</v>
      </c>
      <c r="G16" s="242">
        <v>50000</v>
      </c>
      <c r="H16" s="559"/>
      <c r="I16" s="570"/>
      <c r="J16" s="46"/>
      <c r="L16" s="44"/>
      <c r="M16" s="44"/>
    </row>
    <row r="17" spans="1:13" ht="26.25" thickBot="1" x14ac:dyDescent="0.3">
      <c r="A17" s="516"/>
      <c r="B17" s="56"/>
      <c r="C17" s="532"/>
      <c r="D17" s="598"/>
      <c r="E17" s="277" t="s">
        <v>198</v>
      </c>
      <c r="F17" s="241">
        <v>0</v>
      </c>
      <c r="G17" s="278">
        <v>200000</v>
      </c>
      <c r="H17" s="559"/>
      <c r="I17" s="570"/>
      <c r="J17" s="46"/>
      <c r="L17" s="44"/>
      <c r="M17" s="44"/>
    </row>
    <row r="18" spans="1:13" ht="26.25" thickBot="1" x14ac:dyDescent="0.3">
      <c r="A18" s="516"/>
      <c r="B18" s="56"/>
      <c r="C18" s="531"/>
      <c r="D18" s="599"/>
      <c r="E18" s="152" t="s">
        <v>197</v>
      </c>
      <c r="F18" s="241">
        <v>0</v>
      </c>
      <c r="G18" s="242">
        <v>50000</v>
      </c>
      <c r="H18" s="560"/>
      <c r="I18" s="575"/>
      <c r="J18" s="46"/>
      <c r="L18" s="44"/>
      <c r="M18" s="44"/>
    </row>
    <row r="19" spans="1:13" ht="15.75" thickBot="1" x14ac:dyDescent="0.3">
      <c r="A19" s="40" t="s">
        <v>82</v>
      </c>
      <c r="C19" s="80" t="s">
        <v>80</v>
      </c>
      <c r="D19" s="254" t="s">
        <v>40</v>
      </c>
      <c r="E19" s="127" t="s">
        <v>128</v>
      </c>
      <c r="F19" s="163">
        <v>1000000</v>
      </c>
      <c r="G19" s="163">
        <v>0</v>
      </c>
      <c r="H19" s="249">
        <f t="shared" si="0"/>
        <v>1000000</v>
      </c>
      <c r="I19" s="201">
        <f>H19*D73</f>
        <v>3208000</v>
      </c>
      <c r="J19" s="44"/>
      <c r="K19" t="s">
        <v>101</v>
      </c>
      <c r="L19" s="44"/>
      <c r="M19" s="44"/>
    </row>
    <row r="20" spans="1:13" ht="19.5" hidden="1" customHeight="1" x14ac:dyDescent="0.25">
      <c r="A20" s="40"/>
      <c r="C20" s="62"/>
      <c r="D20" s="255" t="s">
        <v>2</v>
      </c>
      <c r="E20" s="67" t="s">
        <v>53</v>
      </c>
      <c r="F20" s="63"/>
      <c r="G20" s="63"/>
      <c r="H20" s="182"/>
      <c r="I20" s="194"/>
      <c r="J20" s="44"/>
      <c r="L20" s="44"/>
      <c r="M20" s="44"/>
    </row>
    <row r="21" spans="1:13" ht="16.5" hidden="1" customHeight="1" x14ac:dyDescent="0.25">
      <c r="A21" s="40"/>
      <c r="C21" s="77"/>
      <c r="D21" s="243" t="s">
        <v>2</v>
      </c>
      <c r="E21" s="108" t="s">
        <v>42</v>
      </c>
      <c r="F21" s="78"/>
      <c r="G21" s="78"/>
      <c r="H21" s="183"/>
      <c r="I21" s="209"/>
      <c r="J21" s="44"/>
      <c r="K21" t="s">
        <v>64</v>
      </c>
      <c r="L21" s="44"/>
      <c r="M21" s="44"/>
    </row>
    <row r="22" spans="1:13" ht="16.5" customHeight="1" thickBot="1" x14ac:dyDescent="0.3">
      <c r="A22" s="515" t="s">
        <v>92</v>
      </c>
      <c r="B22" s="57"/>
      <c r="C22" s="523" t="s">
        <v>115</v>
      </c>
      <c r="D22" s="592" t="s">
        <v>38</v>
      </c>
      <c r="E22" s="210" t="s">
        <v>178</v>
      </c>
      <c r="F22" s="211"/>
      <c r="G22" s="211"/>
      <c r="H22" s="212"/>
      <c r="I22" s="213"/>
      <c r="J22" s="44"/>
      <c r="L22" s="44"/>
      <c r="M22" s="44"/>
    </row>
    <row r="23" spans="1:13" s="3" customFormat="1" ht="55.5" customHeight="1" thickBot="1" x14ac:dyDescent="0.3">
      <c r="A23" s="515"/>
      <c r="B23" s="57"/>
      <c r="C23" s="524"/>
      <c r="D23" s="593"/>
      <c r="E23" s="208" t="s">
        <v>179</v>
      </c>
      <c r="F23" s="551">
        <v>500000</v>
      </c>
      <c r="G23" s="551">
        <v>1500000</v>
      </c>
      <c r="H23" s="556">
        <f>F23+G23</f>
        <v>2000000</v>
      </c>
      <c r="I23" s="556">
        <f>H23*D73</f>
        <v>6416000</v>
      </c>
      <c r="J23" s="46"/>
      <c r="K23" s="543" t="s">
        <v>65</v>
      </c>
      <c r="L23" s="44"/>
      <c r="M23" s="44"/>
    </row>
    <row r="24" spans="1:13" s="3" customFormat="1" ht="38.25" customHeight="1" thickBot="1" x14ac:dyDescent="0.3">
      <c r="A24" s="515"/>
      <c r="B24" s="57"/>
      <c r="C24" s="524"/>
      <c r="D24" s="593"/>
      <c r="E24" s="150" t="s">
        <v>130</v>
      </c>
      <c r="F24" s="551"/>
      <c r="G24" s="551"/>
      <c r="H24" s="556"/>
      <c r="I24" s="556"/>
      <c r="J24" s="46"/>
      <c r="K24" s="543"/>
      <c r="L24" s="44"/>
      <c r="M24" s="44"/>
    </row>
    <row r="25" spans="1:13" s="3" customFormat="1" ht="40.5" customHeight="1" thickBot="1" x14ac:dyDescent="0.3">
      <c r="A25" s="515"/>
      <c r="B25" s="57"/>
      <c r="C25" s="524"/>
      <c r="D25" s="593"/>
      <c r="E25" s="150" t="s">
        <v>131</v>
      </c>
      <c r="F25" s="551"/>
      <c r="G25" s="551"/>
      <c r="H25" s="556"/>
      <c r="I25" s="556"/>
      <c r="J25" s="46"/>
      <c r="K25" s="543"/>
      <c r="L25" s="44"/>
      <c r="M25" s="44"/>
    </row>
    <row r="26" spans="1:13" s="3" customFormat="1" ht="37.5" customHeight="1" thickBot="1" x14ac:dyDescent="0.3">
      <c r="A26" s="161"/>
      <c r="B26" s="57"/>
      <c r="C26" s="525"/>
      <c r="D26" s="594"/>
      <c r="E26" s="150" t="s">
        <v>132</v>
      </c>
      <c r="F26" s="552"/>
      <c r="G26" s="552"/>
      <c r="H26" s="557"/>
      <c r="I26" s="557"/>
      <c r="J26" s="46"/>
      <c r="K26" s="164"/>
      <c r="L26" s="44"/>
      <c r="M26" s="44"/>
    </row>
    <row r="27" spans="1:13" s="3" customFormat="1" ht="28.5" customHeight="1" x14ac:dyDescent="0.25">
      <c r="A27" s="517" t="s">
        <v>84</v>
      </c>
      <c r="B27" s="56"/>
      <c r="C27" s="533" t="s">
        <v>81</v>
      </c>
      <c r="D27" s="256" t="s">
        <v>40</v>
      </c>
      <c r="E27" s="279" t="s">
        <v>200</v>
      </c>
      <c r="F27" s="106">
        <v>0</v>
      </c>
      <c r="G27" s="106">
        <f>250000*3-150000</f>
        <v>600000</v>
      </c>
      <c r="H27" s="578">
        <f>G27+G28+G29+F27+F28+F29</f>
        <v>750000</v>
      </c>
      <c r="I27" s="573">
        <f>H27*D73</f>
        <v>2406000</v>
      </c>
      <c r="J27" s="48"/>
      <c r="L27" s="44"/>
      <c r="M27" s="44"/>
    </row>
    <row r="28" spans="1:13" s="3" customFormat="1" ht="26.25" thickBot="1" x14ac:dyDescent="0.3">
      <c r="A28" s="517"/>
      <c r="B28" s="56"/>
      <c r="C28" s="534"/>
      <c r="D28" s="590" t="s">
        <v>38</v>
      </c>
      <c r="E28" s="142" t="s">
        <v>201</v>
      </c>
      <c r="F28" s="239">
        <v>0</v>
      </c>
      <c r="G28" s="240">
        <v>100000</v>
      </c>
      <c r="H28" s="579"/>
      <c r="I28" s="573"/>
      <c r="J28" s="46"/>
      <c r="K28" s="30" t="s">
        <v>93</v>
      </c>
      <c r="L28" s="44"/>
      <c r="M28" s="44"/>
    </row>
    <row r="29" spans="1:13" s="3" customFormat="1" ht="26.25" thickBot="1" x14ac:dyDescent="0.3">
      <c r="A29" s="517"/>
      <c r="B29" s="56"/>
      <c r="C29" s="547"/>
      <c r="D29" s="591"/>
      <c r="E29" s="142" t="s">
        <v>202</v>
      </c>
      <c r="F29" s="239">
        <v>0</v>
      </c>
      <c r="G29" s="240">
        <v>50000</v>
      </c>
      <c r="H29" s="589"/>
      <c r="I29" s="573"/>
      <c r="J29" s="46"/>
      <c r="K29" s="3" t="s">
        <v>94</v>
      </c>
      <c r="L29" s="44"/>
      <c r="M29" s="44"/>
    </row>
    <row r="30" spans="1:13" s="3" customFormat="1" ht="24.75" customHeight="1" x14ac:dyDescent="0.25">
      <c r="A30" s="529" t="s">
        <v>86</v>
      </c>
      <c r="B30" s="58"/>
      <c r="C30" s="533" t="s">
        <v>82</v>
      </c>
      <c r="D30" s="256" t="s">
        <v>40</v>
      </c>
      <c r="E30" s="155" t="s">
        <v>203</v>
      </c>
      <c r="F30" s="106">
        <v>1000000</v>
      </c>
      <c r="G30" s="106">
        <v>1000000</v>
      </c>
      <c r="H30" s="578">
        <f>G30+G31+G32+F30+F31+F32</f>
        <v>2300000</v>
      </c>
      <c r="I30" s="573">
        <f>H30*D73</f>
        <v>7378400</v>
      </c>
      <c r="J30" s="49"/>
      <c r="L30" s="44"/>
      <c r="M30" s="44"/>
    </row>
    <row r="31" spans="1:13" s="3" customFormat="1" ht="28.5" customHeight="1" thickBot="1" x14ac:dyDescent="0.3">
      <c r="A31" s="529"/>
      <c r="B31" s="58"/>
      <c r="C31" s="534"/>
      <c r="D31" s="257" t="s">
        <v>38</v>
      </c>
      <c r="E31" s="142" t="s">
        <v>204</v>
      </c>
      <c r="F31" s="241">
        <v>0</v>
      </c>
      <c r="G31" s="242">
        <v>200000</v>
      </c>
      <c r="H31" s="579"/>
      <c r="I31" s="573"/>
      <c r="J31" s="49"/>
      <c r="L31" s="44"/>
      <c r="M31" s="44"/>
    </row>
    <row r="32" spans="1:13" s="3" customFormat="1" ht="26.25" thickBot="1" x14ac:dyDescent="0.3">
      <c r="A32" s="529"/>
      <c r="B32" s="58"/>
      <c r="C32" s="535"/>
      <c r="D32" s="243" t="s">
        <v>2</v>
      </c>
      <c r="E32" s="149" t="s">
        <v>205</v>
      </c>
      <c r="F32" s="243"/>
      <c r="G32" s="244">
        <v>100000</v>
      </c>
      <c r="H32" s="579"/>
      <c r="I32" s="573"/>
      <c r="J32" s="44"/>
      <c r="K32" t="s">
        <v>66</v>
      </c>
      <c r="L32" s="44"/>
      <c r="M32" s="44"/>
    </row>
    <row r="33" spans="1:16" ht="31.5" customHeight="1" thickBot="1" x14ac:dyDescent="0.35">
      <c r="A33" s="55"/>
      <c r="C33" s="122"/>
      <c r="D33" s="123"/>
      <c r="E33" s="124" t="s">
        <v>168</v>
      </c>
      <c r="F33" s="125">
        <f>F34+F36</f>
        <v>3250000</v>
      </c>
      <c r="G33" s="125">
        <f>G34+G36</f>
        <v>2000000</v>
      </c>
      <c r="H33" s="184">
        <f>F33+G33</f>
        <v>5250000</v>
      </c>
      <c r="I33" s="195">
        <f>H33*D73</f>
        <v>16842000</v>
      </c>
      <c r="J33" s="44"/>
      <c r="K33" s="9"/>
      <c r="L33" s="44"/>
      <c r="M33" s="44"/>
    </row>
    <row r="34" spans="1:16" ht="25.5" x14ac:dyDescent="0.25">
      <c r="A34" s="520" t="s">
        <v>87</v>
      </c>
      <c r="B34" s="58"/>
      <c r="C34" s="530" t="s">
        <v>87</v>
      </c>
      <c r="D34" s="254" t="s">
        <v>40</v>
      </c>
      <c r="E34" s="128" t="s">
        <v>143</v>
      </c>
      <c r="F34" s="518">
        <v>3000000</v>
      </c>
      <c r="G34" s="518">
        <v>2000000</v>
      </c>
      <c r="H34" s="587">
        <f>F34+G34</f>
        <v>5000000</v>
      </c>
      <c r="I34" s="573">
        <f>H34*D73</f>
        <v>16040000</v>
      </c>
      <c r="J34" s="554"/>
      <c r="L34" s="44"/>
      <c r="M34" s="44"/>
    </row>
    <row r="35" spans="1:16" ht="26.25" thickBot="1" x14ac:dyDescent="0.3">
      <c r="A35" s="520"/>
      <c r="B35" s="58"/>
      <c r="C35" s="531"/>
      <c r="D35" s="258" t="s">
        <v>40</v>
      </c>
      <c r="E35" s="148" t="s">
        <v>206</v>
      </c>
      <c r="F35" s="519"/>
      <c r="G35" s="519"/>
      <c r="H35" s="588"/>
      <c r="I35" s="573"/>
      <c r="J35" s="554"/>
      <c r="K35" s="1"/>
      <c r="L35" s="44"/>
      <c r="M35" s="44"/>
    </row>
    <row r="36" spans="1:16" ht="26.25" thickBot="1" x14ac:dyDescent="0.3">
      <c r="A36" s="40" t="s">
        <v>88</v>
      </c>
      <c r="C36" s="118" t="s">
        <v>88</v>
      </c>
      <c r="D36" s="259" t="s">
        <v>40</v>
      </c>
      <c r="E36" s="129" t="s">
        <v>141</v>
      </c>
      <c r="F36" s="160">
        <v>250000</v>
      </c>
      <c r="G36" s="160">
        <v>0</v>
      </c>
      <c r="H36" s="199">
        <f>F36+G36</f>
        <v>250000</v>
      </c>
      <c r="I36" s="201">
        <f>H36*D73</f>
        <v>802000</v>
      </c>
      <c r="J36" s="44"/>
      <c r="L36" s="44"/>
      <c r="M36" s="44"/>
    </row>
    <row r="37" spans="1:16" ht="30.75" customHeight="1" thickBot="1" x14ac:dyDescent="0.35">
      <c r="A37" s="55"/>
      <c r="C37" s="122"/>
      <c r="D37" s="123"/>
      <c r="E37" s="205" t="s">
        <v>9</v>
      </c>
      <c r="F37" s="206">
        <f>F38+F39+F40+F41+F43+F44+F45+F46+F47+F48+F49</f>
        <v>1900000</v>
      </c>
      <c r="G37" s="206">
        <f>G38+G39+G40+G41+G43+G44+G45+G46+G47+G48+G49</f>
        <v>50000</v>
      </c>
      <c r="H37" s="221">
        <f>F37+G37</f>
        <v>1950000</v>
      </c>
      <c r="I37" s="222">
        <f>H37*D73</f>
        <v>6255600</v>
      </c>
      <c r="J37" s="44"/>
      <c r="K37" s="9"/>
      <c r="L37" s="44"/>
      <c r="M37" s="44"/>
      <c r="P37" s="45"/>
    </row>
    <row r="38" spans="1:16" ht="26.25" thickBot="1" x14ac:dyDescent="0.3">
      <c r="A38" s="516" t="s">
        <v>90</v>
      </c>
      <c r="B38" s="56"/>
      <c r="C38" s="530" t="s">
        <v>90</v>
      </c>
      <c r="D38" s="260" t="s">
        <v>40</v>
      </c>
      <c r="E38" s="204" t="s">
        <v>144</v>
      </c>
      <c r="F38" s="202"/>
      <c r="G38" s="202"/>
      <c r="H38" s="219"/>
      <c r="I38" s="217"/>
      <c r="J38" s="44"/>
      <c r="L38" s="44"/>
      <c r="M38" s="44"/>
    </row>
    <row r="39" spans="1:16" x14ac:dyDescent="0.25">
      <c r="A39" s="516"/>
      <c r="B39" s="56"/>
      <c r="C39" s="532"/>
      <c r="D39" s="255" t="s">
        <v>2</v>
      </c>
      <c r="E39" s="207" t="s">
        <v>207</v>
      </c>
      <c r="F39" s="563">
        <v>150000</v>
      </c>
      <c r="G39" s="563">
        <v>0</v>
      </c>
      <c r="H39" s="563">
        <f>F39+G39</f>
        <v>150000</v>
      </c>
      <c r="I39" s="570">
        <f>H39*D73</f>
        <v>481200</v>
      </c>
      <c r="J39" s="44"/>
      <c r="L39" s="44"/>
      <c r="M39" s="44"/>
    </row>
    <row r="40" spans="1:16" ht="25.5" x14ac:dyDescent="0.25">
      <c r="A40" s="516"/>
      <c r="B40" s="56"/>
      <c r="C40" s="532"/>
      <c r="D40" s="255" t="s">
        <v>2</v>
      </c>
      <c r="E40" s="144" t="s">
        <v>208</v>
      </c>
      <c r="F40" s="563"/>
      <c r="G40" s="563"/>
      <c r="H40" s="563"/>
      <c r="I40" s="570"/>
      <c r="J40" s="44"/>
      <c r="L40" s="44"/>
      <c r="M40" s="44"/>
    </row>
    <row r="41" spans="1:16" ht="25.5" x14ac:dyDescent="0.25">
      <c r="A41" s="516"/>
      <c r="B41" s="56"/>
      <c r="C41" s="532"/>
      <c r="D41" s="255" t="s">
        <v>2</v>
      </c>
      <c r="E41" s="145" t="s">
        <v>209</v>
      </c>
      <c r="F41" s="563"/>
      <c r="G41" s="563"/>
      <c r="H41" s="563"/>
      <c r="I41" s="570"/>
      <c r="J41" s="44"/>
      <c r="L41" s="44"/>
      <c r="M41" s="44"/>
    </row>
    <row r="42" spans="1:16" ht="38.25" x14ac:dyDescent="0.25">
      <c r="A42" s="516"/>
      <c r="B42" s="56"/>
      <c r="C42" s="586"/>
      <c r="D42" s="243" t="s">
        <v>2</v>
      </c>
      <c r="E42" s="282" t="s">
        <v>211</v>
      </c>
      <c r="F42" s="563"/>
      <c r="G42" s="563"/>
      <c r="H42" s="563"/>
      <c r="I42" s="570"/>
      <c r="J42" s="44"/>
      <c r="L42" s="44"/>
      <c r="M42" s="44"/>
    </row>
    <row r="43" spans="1:16" ht="26.25" thickBot="1" x14ac:dyDescent="0.3">
      <c r="A43" s="516"/>
      <c r="B43" s="56"/>
      <c r="C43" s="531"/>
      <c r="D43" s="280" t="s">
        <v>38</v>
      </c>
      <c r="E43" s="281" t="s">
        <v>212</v>
      </c>
      <c r="F43" s="564"/>
      <c r="G43" s="564"/>
      <c r="H43" s="564"/>
      <c r="I43" s="575"/>
      <c r="J43" s="46"/>
      <c r="K43" s="14" t="s">
        <v>105</v>
      </c>
      <c r="L43" s="44"/>
      <c r="M43" s="44"/>
    </row>
    <row r="44" spans="1:16" ht="26.25" thickBot="1" x14ac:dyDescent="0.3">
      <c r="A44" s="39" t="s">
        <v>91</v>
      </c>
      <c r="B44" s="59"/>
      <c r="C44" s="86" t="s">
        <v>91</v>
      </c>
      <c r="D44" s="251" t="s">
        <v>40</v>
      </c>
      <c r="E44" s="130" t="s">
        <v>147</v>
      </c>
      <c r="F44" s="234">
        <v>400000</v>
      </c>
      <c r="G44" s="234">
        <v>0</v>
      </c>
      <c r="H44" s="186">
        <f t="shared" ref="H44:H49" si="1">F44+G44</f>
        <v>400000</v>
      </c>
      <c r="I44" s="201">
        <f>H44*D73</f>
        <v>1283200</v>
      </c>
      <c r="J44" s="44"/>
      <c r="L44" s="44"/>
      <c r="M44" s="44"/>
    </row>
    <row r="45" spans="1:16" x14ac:dyDescent="0.25">
      <c r="A45" s="516" t="s">
        <v>89</v>
      </c>
      <c r="B45" s="56"/>
      <c r="C45" s="538" t="s">
        <v>89</v>
      </c>
      <c r="D45" s="236" t="s">
        <v>40</v>
      </c>
      <c r="E45" s="157" t="s">
        <v>148</v>
      </c>
      <c r="F45" s="235">
        <v>600000</v>
      </c>
      <c r="G45" s="236">
        <v>0</v>
      </c>
      <c r="H45" s="584">
        <f>G45+G46+F46+F45</f>
        <v>600000</v>
      </c>
      <c r="I45" s="574">
        <f>H45*D73</f>
        <v>1924800</v>
      </c>
      <c r="J45" s="44"/>
      <c r="L45" s="44"/>
      <c r="M45" s="44"/>
    </row>
    <row r="46" spans="1:16" ht="26.25" thickBot="1" x14ac:dyDescent="0.3">
      <c r="A46" s="516"/>
      <c r="B46" s="56"/>
      <c r="C46" s="539"/>
      <c r="D46" s="238" t="s">
        <v>2</v>
      </c>
      <c r="E46" s="143" t="s">
        <v>210</v>
      </c>
      <c r="F46" s="237">
        <v>0</v>
      </c>
      <c r="G46" s="238">
        <v>0</v>
      </c>
      <c r="H46" s="585"/>
      <c r="I46" s="574"/>
      <c r="J46" s="44"/>
      <c r="L46" s="44"/>
      <c r="M46" s="44"/>
    </row>
    <row r="47" spans="1:16" ht="15.75" thickBot="1" x14ac:dyDescent="0.3">
      <c r="A47" s="162"/>
      <c r="B47" s="56"/>
      <c r="C47" s="92" t="s">
        <v>96</v>
      </c>
      <c r="D47" s="251" t="s">
        <v>40</v>
      </c>
      <c r="E47" s="283" t="s">
        <v>226</v>
      </c>
      <c r="F47" s="234">
        <v>500000</v>
      </c>
      <c r="G47" s="234">
        <v>0</v>
      </c>
      <c r="H47" s="187">
        <f>F47+G47</f>
        <v>500000</v>
      </c>
      <c r="I47" s="233">
        <f>H47*D73</f>
        <v>1604000</v>
      </c>
      <c r="J47" s="44"/>
      <c r="L47" s="44"/>
      <c r="M47" s="44"/>
    </row>
    <row r="48" spans="1:16" ht="15.75" thickBot="1" x14ac:dyDescent="0.3">
      <c r="A48" s="40" t="s">
        <v>96</v>
      </c>
      <c r="C48" s="87" t="s">
        <v>97</v>
      </c>
      <c r="D48" s="251" t="s">
        <v>40</v>
      </c>
      <c r="E48" s="130" t="s">
        <v>149</v>
      </c>
      <c r="F48" s="234">
        <v>100000</v>
      </c>
      <c r="G48" s="234">
        <v>50000</v>
      </c>
      <c r="H48" s="186">
        <f t="shared" si="1"/>
        <v>150000</v>
      </c>
      <c r="I48" s="233">
        <f>H48*D73</f>
        <v>481200</v>
      </c>
      <c r="J48" s="44"/>
      <c r="L48" s="44"/>
      <c r="M48" s="44"/>
    </row>
    <row r="49" spans="1:13" ht="26.25" thickBot="1" x14ac:dyDescent="0.3">
      <c r="A49" s="41" t="s">
        <v>97</v>
      </c>
      <c r="B49" s="60"/>
      <c r="C49" s="167" t="s">
        <v>163</v>
      </c>
      <c r="D49" s="259" t="s">
        <v>40</v>
      </c>
      <c r="E49" s="130" t="s">
        <v>150</v>
      </c>
      <c r="F49" s="234">
        <v>150000</v>
      </c>
      <c r="G49" s="234">
        <v>0</v>
      </c>
      <c r="H49" s="186">
        <f t="shared" si="1"/>
        <v>150000</v>
      </c>
      <c r="I49" s="233">
        <f>H49*D73</f>
        <v>481200</v>
      </c>
      <c r="J49" s="44"/>
      <c r="L49" s="44"/>
      <c r="M49" s="44"/>
    </row>
    <row r="50" spans="1:13" ht="24.75" customHeight="1" thickBot="1" x14ac:dyDescent="0.35">
      <c r="A50" s="55"/>
      <c r="C50" s="122"/>
      <c r="D50" s="123"/>
      <c r="E50" s="166" t="s">
        <v>166</v>
      </c>
      <c r="F50" s="112">
        <f>F51+F52+F53+F54</f>
        <v>1600000</v>
      </c>
      <c r="G50" s="112">
        <f>G51+G52+G53+G54</f>
        <v>0</v>
      </c>
      <c r="H50" s="188">
        <f>F50+G50</f>
        <v>1600000</v>
      </c>
      <c r="I50" s="222">
        <f>H50*D73</f>
        <v>5132800</v>
      </c>
      <c r="J50" s="44"/>
      <c r="K50" s="9"/>
      <c r="L50" s="44"/>
      <c r="M50" s="44"/>
    </row>
    <row r="51" spans="1:13" ht="24.75" customHeight="1" thickBot="1" x14ac:dyDescent="0.3">
      <c r="A51" s="55"/>
      <c r="C51" s="530" t="s">
        <v>102</v>
      </c>
      <c r="D51" s="260" t="s">
        <v>40</v>
      </c>
      <c r="E51" s="204" t="s">
        <v>216</v>
      </c>
      <c r="F51" s="202"/>
      <c r="G51" s="202"/>
      <c r="H51" s="219"/>
      <c r="I51" s="223"/>
      <c r="J51" s="44"/>
      <c r="K51" s="9"/>
      <c r="L51" s="44"/>
      <c r="M51" s="44"/>
    </row>
    <row r="52" spans="1:13" ht="18" customHeight="1" x14ac:dyDescent="0.25">
      <c r="A52" s="55"/>
      <c r="C52" s="532"/>
      <c r="D52" s="253" t="s">
        <v>40</v>
      </c>
      <c r="E52" s="203" t="s">
        <v>213</v>
      </c>
      <c r="F52" s="276">
        <v>1350000</v>
      </c>
      <c r="G52" s="276">
        <v>0</v>
      </c>
      <c r="H52" s="570">
        <f>F52+G52+F53+G53+F54+G54</f>
        <v>1600000</v>
      </c>
      <c r="I52" s="580">
        <f>H52*D73</f>
        <v>5132800</v>
      </c>
      <c r="J52" s="44"/>
      <c r="K52" s="9"/>
      <c r="L52" s="44"/>
      <c r="M52" s="44"/>
    </row>
    <row r="53" spans="1:13" ht="27.75" customHeight="1" x14ac:dyDescent="0.25">
      <c r="A53" s="55"/>
      <c r="C53" s="532"/>
      <c r="D53" s="253" t="s">
        <v>40</v>
      </c>
      <c r="E53" s="141" t="s">
        <v>215</v>
      </c>
      <c r="F53" s="232">
        <v>150000</v>
      </c>
      <c r="G53" s="232">
        <v>0</v>
      </c>
      <c r="H53" s="570"/>
      <c r="I53" s="580"/>
      <c r="J53" s="44"/>
      <c r="K53" s="9"/>
      <c r="L53" s="44"/>
      <c r="M53" s="44"/>
    </row>
    <row r="54" spans="1:13" ht="26.25" thickBot="1" x14ac:dyDescent="0.3">
      <c r="A54" s="162" t="s">
        <v>102</v>
      </c>
      <c r="B54" s="56"/>
      <c r="C54" s="531"/>
      <c r="D54" s="261" t="s">
        <v>38</v>
      </c>
      <c r="E54" s="142" t="s">
        <v>214</v>
      </c>
      <c r="F54" s="240">
        <v>100000</v>
      </c>
      <c r="G54" s="240">
        <v>0</v>
      </c>
      <c r="H54" s="571"/>
      <c r="I54" s="581"/>
      <c r="J54" s="44"/>
      <c r="K54" s="36" t="s">
        <v>68</v>
      </c>
      <c r="L54" s="44"/>
      <c r="M54" s="44"/>
    </row>
    <row r="55" spans="1:13" ht="24" customHeight="1" thickBot="1" x14ac:dyDescent="0.35">
      <c r="A55" s="55"/>
      <c r="C55" s="122"/>
      <c r="D55" s="123"/>
      <c r="E55" s="166" t="s">
        <v>165</v>
      </c>
      <c r="F55" s="112">
        <f>F56+F57+F58+F59+F60+F61+F62</f>
        <v>651000</v>
      </c>
      <c r="G55" s="112">
        <f>G56+G57+G58+G59+G60+G61+G62</f>
        <v>200000</v>
      </c>
      <c r="H55" s="189">
        <f>F55+G55</f>
        <v>851000</v>
      </c>
      <c r="I55" s="198">
        <f>H55*D73</f>
        <v>2730008</v>
      </c>
      <c r="J55" s="44"/>
      <c r="K55" s="9"/>
      <c r="L55" s="44"/>
      <c r="M55" s="44"/>
    </row>
    <row r="56" spans="1:13" ht="26.25" thickBot="1" x14ac:dyDescent="0.3">
      <c r="A56" s="536" t="s">
        <v>103</v>
      </c>
      <c r="B56" s="58"/>
      <c r="C56" s="540" t="s">
        <v>92</v>
      </c>
      <c r="D56" s="236" t="s">
        <v>40</v>
      </c>
      <c r="E56" s="131" t="s">
        <v>153</v>
      </c>
      <c r="F56" s="235">
        <v>110000</v>
      </c>
      <c r="G56" s="235">
        <v>100000</v>
      </c>
      <c r="H56" s="190">
        <f>F56+G56</f>
        <v>210000</v>
      </c>
      <c r="I56" s="201">
        <f>H56*D73</f>
        <v>673680</v>
      </c>
      <c r="J56" s="44"/>
      <c r="L56" s="44"/>
      <c r="M56" s="44"/>
    </row>
    <row r="57" spans="1:13" ht="15.75" hidden="1" thickBot="1" x14ac:dyDescent="0.3">
      <c r="A57" s="537"/>
      <c r="B57" s="58"/>
      <c r="C57" s="541"/>
      <c r="D57" s="238" t="s">
        <v>2</v>
      </c>
      <c r="E57" s="91" t="s">
        <v>154</v>
      </c>
      <c r="F57" s="237"/>
      <c r="G57" s="237"/>
      <c r="H57" s="191">
        <f t="shared" ref="H57:H62" si="2">F57+G57</f>
        <v>0</v>
      </c>
      <c r="I57" s="232"/>
      <c r="J57" s="44"/>
      <c r="K57" t="s">
        <v>111</v>
      </c>
      <c r="L57" s="44"/>
      <c r="M57" s="44"/>
    </row>
    <row r="58" spans="1:13" ht="25.5" x14ac:dyDescent="0.25">
      <c r="A58" s="516" t="s">
        <v>104</v>
      </c>
      <c r="B58" s="56"/>
      <c r="C58" s="542" t="s">
        <v>103</v>
      </c>
      <c r="D58" s="262" t="s">
        <v>2</v>
      </c>
      <c r="E58" s="158" t="s">
        <v>217</v>
      </c>
      <c r="F58" s="271"/>
      <c r="G58" s="271">
        <v>50000</v>
      </c>
      <c r="H58" s="576">
        <f>F58+G58+F59+G59</f>
        <v>100000</v>
      </c>
      <c r="I58" s="573">
        <f>H58*D73</f>
        <v>320800</v>
      </c>
      <c r="J58" s="44"/>
      <c r="L58" s="44"/>
      <c r="M58" s="44"/>
    </row>
    <row r="59" spans="1:13" ht="15.75" thickBot="1" x14ac:dyDescent="0.3">
      <c r="A59" s="516"/>
      <c r="B59" s="56"/>
      <c r="C59" s="532"/>
      <c r="D59" s="263" t="s">
        <v>40</v>
      </c>
      <c r="E59" s="146" t="s">
        <v>218</v>
      </c>
      <c r="F59" s="232">
        <v>0</v>
      </c>
      <c r="G59" s="232">
        <v>50000</v>
      </c>
      <c r="H59" s="577"/>
      <c r="I59" s="573"/>
      <c r="J59" s="44"/>
      <c r="K59" t="s">
        <v>69</v>
      </c>
      <c r="L59" s="44"/>
      <c r="M59" s="44"/>
    </row>
    <row r="60" spans="1:13" ht="15.75" thickBot="1" x14ac:dyDescent="0.3">
      <c r="A60" s="42" t="s">
        <v>107</v>
      </c>
      <c r="B60" s="61"/>
      <c r="C60" s="92" t="s">
        <v>104</v>
      </c>
      <c r="D60" s="264" t="s">
        <v>40</v>
      </c>
      <c r="E60" s="159" t="s">
        <v>177</v>
      </c>
      <c r="F60" s="272">
        <v>141000</v>
      </c>
      <c r="G60" s="272">
        <v>0</v>
      </c>
      <c r="H60" s="231">
        <f>F60+G60</f>
        <v>141000</v>
      </c>
      <c r="I60" s="232">
        <f>H60*D73</f>
        <v>452328</v>
      </c>
      <c r="J60" s="44"/>
      <c r="K60" t="s">
        <v>70</v>
      </c>
      <c r="L60" s="44"/>
      <c r="M60" s="44"/>
    </row>
    <row r="61" spans="1:13" ht="26.25" thickBot="1" x14ac:dyDescent="0.3">
      <c r="A61" s="42"/>
      <c r="B61" s="61"/>
      <c r="C61" s="92" t="s">
        <v>107</v>
      </c>
      <c r="D61" s="265" t="s">
        <v>2</v>
      </c>
      <c r="E61" s="132" t="s">
        <v>158</v>
      </c>
      <c r="F61" s="273">
        <v>200000</v>
      </c>
      <c r="G61" s="273">
        <v>0</v>
      </c>
      <c r="H61" s="200">
        <f t="shared" si="2"/>
        <v>200000</v>
      </c>
      <c r="I61" s="201">
        <f>H61*D73</f>
        <v>641600</v>
      </c>
      <c r="J61" s="44"/>
      <c r="L61" s="44"/>
      <c r="M61" s="44"/>
    </row>
    <row r="62" spans="1:13" ht="15.75" thickBot="1" x14ac:dyDescent="0.3">
      <c r="A62" s="42"/>
      <c r="B62" s="61"/>
      <c r="C62" s="92" t="s">
        <v>159</v>
      </c>
      <c r="D62" s="265" t="s">
        <v>2</v>
      </c>
      <c r="E62" s="132" t="s">
        <v>160</v>
      </c>
      <c r="F62" s="273">
        <v>200000</v>
      </c>
      <c r="G62" s="273">
        <v>0</v>
      </c>
      <c r="H62" s="200">
        <f t="shared" si="2"/>
        <v>200000</v>
      </c>
      <c r="I62" s="201">
        <f>H62*D73</f>
        <v>641600</v>
      </c>
      <c r="J62" s="44"/>
      <c r="L62" s="44"/>
      <c r="M62" s="44"/>
    </row>
    <row r="63" spans="1:13" ht="19.5" thickBot="1" x14ac:dyDescent="0.35">
      <c r="A63" s="55"/>
      <c r="C63" s="122"/>
      <c r="D63" s="123"/>
      <c r="E63" s="124" t="s">
        <v>164</v>
      </c>
      <c r="F63" s="125">
        <f>F64+F65+F66+F67+F68+F69</f>
        <v>201341</v>
      </c>
      <c r="G63" s="125">
        <f>G64+G65+G66+G67+G68+G69</f>
        <v>6112341</v>
      </c>
      <c r="H63" s="185">
        <f t="shared" ref="H63:H69" si="3">G63+F63</f>
        <v>6313682</v>
      </c>
      <c r="I63" s="197">
        <f>H63*D73</f>
        <v>20254291.856000002</v>
      </c>
      <c r="J63" s="44"/>
      <c r="K63" s="9"/>
      <c r="L63" s="44"/>
      <c r="M63" s="44"/>
    </row>
    <row r="64" spans="1:13" ht="17.25" customHeight="1" x14ac:dyDescent="0.25">
      <c r="A64" s="40"/>
      <c r="C64" s="561"/>
      <c r="D64" s="254" t="s">
        <v>40</v>
      </c>
      <c r="E64" s="127" t="s">
        <v>219</v>
      </c>
      <c r="F64" s="245">
        <f>200000+1341</f>
        <v>201341</v>
      </c>
      <c r="G64" s="245">
        <v>0</v>
      </c>
      <c r="H64" s="192">
        <f t="shared" si="3"/>
        <v>201341</v>
      </c>
      <c r="I64" s="196">
        <f>H64*D73</f>
        <v>645901.92800000007</v>
      </c>
      <c r="J64" s="44"/>
      <c r="L64" s="44"/>
      <c r="M64" s="44"/>
    </row>
    <row r="65" spans="1:13" x14ac:dyDescent="0.25">
      <c r="A65" s="40"/>
      <c r="C65" s="561"/>
      <c r="D65" s="253" t="s">
        <v>40</v>
      </c>
      <c r="E65" s="68" t="s">
        <v>220</v>
      </c>
      <c r="F65" s="274">
        <v>0</v>
      </c>
      <c r="G65" s="274">
        <v>300000</v>
      </c>
      <c r="H65" s="193">
        <f t="shared" si="3"/>
        <v>300000</v>
      </c>
      <c r="I65" s="196">
        <f>H65*D73</f>
        <v>962400</v>
      </c>
      <c r="J65" s="44"/>
      <c r="L65" s="44"/>
      <c r="M65" s="44"/>
    </row>
    <row r="66" spans="1:13" x14ac:dyDescent="0.25">
      <c r="A66" s="40"/>
      <c r="C66" s="561"/>
      <c r="D66" s="253" t="s">
        <v>40</v>
      </c>
      <c r="E66" s="68" t="s">
        <v>221</v>
      </c>
      <c r="F66" s="274">
        <v>0</v>
      </c>
      <c r="G66" s="274">
        <v>3000000</v>
      </c>
      <c r="H66" s="193">
        <f t="shared" si="3"/>
        <v>3000000</v>
      </c>
      <c r="I66" s="196">
        <f>H66*D73</f>
        <v>9624000</v>
      </c>
      <c r="J66" s="44"/>
      <c r="L66" s="44"/>
      <c r="M66" s="44"/>
    </row>
    <row r="67" spans="1:13" x14ac:dyDescent="0.25">
      <c r="A67" s="40"/>
      <c r="C67" s="561"/>
      <c r="D67" s="253" t="s">
        <v>40</v>
      </c>
      <c r="E67" s="68" t="s">
        <v>222</v>
      </c>
      <c r="F67" s="274">
        <v>0</v>
      </c>
      <c r="G67" s="274">
        <v>2000000</v>
      </c>
      <c r="H67" s="193">
        <f t="shared" si="3"/>
        <v>2000000</v>
      </c>
      <c r="I67" s="196">
        <f>H67*D73</f>
        <v>6416000</v>
      </c>
      <c r="J67" s="44"/>
      <c r="L67" s="44"/>
      <c r="M67" s="44"/>
    </row>
    <row r="68" spans="1:13" x14ac:dyDescent="0.25">
      <c r="A68" s="40"/>
      <c r="C68" s="561"/>
      <c r="D68" s="253" t="s">
        <v>40</v>
      </c>
      <c r="E68" s="68" t="s">
        <v>223</v>
      </c>
      <c r="F68" s="274">
        <v>0</v>
      </c>
      <c r="G68" s="274">
        <f>725000-112659</f>
        <v>612341</v>
      </c>
      <c r="H68" s="193">
        <f t="shared" si="3"/>
        <v>612341</v>
      </c>
      <c r="I68" s="196">
        <f>H68*D73</f>
        <v>1964389.9280000001</v>
      </c>
      <c r="J68" s="44"/>
      <c r="L68" s="44"/>
      <c r="M68" s="44"/>
    </row>
    <row r="69" spans="1:13" ht="15.75" thickBot="1" x14ac:dyDescent="0.3">
      <c r="A69" s="40"/>
      <c r="C69" s="561"/>
      <c r="D69" s="266" t="s">
        <v>40</v>
      </c>
      <c r="E69" s="228" t="s">
        <v>224</v>
      </c>
      <c r="F69" s="275">
        <v>0</v>
      </c>
      <c r="G69" s="275">
        <v>200000</v>
      </c>
      <c r="H69" s="224">
        <f t="shared" si="3"/>
        <v>200000</v>
      </c>
      <c r="I69" s="225">
        <f>H69*D73</f>
        <v>641600</v>
      </c>
      <c r="J69" s="44"/>
      <c r="L69" s="44"/>
      <c r="M69" s="44"/>
    </row>
    <row r="70" spans="1:13" ht="30" customHeight="1" thickBot="1" x14ac:dyDescent="0.45">
      <c r="A70" s="37"/>
      <c r="B70" s="59"/>
      <c r="C70" s="582" t="s">
        <v>100</v>
      </c>
      <c r="D70" s="583"/>
      <c r="E70" s="583"/>
      <c r="F70" s="229">
        <f>F63+F55+F50+F37+F33+F3</f>
        <v>52512341</v>
      </c>
      <c r="G70" s="229">
        <f>G63+G55+G50+G37+G33+G3</f>
        <v>52512341</v>
      </c>
      <c r="H70" s="229">
        <f>F70+G70</f>
        <v>105024682</v>
      </c>
      <c r="I70" s="230">
        <f>H70*D73</f>
        <v>336919179.85600001</v>
      </c>
      <c r="J70" s="181"/>
      <c r="L70" s="44"/>
      <c r="M70" s="44"/>
    </row>
    <row r="71" spans="1:13" ht="15.75" thickBot="1" x14ac:dyDescent="0.3">
      <c r="C71" s="267" t="s">
        <v>181</v>
      </c>
      <c r="D71" s="268"/>
      <c r="E71" s="269"/>
      <c r="F71" s="226">
        <f>52512341-F70</f>
        <v>0</v>
      </c>
      <c r="G71" s="227">
        <f>52512341-G70</f>
        <v>0</v>
      </c>
      <c r="H71" s="227">
        <f>F71+G71</f>
        <v>0</v>
      </c>
      <c r="I71" s="100"/>
      <c r="J71" s="44"/>
      <c r="L71" s="44"/>
      <c r="M71" s="44"/>
    </row>
    <row r="72" spans="1:13" x14ac:dyDescent="0.25">
      <c r="C72" s="270" t="s">
        <v>182</v>
      </c>
      <c r="D72" s="267"/>
      <c r="E72" s="267"/>
      <c r="F72" s="572" t="s">
        <v>231</v>
      </c>
      <c r="G72" s="572"/>
      <c r="H72" s="572"/>
      <c r="I72" s="572"/>
      <c r="J72" s="44"/>
      <c r="K72" s="44"/>
      <c r="L72" s="44"/>
      <c r="M72" s="44"/>
    </row>
    <row r="73" spans="1:13" x14ac:dyDescent="0.25">
      <c r="C73" s="267" t="s">
        <v>180</v>
      </c>
      <c r="D73" s="270">
        <v>3.2080000000000002</v>
      </c>
      <c r="E73" s="267"/>
      <c r="F73" s="44"/>
      <c r="G73" s="44"/>
      <c r="H73" s="44"/>
      <c r="I73" s="44"/>
      <c r="J73" s="44"/>
      <c r="K73" s="44"/>
      <c r="L73" s="44"/>
      <c r="M73" s="44"/>
    </row>
    <row r="74" spans="1:13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13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</sheetData>
  <mergeCells count="54">
    <mergeCell ref="C1:H1"/>
    <mergeCell ref="C2:C3"/>
    <mergeCell ref="D2:D3"/>
    <mergeCell ref="A14:A18"/>
    <mergeCell ref="C14:C18"/>
    <mergeCell ref="D16:D18"/>
    <mergeCell ref="H15:H18"/>
    <mergeCell ref="K23:K25"/>
    <mergeCell ref="A27:A29"/>
    <mergeCell ref="C27:C29"/>
    <mergeCell ref="H27:H29"/>
    <mergeCell ref="D28:D29"/>
    <mergeCell ref="A22:A25"/>
    <mergeCell ref="C22:C26"/>
    <mergeCell ref="D22:D26"/>
    <mergeCell ref="J34:J35"/>
    <mergeCell ref="A38:A43"/>
    <mergeCell ref="C38:C43"/>
    <mergeCell ref="H39:H43"/>
    <mergeCell ref="A34:A35"/>
    <mergeCell ref="C34:C35"/>
    <mergeCell ref="F34:F35"/>
    <mergeCell ref="G34:G35"/>
    <mergeCell ref="H34:H35"/>
    <mergeCell ref="I34:I35"/>
    <mergeCell ref="C64:C69"/>
    <mergeCell ref="C70:E70"/>
    <mergeCell ref="A45:A46"/>
    <mergeCell ref="C45:C46"/>
    <mergeCell ref="H45:H46"/>
    <mergeCell ref="C51:C54"/>
    <mergeCell ref="A56:A57"/>
    <mergeCell ref="C56:C57"/>
    <mergeCell ref="H52:H54"/>
    <mergeCell ref="I15:I18"/>
    <mergeCell ref="I39:I43"/>
    <mergeCell ref="A58:A59"/>
    <mergeCell ref="C58:C59"/>
    <mergeCell ref="H58:H59"/>
    <mergeCell ref="A30:A32"/>
    <mergeCell ref="C30:C32"/>
    <mergeCell ref="H30:H32"/>
    <mergeCell ref="F23:F26"/>
    <mergeCell ref="G23:G26"/>
    <mergeCell ref="H23:H26"/>
    <mergeCell ref="I23:I26"/>
    <mergeCell ref="I27:I29"/>
    <mergeCell ref="I52:I54"/>
    <mergeCell ref="F72:I72"/>
    <mergeCell ref="I58:I59"/>
    <mergeCell ref="F39:F43"/>
    <mergeCell ref="G39:G43"/>
    <mergeCell ref="I30:I32"/>
    <mergeCell ref="I45:I46"/>
  </mergeCells>
  <pageMargins left="0.70866141732283472" right="0.70866141732283472" top="0.35433070866141736" bottom="0.35433070866141736" header="0.31496062992125984" footer="0.31496062992125984"/>
  <pageSetup paperSize="8" scale="71" fitToHeight="10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topLeftCell="B1" zoomScaleNormal="100" zoomScaleSheetLayoutView="100" zoomScalePageLayoutView="47" workbookViewId="0">
      <selection activeCell="H47" sqref="H47"/>
    </sheetView>
  </sheetViews>
  <sheetFormatPr defaultRowHeight="15" x14ac:dyDescent="0.25"/>
  <cols>
    <col min="1" max="1" width="12" hidden="1" customWidth="1"/>
    <col min="2" max="2" width="5" style="52" customWidth="1"/>
    <col min="3" max="3" width="7.5703125" customWidth="1"/>
    <col min="4" max="4" width="84.5703125" customWidth="1"/>
    <col min="5" max="5" width="14.28515625" bestFit="1" customWidth="1"/>
    <col min="6" max="6" width="13.42578125" customWidth="1"/>
    <col min="7" max="7" width="14.7109375" customWidth="1"/>
    <col min="8" max="8" width="15.140625" customWidth="1"/>
    <col min="10" max="10" width="92.7109375" hidden="1" customWidth="1"/>
    <col min="15" max="15" width="15.85546875" bestFit="1" customWidth="1"/>
  </cols>
  <sheetData>
    <row r="1" spans="1:12" ht="67.5" customHeight="1" thickBot="1" x14ac:dyDescent="0.3">
      <c r="C1" s="600" t="s">
        <v>225</v>
      </c>
      <c r="D1" s="600"/>
      <c r="E1" s="600"/>
      <c r="F1" s="600"/>
      <c r="G1" s="600"/>
      <c r="H1" s="51"/>
      <c r="I1" s="51"/>
      <c r="J1" s="52"/>
      <c r="K1" s="52"/>
      <c r="L1" s="44"/>
    </row>
    <row r="2" spans="1:12" ht="30" customHeight="1" x14ac:dyDescent="0.25">
      <c r="A2" s="9" t="s">
        <v>85</v>
      </c>
      <c r="C2" s="601" t="s">
        <v>112</v>
      </c>
      <c r="D2" s="306" t="s">
        <v>117</v>
      </c>
      <c r="E2" s="307" t="s">
        <v>183</v>
      </c>
      <c r="F2" s="307" t="s">
        <v>184</v>
      </c>
      <c r="G2" s="308" t="s">
        <v>185</v>
      </c>
      <c r="H2" s="309" t="s">
        <v>186</v>
      </c>
      <c r="I2" s="52"/>
      <c r="J2" s="52"/>
      <c r="K2" s="52"/>
      <c r="L2" s="44"/>
    </row>
    <row r="3" spans="1:12" ht="30" customHeight="1" thickBot="1" x14ac:dyDescent="0.3">
      <c r="A3" s="9"/>
      <c r="C3" s="602"/>
      <c r="D3" s="322" t="s">
        <v>167</v>
      </c>
      <c r="E3" s="323">
        <f>SUM(E4:E18)</f>
        <v>44910000</v>
      </c>
      <c r="F3" s="323">
        <f>SUM(F4:F18)</f>
        <v>44150000</v>
      </c>
      <c r="G3" s="323">
        <f>SUM(G4:G18)</f>
        <v>89060000</v>
      </c>
      <c r="H3" s="323">
        <f>SUM(H4:H18)</f>
        <v>285704480</v>
      </c>
      <c r="I3" s="52"/>
      <c r="J3" s="52"/>
      <c r="K3" s="52"/>
      <c r="L3" s="44"/>
    </row>
    <row r="4" spans="1:12" ht="24" customHeight="1" x14ac:dyDescent="0.25">
      <c r="A4" s="40" t="s">
        <v>72</v>
      </c>
      <c r="C4" s="320" t="s">
        <v>113</v>
      </c>
      <c r="D4" s="325" t="s">
        <v>194</v>
      </c>
      <c r="E4" s="292">
        <f>FINAL!F4</f>
        <v>2000000</v>
      </c>
      <c r="F4" s="292">
        <f>FINAL!G4</f>
        <v>19000000</v>
      </c>
      <c r="G4" s="292">
        <f t="shared" ref="G4:G13" si="0">E4+F4</f>
        <v>21000000</v>
      </c>
      <c r="H4" s="292">
        <f t="shared" ref="H4:H18" si="1">$D$49*G4</f>
        <v>67368000</v>
      </c>
      <c r="I4" s="52"/>
      <c r="J4" s="53" t="s">
        <v>63</v>
      </c>
      <c r="K4" s="52"/>
      <c r="L4" s="44"/>
    </row>
    <row r="5" spans="1:12" ht="39.75" customHeight="1" x14ac:dyDescent="0.25">
      <c r="A5" s="40" t="s">
        <v>109</v>
      </c>
      <c r="C5" s="320" t="s">
        <v>109</v>
      </c>
      <c r="D5" s="326" t="s">
        <v>195</v>
      </c>
      <c r="E5" s="292">
        <f>FINAL!F5</f>
        <v>13000000</v>
      </c>
      <c r="F5" s="292">
        <f>FINAL!G5</f>
        <v>3000000</v>
      </c>
      <c r="G5" s="292">
        <f t="shared" si="0"/>
        <v>16000000</v>
      </c>
      <c r="H5" s="292">
        <f t="shared" si="1"/>
        <v>51328000</v>
      </c>
      <c r="I5" s="44"/>
      <c r="J5" s="14"/>
      <c r="K5" s="44"/>
      <c r="L5" s="44"/>
    </row>
    <row r="6" spans="1:12" ht="27.75" customHeight="1" x14ac:dyDescent="0.25">
      <c r="A6" s="40" t="s">
        <v>73</v>
      </c>
      <c r="C6" s="320" t="s">
        <v>73</v>
      </c>
      <c r="D6" s="302" t="s">
        <v>187</v>
      </c>
      <c r="E6" s="292">
        <f>FINAL!F6</f>
        <v>630000</v>
      </c>
      <c r="F6" s="292">
        <f>FINAL!G6</f>
        <v>50000</v>
      </c>
      <c r="G6" s="292">
        <f t="shared" si="0"/>
        <v>680000</v>
      </c>
      <c r="H6" s="292">
        <f t="shared" si="1"/>
        <v>2181440</v>
      </c>
      <c r="I6" s="44"/>
      <c r="K6" s="44"/>
      <c r="L6" s="44"/>
    </row>
    <row r="7" spans="1:12" ht="24.75" customHeight="1" x14ac:dyDescent="0.25">
      <c r="A7" s="40" t="s">
        <v>74</v>
      </c>
      <c r="C7" s="320" t="s">
        <v>74</v>
      </c>
      <c r="D7" s="302" t="s">
        <v>188</v>
      </c>
      <c r="E7" s="292">
        <f>FINAL!F7</f>
        <v>530000</v>
      </c>
      <c r="F7" s="292">
        <f>FINAL!G7</f>
        <v>50000</v>
      </c>
      <c r="G7" s="292">
        <f t="shared" si="0"/>
        <v>580000</v>
      </c>
      <c r="H7" s="292">
        <f t="shared" si="1"/>
        <v>1860640</v>
      </c>
      <c r="I7" s="44"/>
      <c r="K7" s="44"/>
      <c r="L7" s="44"/>
    </row>
    <row r="8" spans="1:12" ht="25.5" x14ac:dyDescent="0.25">
      <c r="A8" s="40" t="s">
        <v>75</v>
      </c>
      <c r="C8" s="320" t="s">
        <v>75</v>
      </c>
      <c r="D8" s="302" t="s">
        <v>189</v>
      </c>
      <c r="E8" s="292">
        <f>FINAL!F8</f>
        <v>180000</v>
      </c>
      <c r="F8" s="292">
        <f>FINAL!G8</f>
        <v>0</v>
      </c>
      <c r="G8" s="292">
        <f t="shared" si="0"/>
        <v>180000</v>
      </c>
      <c r="H8" s="292">
        <f t="shared" si="1"/>
        <v>577440</v>
      </c>
      <c r="I8" s="44"/>
      <c r="K8" s="44"/>
      <c r="L8" s="44"/>
    </row>
    <row r="9" spans="1:12" x14ac:dyDescent="0.25">
      <c r="A9" s="40" t="s">
        <v>76</v>
      </c>
      <c r="C9" s="320" t="s">
        <v>76</v>
      </c>
      <c r="D9" s="302" t="s">
        <v>192</v>
      </c>
      <c r="E9" s="292">
        <f>FINAL!F9</f>
        <v>170000</v>
      </c>
      <c r="F9" s="292">
        <f>FINAL!G9</f>
        <v>7500000</v>
      </c>
      <c r="G9" s="292">
        <f t="shared" si="0"/>
        <v>7670000</v>
      </c>
      <c r="H9" s="292">
        <f t="shared" si="1"/>
        <v>24605360</v>
      </c>
      <c r="I9" s="44"/>
      <c r="K9" s="44"/>
      <c r="L9" s="44"/>
    </row>
    <row r="10" spans="1:12" x14ac:dyDescent="0.25">
      <c r="A10" s="40" t="s">
        <v>77</v>
      </c>
      <c r="C10" s="320" t="s">
        <v>118</v>
      </c>
      <c r="D10" s="302" t="s">
        <v>193</v>
      </c>
      <c r="E10" s="292">
        <f>FINAL!F10</f>
        <v>23500000</v>
      </c>
      <c r="F10" s="292">
        <f>FINAL!G10</f>
        <v>0</v>
      </c>
      <c r="G10" s="292">
        <f t="shared" si="0"/>
        <v>23500000</v>
      </c>
      <c r="H10" s="292">
        <f t="shared" si="1"/>
        <v>75388000</v>
      </c>
      <c r="I10" s="44"/>
      <c r="K10" s="44"/>
      <c r="L10" s="44"/>
    </row>
    <row r="11" spans="1:12" x14ac:dyDescent="0.25">
      <c r="A11" s="40" t="s">
        <v>78</v>
      </c>
      <c r="C11" s="320" t="s">
        <v>77</v>
      </c>
      <c r="D11" s="302" t="s">
        <v>190</v>
      </c>
      <c r="E11" s="292">
        <f>FINAL!F11</f>
        <v>1050000</v>
      </c>
      <c r="F11" s="292">
        <f>FINAL!G11</f>
        <v>0</v>
      </c>
      <c r="G11" s="292">
        <f t="shared" si="0"/>
        <v>1050000</v>
      </c>
      <c r="H11" s="292">
        <f t="shared" si="1"/>
        <v>3368400</v>
      </c>
      <c r="I11" s="44"/>
      <c r="K11" s="44"/>
      <c r="L11" s="44"/>
    </row>
    <row r="12" spans="1:12" ht="15.75" customHeight="1" x14ac:dyDescent="0.25">
      <c r="A12" s="40" t="s">
        <v>79</v>
      </c>
      <c r="C12" s="320" t="s">
        <v>114</v>
      </c>
      <c r="D12" s="302" t="s">
        <v>191</v>
      </c>
      <c r="E12" s="292">
        <f>FINAL!F12</f>
        <v>300000</v>
      </c>
      <c r="F12" s="292">
        <f>FINAL!G12</f>
        <v>10000000</v>
      </c>
      <c r="G12" s="292">
        <f t="shared" si="0"/>
        <v>10300000</v>
      </c>
      <c r="H12" s="292">
        <f t="shared" si="1"/>
        <v>33042400.000000004</v>
      </c>
      <c r="I12" s="44"/>
      <c r="K12" s="44"/>
      <c r="L12" s="44"/>
    </row>
    <row r="13" spans="1:12" x14ac:dyDescent="0.25">
      <c r="A13" s="40" t="s">
        <v>80</v>
      </c>
      <c r="C13" s="320" t="s">
        <v>78</v>
      </c>
      <c r="D13" s="302" t="s">
        <v>126</v>
      </c>
      <c r="E13" s="292">
        <f>FINAL!F13</f>
        <v>1050000</v>
      </c>
      <c r="F13" s="292">
        <f>FINAL!G13</f>
        <v>0</v>
      </c>
      <c r="G13" s="292">
        <f t="shared" si="0"/>
        <v>1050000</v>
      </c>
      <c r="H13" s="292">
        <f t="shared" si="1"/>
        <v>3368400</v>
      </c>
      <c r="I13" s="44"/>
      <c r="K13" s="44"/>
      <c r="L13" s="44"/>
    </row>
    <row r="14" spans="1:12" x14ac:dyDescent="0.25">
      <c r="A14" s="285" t="s">
        <v>81</v>
      </c>
      <c r="B14" s="56"/>
      <c r="C14" s="331" t="s">
        <v>79</v>
      </c>
      <c r="D14" s="329" t="s">
        <v>196</v>
      </c>
      <c r="E14" s="292">
        <v>0</v>
      </c>
      <c r="F14" s="292">
        <v>1000000</v>
      </c>
      <c r="G14" s="292">
        <f>E14+F14</f>
        <v>1000000</v>
      </c>
      <c r="H14" s="292">
        <f t="shared" si="1"/>
        <v>3208000</v>
      </c>
      <c r="I14" s="46"/>
      <c r="J14" t="s">
        <v>110</v>
      </c>
      <c r="K14" s="44"/>
      <c r="L14" s="44"/>
    </row>
    <row r="15" spans="1:12" x14ac:dyDescent="0.25">
      <c r="A15" s="40" t="s">
        <v>82</v>
      </c>
      <c r="C15" s="321" t="s">
        <v>80</v>
      </c>
      <c r="D15" s="302" t="s">
        <v>128</v>
      </c>
      <c r="E15" s="292">
        <f>FINAL!F19</f>
        <v>1000000</v>
      </c>
      <c r="F15" s="292">
        <f>FINAL!G19</f>
        <v>0</v>
      </c>
      <c r="G15" s="292">
        <f>E15+F15</f>
        <v>1000000</v>
      </c>
      <c r="H15" s="292">
        <f t="shared" si="1"/>
        <v>3208000</v>
      </c>
      <c r="I15" s="44"/>
      <c r="J15" t="s">
        <v>101</v>
      </c>
      <c r="K15" s="44"/>
      <c r="L15" s="44"/>
    </row>
    <row r="16" spans="1:12" ht="16.5" customHeight="1" x14ac:dyDescent="0.25">
      <c r="A16" s="284" t="s">
        <v>92</v>
      </c>
      <c r="B16" s="57"/>
      <c r="C16" s="321" t="s">
        <v>115</v>
      </c>
      <c r="D16" s="302" t="s">
        <v>178</v>
      </c>
      <c r="E16" s="292">
        <v>500000</v>
      </c>
      <c r="F16" s="292">
        <v>1500000</v>
      </c>
      <c r="G16" s="292">
        <f>E16+F16</f>
        <v>2000000</v>
      </c>
      <c r="H16" s="292">
        <f t="shared" si="1"/>
        <v>6416000</v>
      </c>
      <c r="I16" s="44"/>
      <c r="K16" s="44"/>
      <c r="L16" s="44"/>
    </row>
    <row r="17" spans="1:15" s="3" customFormat="1" ht="28.5" customHeight="1" x14ac:dyDescent="0.25">
      <c r="A17" s="286" t="s">
        <v>84</v>
      </c>
      <c r="B17" s="56"/>
      <c r="C17" s="321" t="s">
        <v>81</v>
      </c>
      <c r="D17" s="302" t="s">
        <v>227</v>
      </c>
      <c r="E17" s="292">
        <f>FINAL!F27</f>
        <v>0</v>
      </c>
      <c r="F17" s="292">
        <v>750000</v>
      </c>
      <c r="G17" s="292">
        <f>E17+F17</f>
        <v>750000</v>
      </c>
      <c r="H17" s="292">
        <f t="shared" si="1"/>
        <v>2406000</v>
      </c>
      <c r="I17" s="48"/>
      <c r="K17" s="44"/>
      <c r="L17" s="44"/>
    </row>
    <row r="18" spans="1:15" s="3" customFormat="1" ht="24.75" customHeight="1" thickBot="1" x14ac:dyDescent="0.3">
      <c r="A18" s="529" t="s">
        <v>86</v>
      </c>
      <c r="B18" s="58"/>
      <c r="C18" s="321" t="s">
        <v>82</v>
      </c>
      <c r="D18" s="303" t="s">
        <v>139</v>
      </c>
      <c r="E18" s="292">
        <f>FINAL!F30</f>
        <v>1000000</v>
      </c>
      <c r="F18" s="292">
        <v>1300000</v>
      </c>
      <c r="G18" s="292">
        <f>E18+F18</f>
        <v>2300000</v>
      </c>
      <c r="H18" s="292">
        <f t="shared" si="1"/>
        <v>7378400</v>
      </c>
      <c r="I18" s="49"/>
      <c r="K18" s="44"/>
      <c r="L18" s="44"/>
    </row>
    <row r="19" spans="1:15" s="3" customFormat="1" ht="28.5" hidden="1" customHeight="1" thickBot="1" x14ac:dyDescent="0.3">
      <c r="A19" s="529"/>
      <c r="B19" s="58"/>
      <c r="C19" s="302"/>
      <c r="D19" s="324" t="s">
        <v>204</v>
      </c>
      <c r="E19" s="324"/>
      <c r="F19" s="332">
        <f>FINAL!G31</f>
        <v>200000</v>
      </c>
      <c r="G19" s="324"/>
      <c r="H19" s="332">
        <f>D70*G19</f>
        <v>0</v>
      </c>
      <c r="I19" s="49"/>
      <c r="K19" s="44"/>
      <c r="L19" s="44"/>
    </row>
    <row r="20" spans="1:15" s="3" customFormat="1" ht="26.25" hidden="1" customHeight="1" thickBot="1" x14ac:dyDescent="0.3">
      <c r="A20" s="529"/>
      <c r="B20" s="58"/>
      <c r="C20" s="302"/>
      <c r="D20" s="294" t="s">
        <v>205</v>
      </c>
      <c r="E20" s="294"/>
      <c r="F20" s="305">
        <f>FINAL!G32</f>
        <v>100000</v>
      </c>
      <c r="G20" s="294"/>
      <c r="H20" s="305">
        <f>D71*G20</f>
        <v>0</v>
      </c>
      <c r="I20" s="44"/>
      <c r="J20" t="s">
        <v>66</v>
      </c>
      <c r="K20" s="44"/>
      <c r="L20" s="44"/>
    </row>
    <row r="21" spans="1:15" ht="31.5" customHeight="1" thickBot="1" x14ac:dyDescent="0.35">
      <c r="A21" s="55"/>
      <c r="C21" s="310"/>
      <c r="D21" s="315" t="s">
        <v>168</v>
      </c>
      <c r="E21" s="316">
        <f>SUM(E22:E23)</f>
        <v>3250000</v>
      </c>
      <c r="F21" s="316">
        <f>SUM(F22:F23)</f>
        <v>2000000</v>
      </c>
      <c r="G21" s="316">
        <f>SUM(G22:G23)</f>
        <v>5250000</v>
      </c>
      <c r="H21" s="316">
        <f>SUM(H22:H23)</f>
        <v>16842000</v>
      </c>
      <c r="I21" s="44"/>
      <c r="J21" s="9"/>
      <c r="K21" s="44"/>
      <c r="L21" s="44"/>
    </row>
    <row r="22" spans="1:15" ht="25.5" x14ac:dyDescent="0.25">
      <c r="A22" s="287" t="s">
        <v>87</v>
      </c>
      <c r="B22" s="58"/>
      <c r="C22" s="331" t="s">
        <v>87</v>
      </c>
      <c r="D22" s="319" t="s">
        <v>143</v>
      </c>
      <c r="E22" s="295">
        <v>3000000</v>
      </c>
      <c r="F22" s="295">
        <v>2000000</v>
      </c>
      <c r="G22" s="295">
        <f t="shared" ref="G22:G30" si="2">E22+F22</f>
        <v>5000000</v>
      </c>
      <c r="H22" s="293">
        <f>$D$49*G22</f>
        <v>16040000</v>
      </c>
      <c r="I22" s="289"/>
      <c r="K22" s="44"/>
      <c r="L22" s="44"/>
    </row>
    <row r="23" spans="1:15" ht="26.25" thickBot="1" x14ac:dyDescent="0.3">
      <c r="A23" s="40" t="s">
        <v>88</v>
      </c>
      <c r="C23" s="313" t="s">
        <v>88</v>
      </c>
      <c r="D23" s="303" t="s">
        <v>141</v>
      </c>
      <c r="E23" s="295">
        <v>250000</v>
      </c>
      <c r="F23" s="295">
        <v>0</v>
      </c>
      <c r="G23" s="295">
        <f t="shared" si="2"/>
        <v>250000</v>
      </c>
      <c r="H23" s="293">
        <f>$D$49*G23</f>
        <v>802000</v>
      </c>
      <c r="I23" s="44"/>
      <c r="K23" s="44"/>
      <c r="L23" s="44"/>
    </row>
    <row r="24" spans="1:15" ht="30.75" customHeight="1" thickBot="1" x14ac:dyDescent="0.35">
      <c r="A24" s="55"/>
      <c r="C24" s="310"/>
      <c r="D24" s="317" t="s">
        <v>9</v>
      </c>
      <c r="E24" s="318">
        <f>SUM(E25:E30)</f>
        <v>1900000</v>
      </c>
      <c r="F24" s="318">
        <f>SUM(F25:F30)</f>
        <v>50000</v>
      </c>
      <c r="G24" s="318">
        <f>SUM(G25:G30)</f>
        <v>1950000</v>
      </c>
      <c r="H24" s="318">
        <f>SUM(H25:H30)</f>
        <v>6255600</v>
      </c>
      <c r="I24" s="44"/>
      <c r="J24" s="9"/>
      <c r="K24" s="44"/>
      <c r="L24" s="44"/>
      <c r="O24" s="45"/>
    </row>
    <row r="25" spans="1:15" ht="25.5" x14ac:dyDescent="0.25">
      <c r="A25" s="285" t="s">
        <v>90</v>
      </c>
      <c r="B25" s="56"/>
      <c r="C25" s="331" t="s">
        <v>90</v>
      </c>
      <c r="D25" s="301" t="s">
        <v>144</v>
      </c>
      <c r="E25" s="290">
        <v>150000</v>
      </c>
      <c r="F25" s="298">
        <v>0</v>
      </c>
      <c r="G25" s="291">
        <f t="shared" si="2"/>
        <v>150000</v>
      </c>
      <c r="H25" s="291">
        <f>$D$49*G25</f>
        <v>481200</v>
      </c>
      <c r="I25" s="44"/>
      <c r="K25" s="44"/>
      <c r="L25" s="44"/>
    </row>
    <row r="26" spans="1:15" ht="25.5" x14ac:dyDescent="0.25">
      <c r="A26" s="39" t="s">
        <v>91</v>
      </c>
      <c r="B26" s="59"/>
      <c r="C26" s="311" t="s">
        <v>91</v>
      </c>
      <c r="D26" s="302" t="s">
        <v>147</v>
      </c>
      <c r="E26" s="296">
        <v>400000</v>
      </c>
      <c r="F26" s="296">
        <v>0</v>
      </c>
      <c r="G26" s="291">
        <f t="shared" si="2"/>
        <v>400000</v>
      </c>
      <c r="H26" s="291">
        <f t="shared" ref="H26:H32" si="3">$D$49*G26</f>
        <v>1283200</v>
      </c>
      <c r="I26" s="44"/>
      <c r="K26" s="44"/>
      <c r="L26" s="44"/>
    </row>
    <row r="27" spans="1:15" x14ac:dyDescent="0.25">
      <c r="A27" s="285" t="s">
        <v>89</v>
      </c>
      <c r="B27" s="56"/>
      <c r="C27" s="312" t="s">
        <v>89</v>
      </c>
      <c r="D27" s="302" t="s">
        <v>148</v>
      </c>
      <c r="E27" s="296">
        <v>600000</v>
      </c>
      <c r="F27" s="297">
        <v>0</v>
      </c>
      <c r="G27" s="291">
        <f t="shared" si="2"/>
        <v>600000</v>
      </c>
      <c r="H27" s="291">
        <f t="shared" si="3"/>
        <v>1924800</v>
      </c>
      <c r="I27" s="44"/>
      <c r="K27" s="44"/>
      <c r="L27" s="44"/>
    </row>
    <row r="28" spans="1:15" x14ac:dyDescent="0.25">
      <c r="A28" s="285"/>
      <c r="B28" s="56"/>
      <c r="C28" s="312" t="s">
        <v>96</v>
      </c>
      <c r="D28" s="302" t="s">
        <v>226</v>
      </c>
      <c r="E28" s="296">
        <v>500000</v>
      </c>
      <c r="F28" s="296"/>
      <c r="G28" s="291">
        <f t="shared" si="2"/>
        <v>500000</v>
      </c>
      <c r="H28" s="291">
        <f t="shared" si="3"/>
        <v>1604000</v>
      </c>
      <c r="I28" s="44"/>
      <c r="K28" s="44"/>
      <c r="L28" s="44"/>
    </row>
    <row r="29" spans="1:15" x14ac:dyDescent="0.25">
      <c r="A29" s="40" t="s">
        <v>96</v>
      </c>
      <c r="C29" s="313" t="s">
        <v>97</v>
      </c>
      <c r="D29" s="302" t="s">
        <v>149</v>
      </c>
      <c r="E29" s="296">
        <v>100000</v>
      </c>
      <c r="F29" s="296">
        <v>50000</v>
      </c>
      <c r="G29" s="291">
        <f t="shared" si="2"/>
        <v>150000</v>
      </c>
      <c r="H29" s="291">
        <f t="shared" si="3"/>
        <v>481200</v>
      </c>
      <c r="I29" s="44"/>
      <c r="K29" s="44"/>
      <c r="L29" s="44"/>
    </row>
    <row r="30" spans="1:15" ht="26.25" thickBot="1" x14ac:dyDescent="0.3">
      <c r="A30" s="41" t="s">
        <v>97</v>
      </c>
      <c r="B30" s="60"/>
      <c r="C30" s="314" t="s">
        <v>163</v>
      </c>
      <c r="D30" s="303" t="s">
        <v>150</v>
      </c>
      <c r="E30" s="296">
        <v>150000</v>
      </c>
      <c r="F30" s="296">
        <v>0</v>
      </c>
      <c r="G30" s="291">
        <f t="shared" si="2"/>
        <v>150000</v>
      </c>
      <c r="H30" s="291">
        <f t="shared" si="3"/>
        <v>481200</v>
      </c>
      <c r="I30" s="44"/>
      <c r="K30" s="44"/>
      <c r="L30" s="44"/>
    </row>
    <row r="31" spans="1:15" ht="24.75" customHeight="1" thickBot="1" x14ac:dyDescent="0.35">
      <c r="A31" s="55"/>
      <c r="C31" s="310"/>
      <c r="D31" s="317" t="s">
        <v>166</v>
      </c>
      <c r="E31" s="318">
        <f>E32</f>
        <v>1600000</v>
      </c>
      <c r="F31" s="318">
        <f>F32</f>
        <v>0</v>
      </c>
      <c r="G31" s="318">
        <f>G32</f>
        <v>1600000</v>
      </c>
      <c r="H31" s="318">
        <f>H32</f>
        <v>5132800</v>
      </c>
      <c r="I31" s="44"/>
      <c r="J31" s="9"/>
      <c r="K31" s="44"/>
      <c r="L31" s="44"/>
    </row>
    <row r="32" spans="1:15" ht="24.75" customHeight="1" thickBot="1" x14ac:dyDescent="0.3">
      <c r="A32" s="55"/>
      <c r="C32" s="331" t="s">
        <v>102</v>
      </c>
      <c r="D32" s="330" t="s">
        <v>216</v>
      </c>
      <c r="E32" s="327">
        <v>1600000</v>
      </c>
      <c r="F32" s="296">
        <v>0</v>
      </c>
      <c r="G32" s="291">
        <f t="shared" ref="G32:G38" si="4">E32+F32</f>
        <v>1600000</v>
      </c>
      <c r="H32" s="291">
        <f t="shared" si="3"/>
        <v>5132800</v>
      </c>
      <c r="I32" s="44"/>
      <c r="J32" s="9"/>
      <c r="K32" s="44"/>
      <c r="L32" s="44"/>
    </row>
    <row r="33" spans="1:12" ht="24" customHeight="1" thickBot="1" x14ac:dyDescent="0.35">
      <c r="A33" s="55"/>
      <c r="C33" s="310"/>
      <c r="D33" s="315" t="s">
        <v>165</v>
      </c>
      <c r="E33" s="316">
        <f>SUM(E34:E38)</f>
        <v>651000</v>
      </c>
      <c r="F33" s="316">
        <f>SUM(F34:F38)</f>
        <v>200000</v>
      </c>
      <c r="G33" s="316">
        <f>SUM(G34:G38)</f>
        <v>851000</v>
      </c>
      <c r="H33" s="316">
        <f>SUM(H34:H38)</f>
        <v>2730008</v>
      </c>
      <c r="I33" s="44"/>
      <c r="J33" s="9"/>
      <c r="K33" s="44"/>
      <c r="L33" s="44"/>
    </row>
    <row r="34" spans="1:12" ht="25.5" x14ac:dyDescent="0.25">
      <c r="A34" s="288" t="s">
        <v>103</v>
      </c>
      <c r="B34" s="58"/>
      <c r="C34" s="320" t="s">
        <v>92</v>
      </c>
      <c r="D34" s="301" t="s">
        <v>153</v>
      </c>
      <c r="E34" s="296">
        <v>110000</v>
      </c>
      <c r="F34" s="296">
        <v>100000</v>
      </c>
      <c r="G34" s="291">
        <f t="shared" si="4"/>
        <v>210000</v>
      </c>
      <c r="H34" s="291">
        <f>$D$49*G34</f>
        <v>673680</v>
      </c>
      <c r="I34" s="44"/>
      <c r="K34" s="44"/>
      <c r="L34" s="44"/>
    </row>
    <row r="35" spans="1:12" ht="25.5" x14ac:dyDescent="0.25">
      <c r="A35" s="285" t="s">
        <v>104</v>
      </c>
      <c r="B35" s="56"/>
      <c r="C35" s="331" t="s">
        <v>103</v>
      </c>
      <c r="D35" s="302" t="s">
        <v>217</v>
      </c>
      <c r="E35" s="296">
        <v>0</v>
      </c>
      <c r="F35" s="296">
        <v>100000</v>
      </c>
      <c r="G35" s="291">
        <f t="shared" si="4"/>
        <v>100000</v>
      </c>
      <c r="H35" s="291">
        <f t="shared" ref="H35:H45" si="5">$D$49*G35</f>
        <v>320800</v>
      </c>
      <c r="I35" s="44"/>
      <c r="K35" s="44"/>
      <c r="L35" s="44"/>
    </row>
    <row r="36" spans="1:12" x14ac:dyDescent="0.25">
      <c r="A36" s="42" t="s">
        <v>107</v>
      </c>
      <c r="B36" s="61"/>
      <c r="C36" s="312" t="s">
        <v>104</v>
      </c>
      <c r="D36" s="302" t="s">
        <v>177</v>
      </c>
      <c r="E36" s="296">
        <v>141000</v>
      </c>
      <c r="F36" s="296">
        <v>0</v>
      </c>
      <c r="G36" s="291">
        <f t="shared" si="4"/>
        <v>141000</v>
      </c>
      <c r="H36" s="291">
        <f t="shared" si="5"/>
        <v>452328</v>
      </c>
      <c r="I36" s="44"/>
      <c r="J36" t="s">
        <v>70</v>
      </c>
      <c r="K36" s="44"/>
      <c r="L36" s="44"/>
    </row>
    <row r="37" spans="1:12" ht="25.5" x14ac:dyDescent="0.25">
      <c r="A37" s="42"/>
      <c r="B37" s="61"/>
      <c r="C37" s="312" t="s">
        <v>107</v>
      </c>
      <c r="D37" s="302" t="s">
        <v>158</v>
      </c>
      <c r="E37" s="296">
        <v>200000</v>
      </c>
      <c r="F37" s="296">
        <v>0</v>
      </c>
      <c r="G37" s="291">
        <f t="shared" si="4"/>
        <v>200000</v>
      </c>
      <c r="H37" s="291">
        <f t="shared" si="5"/>
        <v>641600</v>
      </c>
      <c r="I37" s="44"/>
      <c r="K37" s="44"/>
      <c r="L37" s="44"/>
    </row>
    <row r="38" spans="1:12" ht="15.75" thickBot="1" x14ac:dyDescent="0.3">
      <c r="A38" s="42"/>
      <c r="B38" s="61"/>
      <c r="C38" s="312" t="s">
        <v>159</v>
      </c>
      <c r="D38" s="303" t="s">
        <v>160</v>
      </c>
      <c r="E38" s="296">
        <v>200000</v>
      </c>
      <c r="F38" s="297">
        <v>0</v>
      </c>
      <c r="G38" s="291">
        <f t="shared" si="4"/>
        <v>200000</v>
      </c>
      <c r="H38" s="291">
        <f t="shared" si="5"/>
        <v>641600</v>
      </c>
      <c r="I38" s="44"/>
      <c r="K38" s="44"/>
      <c r="L38" s="44"/>
    </row>
    <row r="39" spans="1:12" ht="19.5" thickBot="1" x14ac:dyDescent="0.35">
      <c r="A39" s="55"/>
      <c r="C39" s="310"/>
      <c r="D39" s="317" t="s">
        <v>164</v>
      </c>
      <c r="E39" s="318">
        <f>SUM(E40:E45)</f>
        <v>201341</v>
      </c>
      <c r="F39" s="318">
        <f>SUM(F40:F45)</f>
        <v>6112341</v>
      </c>
      <c r="G39" s="318">
        <f>SUM(G40:G45)</f>
        <v>6313682</v>
      </c>
      <c r="H39" s="318">
        <f>SUM(H40:H45)</f>
        <v>20254291.855999999</v>
      </c>
      <c r="I39" s="44"/>
      <c r="J39" s="9"/>
      <c r="K39" s="44"/>
      <c r="L39" s="44"/>
    </row>
    <row r="40" spans="1:12" ht="17.25" customHeight="1" x14ac:dyDescent="0.25">
      <c r="A40" s="40"/>
      <c r="C40" s="603"/>
      <c r="D40" s="301" t="s">
        <v>219</v>
      </c>
      <c r="E40" s="328">
        <v>201341</v>
      </c>
      <c r="F40" s="328">
        <v>0</v>
      </c>
      <c r="G40" s="291">
        <f t="shared" ref="G40:G47" si="6">E40+F40</f>
        <v>201341</v>
      </c>
      <c r="H40" s="291">
        <f t="shared" si="5"/>
        <v>645901.92800000007</v>
      </c>
      <c r="I40" s="44"/>
      <c r="K40" s="44"/>
      <c r="L40" s="44"/>
    </row>
    <row r="41" spans="1:12" x14ac:dyDescent="0.25">
      <c r="A41" s="40"/>
      <c r="C41" s="603"/>
      <c r="D41" s="302" t="s">
        <v>220</v>
      </c>
      <c r="E41" s="296">
        <v>0</v>
      </c>
      <c r="F41" s="296">
        <v>300000</v>
      </c>
      <c r="G41" s="291">
        <f t="shared" si="6"/>
        <v>300000</v>
      </c>
      <c r="H41" s="291">
        <f t="shared" si="5"/>
        <v>962400</v>
      </c>
      <c r="I41" s="44"/>
      <c r="K41" s="44"/>
      <c r="L41" s="44"/>
    </row>
    <row r="42" spans="1:12" x14ac:dyDescent="0.25">
      <c r="A42" s="40"/>
      <c r="C42" s="603"/>
      <c r="D42" s="302" t="s">
        <v>221</v>
      </c>
      <c r="E42" s="296">
        <v>0</v>
      </c>
      <c r="F42" s="296">
        <v>3000000</v>
      </c>
      <c r="G42" s="291">
        <f t="shared" si="6"/>
        <v>3000000</v>
      </c>
      <c r="H42" s="291">
        <f t="shared" si="5"/>
        <v>9624000</v>
      </c>
      <c r="I42" s="44"/>
      <c r="K42" s="44"/>
      <c r="L42" s="44"/>
    </row>
    <row r="43" spans="1:12" x14ac:dyDescent="0.25">
      <c r="A43" s="40"/>
      <c r="C43" s="603"/>
      <c r="D43" s="302" t="s">
        <v>222</v>
      </c>
      <c r="E43" s="296">
        <v>0</v>
      </c>
      <c r="F43" s="296">
        <v>2000000</v>
      </c>
      <c r="G43" s="291">
        <f t="shared" si="6"/>
        <v>2000000</v>
      </c>
      <c r="H43" s="291">
        <f t="shared" si="5"/>
        <v>6416000</v>
      </c>
      <c r="I43" s="44"/>
      <c r="K43" s="44"/>
      <c r="L43" s="44"/>
    </row>
    <row r="44" spans="1:12" x14ac:dyDescent="0.25">
      <c r="A44" s="40"/>
      <c r="C44" s="603"/>
      <c r="D44" s="302" t="s">
        <v>223</v>
      </c>
      <c r="E44" s="296">
        <v>0</v>
      </c>
      <c r="F44" s="296">
        <v>612341</v>
      </c>
      <c r="G44" s="291">
        <f t="shared" si="6"/>
        <v>612341</v>
      </c>
      <c r="H44" s="291">
        <f t="shared" si="5"/>
        <v>1964389.9280000001</v>
      </c>
      <c r="I44" s="44"/>
      <c r="K44" s="44"/>
      <c r="L44" s="44"/>
    </row>
    <row r="45" spans="1:12" ht="15.75" thickBot="1" x14ac:dyDescent="0.3">
      <c r="A45" s="40"/>
      <c r="C45" s="604"/>
      <c r="D45" s="303" t="s">
        <v>224</v>
      </c>
      <c r="E45" s="304">
        <v>0</v>
      </c>
      <c r="F45" s="304">
        <v>200000</v>
      </c>
      <c r="G45" s="291">
        <f t="shared" si="6"/>
        <v>200000</v>
      </c>
      <c r="H45" s="291">
        <f t="shared" si="5"/>
        <v>641600</v>
      </c>
      <c r="I45" s="44"/>
      <c r="K45" s="44"/>
      <c r="L45" s="44"/>
    </row>
    <row r="46" spans="1:12" ht="30" customHeight="1" thickBot="1" x14ac:dyDescent="0.45">
      <c r="A46" s="37"/>
      <c r="B46" s="59"/>
      <c r="C46" s="605" t="s">
        <v>100</v>
      </c>
      <c r="D46" s="606"/>
      <c r="E46" s="299">
        <f>E39+E33+E31+E24+E21+E3</f>
        <v>52512341</v>
      </c>
      <c r="F46" s="299">
        <f>F39+F33+F31+F24+F21+F3</f>
        <v>52512341</v>
      </c>
      <c r="G46" s="299">
        <f t="shared" si="6"/>
        <v>105024682</v>
      </c>
      <c r="H46" s="300">
        <f>G46*D49</f>
        <v>336919179.85600001</v>
      </c>
      <c r="I46" s="181"/>
      <c r="K46" s="44"/>
      <c r="L46" s="44"/>
    </row>
    <row r="47" spans="1:12" ht="15.75" thickBot="1" x14ac:dyDescent="0.3">
      <c r="C47" s="267" t="s">
        <v>181</v>
      </c>
      <c r="D47" s="269"/>
      <c r="E47" s="226">
        <f>52512341-E46</f>
        <v>0</v>
      </c>
      <c r="F47" s="227">
        <f>52512341-F46</f>
        <v>0</v>
      </c>
      <c r="G47" s="227">
        <f t="shared" si="6"/>
        <v>0</v>
      </c>
      <c r="H47" s="100"/>
      <c r="I47" s="44"/>
      <c r="K47" s="44"/>
      <c r="L47" s="44"/>
    </row>
    <row r="48" spans="1:12" x14ac:dyDescent="0.25">
      <c r="C48" s="270" t="s">
        <v>182</v>
      </c>
      <c r="D48" s="267"/>
      <c r="E48" s="572" t="s">
        <v>231</v>
      </c>
      <c r="F48" s="572"/>
      <c r="G48" s="572"/>
      <c r="H48" s="572"/>
      <c r="I48" s="44"/>
      <c r="J48" s="44"/>
      <c r="K48" s="44"/>
      <c r="L48" s="44"/>
    </row>
    <row r="49" spans="3:12" x14ac:dyDescent="0.25">
      <c r="C49" s="267" t="s">
        <v>180</v>
      </c>
      <c r="D49" s="270">
        <v>3.2080000000000002</v>
      </c>
      <c r="E49" s="44"/>
      <c r="F49" s="44"/>
      <c r="G49" s="44"/>
      <c r="H49" s="44"/>
      <c r="I49" s="44"/>
      <c r="J49" s="44"/>
      <c r="K49" s="44"/>
      <c r="L49" s="44"/>
    </row>
    <row r="50" spans="3:12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3:12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3:12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</row>
  </sheetData>
  <mergeCells count="6">
    <mergeCell ref="E48:H48"/>
    <mergeCell ref="C1:G1"/>
    <mergeCell ref="C2:C3"/>
    <mergeCell ref="A18:A20"/>
    <mergeCell ref="C40:C45"/>
    <mergeCell ref="C46:D46"/>
  </mergeCells>
  <pageMargins left="0.70866141732283472" right="0.70866141732283472" top="0.35433070866141736" bottom="0.35433070866141736" header="0.31496062992125984" footer="0.31496062992125984"/>
  <pageSetup paperSize="8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4"/>
  <sheetViews>
    <sheetView topLeftCell="B34" zoomScaleNormal="100" workbookViewId="0">
      <selection activeCell="E48" sqref="E48"/>
    </sheetView>
  </sheetViews>
  <sheetFormatPr defaultRowHeight="15" x14ac:dyDescent="0.25"/>
  <cols>
    <col min="1" max="1" width="12" hidden="1" customWidth="1"/>
    <col min="2" max="2" width="6.85546875" style="389" customWidth="1"/>
    <col min="3" max="3" width="79.140625" style="389" customWidth="1"/>
    <col min="4" max="4" width="14.28515625" style="389" bestFit="1" customWidth="1"/>
    <col min="5" max="5" width="13.42578125" style="389" customWidth="1"/>
    <col min="6" max="6" width="14.7109375" style="389" customWidth="1"/>
    <col min="7" max="7" width="15.140625" style="389" customWidth="1"/>
    <col min="8" max="8" width="16.7109375" style="390" customWidth="1"/>
    <col min="9" max="9" width="92.7109375" hidden="1" customWidth="1"/>
    <col min="10" max="10" width="25.85546875" style="410" customWidth="1"/>
    <col min="14" max="14" width="15.85546875" bestFit="1" customWidth="1"/>
  </cols>
  <sheetData>
    <row r="1" spans="1:11" ht="67.5" customHeight="1" thickBot="1" x14ac:dyDescent="0.3">
      <c r="B1" s="607" t="s">
        <v>225</v>
      </c>
      <c r="C1" s="607"/>
      <c r="D1" s="607"/>
      <c r="E1" s="607"/>
      <c r="F1" s="607"/>
      <c r="G1" s="346"/>
      <c r="H1" s="347"/>
      <c r="I1" s="52"/>
      <c r="J1" s="415"/>
      <c r="K1" s="44"/>
    </row>
    <row r="2" spans="1:11" ht="30" customHeight="1" thickBot="1" x14ac:dyDescent="0.3">
      <c r="A2" s="9" t="s">
        <v>85</v>
      </c>
      <c r="B2" s="608" t="s">
        <v>112</v>
      </c>
      <c r="C2" s="306" t="s">
        <v>117</v>
      </c>
      <c r="D2" s="307" t="s">
        <v>183</v>
      </c>
      <c r="E2" s="307" t="s">
        <v>184</v>
      </c>
      <c r="F2" s="308" t="s">
        <v>185</v>
      </c>
      <c r="G2" s="309" t="s">
        <v>186</v>
      </c>
      <c r="H2" s="335" t="s">
        <v>233</v>
      </c>
      <c r="I2" s="52"/>
      <c r="J2" s="437" t="s">
        <v>234</v>
      </c>
      <c r="K2" s="44"/>
    </row>
    <row r="3" spans="1:11" ht="30" customHeight="1" thickBot="1" x14ac:dyDescent="0.3">
      <c r="A3" s="9"/>
      <c r="B3" s="609"/>
      <c r="C3" s="322" t="s">
        <v>167</v>
      </c>
      <c r="D3" s="323">
        <f>SUM(D4:D22)</f>
        <v>38910000</v>
      </c>
      <c r="E3" s="323">
        <f>SUM(E4:E22)</f>
        <v>41650000</v>
      </c>
      <c r="F3" s="323">
        <f>SUM(F4:F22)</f>
        <v>80560000</v>
      </c>
      <c r="G3" s="323">
        <f>SUM(G4:G19)</f>
        <v>245604480</v>
      </c>
      <c r="H3" s="335">
        <f>PRODUCT(F3,1/F58,100)</f>
        <v>76.705778552131193</v>
      </c>
      <c r="I3" s="52"/>
      <c r="J3" s="438"/>
      <c r="K3" s="44"/>
    </row>
    <row r="4" spans="1:11" ht="24" customHeight="1" x14ac:dyDescent="0.25">
      <c r="A4" s="40" t="s">
        <v>72</v>
      </c>
      <c r="B4" s="348" t="s">
        <v>113</v>
      </c>
      <c r="C4" s="421" t="s">
        <v>232</v>
      </c>
      <c r="D4" s="422">
        <v>0</v>
      </c>
      <c r="E4" s="422">
        <v>0</v>
      </c>
      <c r="F4" s="423">
        <f t="shared" ref="F4:F14" si="0">D4+E4</f>
        <v>0</v>
      </c>
      <c r="G4" s="424">
        <f t="shared" ref="G4:G19" si="1">$C$61*F4</f>
        <v>0</v>
      </c>
      <c r="H4" s="350"/>
      <c r="I4" s="53" t="s">
        <v>63</v>
      </c>
      <c r="J4" s="440"/>
      <c r="K4" s="44"/>
    </row>
    <row r="5" spans="1:11" ht="39.75" customHeight="1" x14ac:dyDescent="0.25">
      <c r="A5" s="40" t="s">
        <v>109</v>
      </c>
      <c r="B5" s="348" t="s">
        <v>109</v>
      </c>
      <c r="C5" s="326" t="s">
        <v>228</v>
      </c>
      <c r="D5" s="351">
        <v>5500000</v>
      </c>
      <c r="E5" s="351">
        <v>3000000</v>
      </c>
      <c r="F5" s="352">
        <f t="shared" si="0"/>
        <v>8500000</v>
      </c>
      <c r="G5" s="353">
        <f t="shared" si="1"/>
        <v>27268000</v>
      </c>
      <c r="H5" s="354"/>
      <c r="I5" s="14"/>
      <c r="J5" s="441"/>
      <c r="K5" s="44"/>
    </row>
    <row r="6" spans="1:11" ht="25.5" customHeight="1" x14ac:dyDescent="0.25">
      <c r="A6" s="40"/>
      <c r="B6" s="348" t="s">
        <v>83</v>
      </c>
      <c r="C6" s="326" t="s">
        <v>229</v>
      </c>
      <c r="D6" s="352">
        <v>0</v>
      </c>
      <c r="E6" s="351">
        <v>12000000</v>
      </c>
      <c r="F6" s="352">
        <f t="shared" si="0"/>
        <v>12000000</v>
      </c>
      <c r="G6" s="353">
        <f t="shared" si="1"/>
        <v>38496000</v>
      </c>
      <c r="H6" s="354"/>
      <c r="I6" s="14"/>
      <c r="J6" s="441"/>
      <c r="K6" s="44"/>
    </row>
    <row r="7" spans="1:11" ht="27.75" customHeight="1" x14ac:dyDescent="0.25">
      <c r="A7" s="40" t="s">
        <v>73</v>
      </c>
      <c r="B7" s="348" t="s">
        <v>73</v>
      </c>
      <c r="C7" s="302" t="s">
        <v>187</v>
      </c>
      <c r="D7" s="352">
        <f>FINAL!F6</f>
        <v>630000</v>
      </c>
      <c r="E7" s="352">
        <v>50000</v>
      </c>
      <c r="F7" s="352">
        <f t="shared" si="0"/>
        <v>680000</v>
      </c>
      <c r="G7" s="353">
        <f t="shared" si="1"/>
        <v>2181440</v>
      </c>
      <c r="H7" s="354"/>
      <c r="J7" s="441"/>
      <c r="K7" s="44"/>
    </row>
    <row r="8" spans="1:11" ht="24.75" customHeight="1" x14ac:dyDescent="0.25">
      <c r="A8" s="40" t="s">
        <v>74</v>
      </c>
      <c r="B8" s="348" t="s">
        <v>74</v>
      </c>
      <c r="C8" s="302" t="s">
        <v>188</v>
      </c>
      <c r="D8" s="352">
        <f>FINAL!F7</f>
        <v>530000</v>
      </c>
      <c r="E8" s="352">
        <v>50000</v>
      </c>
      <c r="F8" s="352">
        <f t="shared" si="0"/>
        <v>580000</v>
      </c>
      <c r="G8" s="353">
        <f t="shared" si="1"/>
        <v>1860640</v>
      </c>
      <c r="H8" s="354"/>
      <c r="J8" s="441"/>
      <c r="K8" s="44"/>
    </row>
    <row r="9" spans="1:11" ht="25.5" x14ac:dyDescent="0.25">
      <c r="A9" s="40" t="s">
        <v>75</v>
      </c>
      <c r="B9" s="348" t="s">
        <v>75</v>
      </c>
      <c r="C9" s="302" t="s">
        <v>189</v>
      </c>
      <c r="D9" s="352">
        <f>FINAL!F8</f>
        <v>180000</v>
      </c>
      <c r="E9" s="352">
        <v>0</v>
      </c>
      <c r="F9" s="352">
        <f t="shared" si="0"/>
        <v>180000</v>
      </c>
      <c r="G9" s="353">
        <f t="shared" si="1"/>
        <v>577440</v>
      </c>
      <c r="H9" s="354"/>
      <c r="J9" s="441"/>
      <c r="K9" s="44"/>
    </row>
    <row r="10" spans="1:11" x14ac:dyDescent="0.25">
      <c r="A10" s="40" t="s">
        <v>76</v>
      </c>
      <c r="B10" s="348" t="s">
        <v>76</v>
      </c>
      <c r="C10" s="302" t="s">
        <v>192</v>
      </c>
      <c r="D10" s="352">
        <f>FINAL!F9</f>
        <v>170000</v>
      </c>
      <c r="E10" s="351">
        <v>8000000</v>
      </c>
      <c r="F10" s="352">
        <f t="shared" si="0"/>
        <v>8170000</v>
      </c>
      <c r="G10" s="353">
        <f t="shared" si="1"/>
        <v>26209360</v>
      </c>
      <c r="H10" s="354"/>
      <c r="J10" s="441"/>
      <c r="K10" s="44"/>
    </row>
    <row r="11" spans="1:11" x14ac:dyDescent="0.25">
      <c r="A11" s="40" t="s">
        <v>77</v>
      </c>
      <c r="B11" s="348" t="s">
        <v>118</v>
      </c>
      <c r="C11" s="302" t="s">
        <v>193</v>
      </c>
      <c r="D11" s="352">
        <v>23000000</v>
      </c>
      <c r="E11" s="352">
        <v>0</v>
      </c>
      <c r="F11" s="352">
        <f t="shared" si="0"/>
        <v>23000000</v>
      </c>
      <c r="G11" s="353">
        <f t="shared" si="1"/>
        <v>73784000</v>
      </c>
      <c r="H11" s="354"/>
      <c r="J11" s="441"/>
      <c r="K11" s="44"/>
    </row>
    <row r="12" spans="1:11" x14ac:dyDescent="0.25">
      <c r="A12" s="40" t="s">
        <v>78</v>
      </c>
      <c r="B12" s="348" t="s">
        <v>77</v>
      </c>
      <c r="C12" s="302" t="s">
        <v>190</v>
      </c>
      <c r="D12" s="352">
        <f>FINAL!F11</f>
        <v>1050000</v>
      </c>
      <c r="E12" s="352">
        <v>0</v>
      </c>
      <c r="F12" s="352">
        <f t="shared" si="0"/>
        <v>1050000</v>
      </c>
      <c r="G12" s="353">
        <f t="shared" si="1"/>
        <v>3368400</v>
      </c>
      <c r="H12" s="354"/>
      <c r="J12" s="441"/>
      <c r="K12" s="44"/>
    </row>
    <row r="13" spans="1:11" ht="15.75" customHeight="1" x14ac:dyDescent="0.25">
      <c r="A13" s="40" t="s">
        <v>79</v>
      </c>
      <c r="B13" s="348" t="s">
        <v>114</v>
      </c>
      <c r="C13" s="302" t="s">
        <v>191</v>
      </c>
      <c r="D13" s="352">
        <f>FINAL!F12</f>
        <v>300000</v>
      </c>
      <c r="E13" s="351">
        <v>12000000</v>
      </c>
      <c r="F13" s="352">
        <f t="shared" si="0"/>
        <v>12300000</v>
      </c>
      <c r="G13" s="353">
        <f t="shared" si="1"/>
        <v>39458400</v>
      </c>
      <c r="H13" s="354"/>
      <c r="J13" s="441"/>
      <c r="K13" s="44"/>
    </row>
    <row r="14" spans="1:11" x14ac:dyDescent="0.25">
      <c r="A14" s="40" t="s">
        <v>80</v>
      </c>
      <c r="B14" s="348" t="s">
        <v>78</v>
      </c>
      <c r="C14" s="302" t="s">
        <v>126</v>
      </c>
      <c r="D14" s="352">
        <f>FINAL!F13</f>
        <v>1050000</v>
      </c>
      <c r="E14" s="352">
        <v>0</v>
      </c>
      <c r="F14" s="352">
        <f t="shared" si="0"/>
        <v>1050000</v>
      </c>
      <c r="G14" s="353">
        <f t="shared" si="1"/>
        <v>3368400</v>
      </c>
      <c r="H14" s="354"/>
      <c r="J14" s="441"/>
      <c r="K14" s="44"/>
    </row>
    <row r="15" spans="1:11" x14ac:dyDescent="0.25">
      <c r="A15" s="285" t="s">
        <v>81</v>
      </c>
      <c r="B15" s="355" t="s">
        <v>79</v>
      </c>
      <c r="C15" s="329" t="s">
        <v>196</v>
      </c>
      <c r="D15" s="352">
        <v>0</v>
      </c>
      <c r="E15" s="352">
        <v>1000000</v>
      </c>
      <c r="F15" s="352">
        <f>D15+E15</f>
        <v>1000000</v>
      </c>
      <c r="G15" s="353">
        <f t="shared" si="1"/>
        <v>3208000</v>
      </c>
      <c r="H15" s="354"/>
      <c r="I15" t="s">
        <v>110</v>
      </c>
      <c r="J15" s="441"/>
      <c r="K15" s="44"/>
    </row>
    <row r="16" spans="1:11" x14ac:dyDescent="0.25">
      <c r="A16" s="40" t="s">
        <v>82</v>
      </c>
      <c r="B16" s="321" t="s">
        <v>80</v>
      </c>
      <c r="C16" s="302" t="s">
        <v>128</v>
      </c>
      <c r="D16" s="352">
        <f>FINAL!F19</f>
        <v>1000000</v>
      </c>
      <c r="E16" s="352">
        <v>0</v>
      </c>
      <c r="F16" s="352">
        <f>D16+E16</f>
        <v>1000000</v>
      </c>
      <c r="G16" s="353">
        <f t="shared" si="1"/>
        <v>3208000</v>
      </c>
      <c r="H16" s="354"/>
      <c r="I16" t="s">
        <v>101</v>
      </c>
      <c r="J16" s="441"/>
      <c r="K16" s="44"/>
    </row>
    <row r="17" spans="1:14" ht="16.5" customHeight="1" x14ac:dyDescent="0.25">
      <c r="A17" s="284" t="s">
        <v>92</v>
      </c>
      <c r="B17" s="321" t="s">
        <v>115</v>
      </c>
      <c r="C17" s="302" t="s">
        <v>230</v>
      </c>
      <c r="D17" s="352">
        <v>500000</v>
      </c>
      <c r="E17" s="425">
        <v>3500000</v>
      </c>
      <c r="F17" s="352">
        <f>D17+E17</f>
        <v>4000000</v>
      </c>
      <c r="G17" s="353">
        <f t="shared" si="1"/>
        <v>12832000</v>
      </c>
      <c r="H17" s="354"/>
      <c r="J17" s="441"/>
      <c r="K17" s="44"/>
    </row>
    <row r="18" spans="1:14" s="3" customFormat="1" ht="28.5" customHeight="1" x14ac:dyDescent="0.25">
      <c r="A18" s="286" t="s">
        <v>84</v>
      </c>
      <c r="B18" s="321" t="s">
        <v>81</v>
      </c>
      <c r="C18" s="302" t="s">
        <v>227</v>
      </c>
      <c r="D18" s="352">
        <f>FINAL!F27</f>
        <v>0</v>
      </c>
      <c r="E18" s="352">
        <v>750000</v>
      </c>
      <c r="F18" s="352">
        <f>D18+E18</f>
        <v>750000</v>
      </c>
      <c r="G18" s="353">
        <f t="shared" si="1"/>
        <v>2406000</v>
      </c>
      <c r="H18" s="356"/>
      <c r="J18" s="441"/>
      <c r="K18" s="44"/>
    </row>
    <row r="19" spans="1:14" s="3" customFormat="1" ht="24.75" customHeight="1" thickBot="1" x14ac:dyDescent="0.3">
      <c r="A19" s="529" t="s">
        <v>86</v>
      </c>
      <c r="B19" s="321" t="s">
        <v>82</v>
      </c>
      <c r="C19" s="303" t="s">
        <v>139</v>
      </c>
      <c r="D19" s="357">
        <f>FINAL!F30</f>
        <v>1000000</v>
      </c>
      <c r="E19" s="357">
        <v>1300000</v>
      </c>
      <c r="F19" s="357">
        <f>D19+E19</f>
        <v>2300000</v>
      </c>
      <c r="G19" s="358">
        <f t="shared" si="1"/>
        <v>7378400</v>
      </c>
      <c r="H19" s="359"/>
      <c r="J19" s="441"/>
      <c r="K19" s="44"/>
    </row>
    <row r="20" spans="1:14" s="3" customFormat="1" ht="28.5" hidden="1" customHeight="1" thickBot="1" x14ac:dyDescent="0.3">
      <c r="A20" s="529"/>
      <c r="B20" s="302"/>
      <c r="C20" s="324" t="s">
        <v>204</v>
      </c>
      <c r="D20" s="324"/>
      <c r="E20" s="360"/>
      <c r="F20" s="324"/>
      <c r="G20" s="360">
        <f>C82*F20</f>
        <v>0</v>
      </c>
      <c r="H20" s="359"/>
      <c r="J20" s="441"/>
      <c r="K20" s="44"/>
    </row>
    <row r="21" spans="1:14" s="3" customFormat="1" ht="26.25" hidden="1" customHeight="1" thickBot="1" x14ac:dyDescent="0.3">
      <c r="A21" s="529"/>
      <c r="B21" s="302"/>
      <c r="C21" s="294" t="s">
        <v>205</v>
      </c>
      <c r="D21" s="294"/>
      <c r="E21" s="349"/>
      <c r="F21" s="294"/>
      <c r="G21" s="349">
        <f>C83*F21</f>
        <v>0</v>
      </c>
      <c r="H21" s="354"/>
      <c r="I21" t="s">
        <v>66</v>
      </c>
      <c r="J21" s="441"/>
      <c r="K21" s="44"/>
    </row>
    <row r="22" spans="1:14" s="3" customFormat="1" ht="26.25" customHeight="1" thickBot="1" x14ac:dyDescent="0.3">
      <c r="A22" s="334"/>
      <c r="B22" s="302"/>
      <c r="C22" s="426" t="s">
        <v>245</v>
      </c>
      <c r="D22" s="429">
        <v>4000000</v>
      </c>
      <c r="E22" s="430">
        <v>0</v>
      </c>
      <c r="F22" s="431">
        <f>D22+E22</f>
        <v>4000000</v>
      </c>
      <c r="G22" s="432">
        <f>$C$61*F22</f>
        <v>12832000</v>
      </c>
      <c r="H22" s="354"/>
      <c r="I22"/>
      <c r="J22" s="441"/>
      <c r="K22" s="44"/>
    </row>
    <row r="23" spans="1:14" s="345" customFormat="1" ht="31.5" customHeight="1" thickBot="1" x14ac:dyDescent="0.3">
      <c r="A23" s="340"/>
      <c r="B23" s="341"/>
      <c r="C23" s="322" t="s">
        <v>168</v>
      </c>
      <c r="D23" s="342">
        <f>SUM(D24:D26)</f>
        <v>4300000</v>
      </c>
      <c r="E23" s="342">
        <f>SUM(E24:E26)</f>
        <v>2000000</v>
      </c>
      <c r="F23" s="342">
        <f>SUM(F24:F26)</f>
        <v>6300000</v>
      </c>
      <c r="G23" s="342">
        <f>SUM(G24:G25)</f>
        <v>17002400</v>
      </c>
      <c r="H23" s="335">
        <f>PRODUCT(F23,1/F58,100)</f>
        <v>5.9985899314601108</v>
      </c>
      <c r="I23" s="343"/>
      <c r="J23" s="441"/>
      <c r="K23" s="344"/>
    </row>
    <row r="24" spans="1:14" ht="25.5" x14ac:dyDescent="0.25">
      <c r="A24" s="287" t="s">
        <v>87</v>
      </c>
      <c r="B24" s="355" t="s">
        <v>87</v>
      </c>
      <c r="C24" s="319" t="s">
        <v>143</v>
      </c>
      <c r="D24" s="361">
        <v>3000000</v>
      </c>
      <c r="E24" s="361">
        <v>2000000</v>
      </c>
      <c r="F24" s="361">
        <f t="shared" ref="F24:F36" si="2">D24+E24</f>
        <v>5000000</v>
      </c>
      <c r="G24" s="362">
        <f>$C$61*F24</f>
        <v>16040000</v>
      </c>
      <c r="H24" s="363"/>
      <c r="J24" s="441"/>
      <c r="K24" s="44"/>
    </row>
    <row r="25" spans="1:14" ht="26.25" thickBot="1" x14ac:dyDescent="0.3">
      <c r="A25" s="40" t="s">
        <v>88</v>
      </c>
      <c r="B25" s="364" t="s">
        <v>88</v>
      </c>
      <c r="C25" s="303" t="s">
        <v>141</v>
      </c>
      <c r="D25" s="365">
        <v>300000</v>
      </c>
      <c r="E25" s="365">
        <v>0</v>
      </c>
      <c r="F25" s="365">
        <f t="shared" si="2"/>
        <v>300000</v>
      </c>
      <c r="G25" s="366">
        <f>$C$61*F25</f>
        <v>962400</v>
      </c>
      <c r="H25" s="354"/>
      <c r="J25" s="441"/>
      <c r="K25" s="44"/>
    </row>
    <row r="26" spans="1:14" ht="15.75" thickBot="1" x14ac:dyDescent="0.3">
      <c r="A26" s="40"/>
      <c r="B26" s="364"/>
      <c r="C26" s="414" t="s">
        <v>246</v>
      </c>
      <c r="D26" s="436">
        <v>1000000</v>
      </c>
      <c r="E26" s="436">
        <v>0</v>
      </c>
      <c r="F26" s="431">
        <f>D26+E26</f>
        <v>1000000</v>
      </c>
      <c r="G26" s="432">
        <f>$C$61*F26</f>
        <v>3208000</v>
      </c>
      <c r="H26" s="354"/>
      <c r="J26" s="441"/>
      <c r="K26" s="44"/>
    </row>
    <row r="27" spans="1:14" s="339" customFormat="1" ht="30.75" customHeight="1" thickBot="1" x14ac:dyDescent="0.3">
      <c r="A27" s="336"/>
      <c r="B27" s="341"/>
      <c r="C27" s="391" t="s">
        <v>9</v>
      </c>
      <c r="D27" s="392">
        <f>SUM(D28:D36)</f>
        <v>5000000</v>
      </c>
      <c r="E27" s="392">
        <f>SUM(E28:E36)</f>
        <v>1550000</v>
      </c>
      <c r="F27" s="392">
        <f>SUM(F28:F36)</f>
        <v>6550000</v>
      </c>
      <c r="G27" s="392">
        <f>SUM(G28:G36)</f>
        <v>21012400</v>
      </c>
      <c r="H27" s="335">
        <f>PRODUCT(F27,1/F58,100)</f>
        <v>6.2366292144545605</v>
      </c>
      <c r="I27" s="337"/>
      <c r="J27" s="441"/>
      <c r="K27" s="338"/>
      <c r="N27" s="393"/>
    </row>
    <row r="28" spans="1:14" ht="38.25" x14ac:dyDescent="0.25">
      <c r="A28" s="285" t="s">
        <v>90</v>
      </c>
      <c r="B28" s="355" t="s">
        <v>90</v>
      </c>
      <c r="C28" s="301" t="s">
        <v>240</v>
      </c>
      <c r="D28" s="367">
        <v>150000</v>
      </c>
      <c r="E28" s="368">
        <v>0</v>
      </c>
      <c r="F28" s="369">
        <f t="shared" si="2"/>
        <v>150000</v>
      </c>
      <c r="G28" s="370">
        <f t="shared" ref="G28:G36" si="3">$C$61*F28</f>
        <v>481200</v>
      </c>
      <c r="H28" s="354"/>
      <c r="J28" s="441"/>
      <c r="K28" s="44"/>
    </row>
    <row r="29" spans="1:14" ht="38.25" x14ac:dyDescent="0.25">
      <c r="A29" s="39" t="s">
        <v>91</v>
      </c>
      <c r="B29" s="371" t="s">
        <v>91</v>
      </c>
      <c r="C29" s="302" t="s">
        <v>241</v>
      </c>
      <c r="D29" s="367">
        <v>500000</v>
      </c>
      <c r="E29" s="367">
        <v>0</v>
      </c>
      <c r="F29" s="372">
        <f t="shared" si="2"/>
        <v>500000</v>
      </c>
      <c r="G29" s="373">
        <f t="shared" si="3"/>
        <v>1604000</v>
      </c>
      <c r="H29" s="354"/>
      <c r="J29" s="441"/>
      <c r="K29" s="44"/>
    </row>
    <row r="30" spans="1:14" ht="25.5" x14ac:dyDescent="0.25">
      <c r="A30" s="39"/>
      <c r="B30" s="420"/>
      <c r="C30" s="405" t="s">
        <v>242</v>
      </c>
      <c r="D30" s="406">
        <v>1000000</v>
      </c>
      <c r="E30" s="406">
        <v>500000</v>
      </c>
      <c r="F30" s="407">
        <f t="shared" si="2"/>
        <v>1500000</v>
      </c>
      <c r="G30" s="408">
        <f t="shared" si="3"/>
        <v>4812000</v>
      </c>
      <c r="H30" s="354"/>
      <c r="J30" s="441"/>
      <c r="K30" s="44"/>
    </row>
    <row r="31" spans="1:14" ht="25.5" x14ac:dyDescent="0.25">
      <c r="A31" s="39"/>
      <c r="B31" s="420"/>
      <c r="C31" s="405" t="s">
        <v>243</v>
      </c>
      <c r="D31" s="406">
        <v>1000000</v>
      </c>
      <c r="E31" s="406">
        <v>1000000</v>
      </c>
      <c r="F31" s="407">
        <v>2000000</v>
      </c>
      <c r="G31" s="408">
        <f t="shared" si="3"/>
        <v>6416000</v>
      </c>
      <c r="H31" s="354"/>
      <c r="J31" s="441"/>
      <c r="K31" s="44"/>
    </row>
    <row r="32" spans="1:14" x14ac:dyDescent="0.25">
      <c r="A32" s="285" t="s">
        <v>89</v>
      </c>
      <c r="B32" s="374" t="s">
        <v>89</v>
      </c>
      <c r="C32" s="302" t="s">
        <v>148</v>
      </c>
      <c r="D32" s="367">
        <v>600000</v>
      </c>
      <c r="E32" s="375">
        <v>0</v>
      </c>
      <c r="F32" s="372">
        <f t="shared" si="2"/>
        <v>600000</v>
      </c>
      <c r="G32" s="373">
        <f t="shared" si="3"/>
        <v>1924800</v>
      </c>
      <c r="H32" s="354"/>
      <c r="J32" s="441"/>
      <c r="K32" s="44"/>
    </row>
    <row r="33" spans="1:11" x14ac:dyDescent="0.25">
      <c r="A33" s="285"/>
      <c r="B33" s="374" t="s">
        <v>96</v>
      </c>
      <c r="C33" s="302" t="s">
        <v>226</v>
      </c>
      <c r="D33" s="367">
        <v>500000</v>
      </c>
      <c r="E33" s="367">
        <v>0</v>
      </c>
      <c r="F33" s="372">
        <f t="shared" si="2"/>
        <v>500000</v>
      </c>
      <c r="G33" s="373">
        <f t="shared" si="3"/>
        <v>1604000</v>
      </c>
      <c r="H33" s="354"/>
      <c r="J33" s="441"/>
      <c r="K33" s="44"/>
    </row>
    <row r="34" spans="1:11" ht="25.5" x14ac:dyDescent="0.25">
      <c r="A34" s="40" t="s">
        <v>96</v>
      </c>
      <c r="B34" s="364" t="s">
        <v>97</v>
      </c>
      <c r="C34" s="302" t="s">
        <v>149</v>
      </c>
      <c r="D34" s="367">
        <v>100000</v>
      </c>
      <c r="E34" s="367">
        <v>50000</v>
      </c>
      <c r="F34" s="372">
        <f t="shared" si="2"/>
        <v>150000</v>
      </c>
      <c r="G34" s="373">
        <f t="shared" si="3"/>
        <v>481200</v>
      </c>
      <c r="H34" s="354"/>
      <c r="J34" s="441"/>
      <c r="K34" s="44"/>
    </row>
    <row r="35" spans="1:11" ht="26.25" thickBot="1" x14ac:dyDescent="0.3">
      <c r="A35" s="41" t="s">
        <v>97</v>
      </c>
      <c r="B35" s="376" t="s">
        <v>163</v>
      </c>
      <c r="C35" s="303" t="s">
        <v>150</v>
      </c>
      <c r="D35" s="377">
        <v>150000</v>
      </c>
      <c r="E35" s="377">
        <v>0</v>
      </c>
      <c r="F35" s="378">
        <f t="shared" si="2"/>
        <v>150000</v>
      </c>
      <c r="G35" s="379">
        <f t="shared" si="3"/>
        <v>481200</v>
      </c>
      <c r="H35" s="354"/>
      <c r="J35" s="441"/>
      <c r="K35" s="44"/>
    </row>
    <row r="36" spans="1:11" ht="15.75" thickBot="1" x14ac:dyDescent="0.3">
      <c r="A36" s="41"/>
      <c r="B36" s="376"/>
      <c r="C36" s="414" t="s">
        <v>249</v>
      </c>
      <c r="D36" s="433">
        <v>1000000</v>
      </c>
      <c r="E36" s="433">
        <v>0</v>
      </c>
      <c r="F36" s="434">
        <f t="shared" si="2"/>
        <v>1000000</v>
      </c>
      <c r="G36" s="435">
        <f t="shared" si="3"/>
        <v>3208000</v>
      </c>
      <c r="H36" s="354"/>
      <c r="J36" s="441"/>
      <c r="K36" s="44"/>
    </row>
    <row r="37" spans="1:11" s="339" customFormat="1" ht="24.75" customHeight="1" thickBot="1" x14ac:dyDescent="0.3">
      <c r="A37" s="336"/>
      <c r="B37" s="341"/>
      <c r="C37" s="391" t="s">
        <v>166</v>
      </c>
      <c r="D37" s="392">
        <f>SUM(D38:D39)</f>
        <v>2600000</v>
      </c>
      <c r="E37" s="392">
        <f>SUM(E38:E39)</f>
        <v>0</v>
      </c>
      <c r="F37" s="392">
        <f>SUM(F38:F39)</f>
        <v>2600000</v>
      </c>
      <c r="G37" s="392">
        <f>SUM(G38:G39)</f>
        <v>8340800</v>
      </c>
      <c r="H37" s="335">
        <f>PRODUCT(F37,1/F58,100)</f>
        <v>2.4756085431422683</v>
      </c>
      <c r="I37" s="337"/>
      <c r="J37" s="441"/>
      <c r="K37" s="338"/>
    </row>
    <row r="38" spans="1:11" ht="40.5" customHeight="1" thickBot="1" x14ac:dyDescent="0.3">
      <c r="A38" s="55"/>
      <c r="B38" s="355" t="s">
        <v>102</v>
      </c>
      <c r="C38" s="330" t="s">
        <v>244</v>
      </c>
      <c r="D38" s="380">
        <v>1600000</v>
      </c>
      <c r="E38" s="381">
        <v>0</v>
      </c>
      <c r="F38" s="382">
        <f t="shared" ref="F38:F49" si="4">D38+E38</f>
        <v>1600000</v>
      </c>
      <c r="G38" s="383">
        <f>$C$61*F38</f>
        <v>5132800</v>
      </c>
      <c r="H38" s="354"/>
      <c r="I38" s="9"/>
      <c r="J38" s="441"/>
      <c r="K38" s="44"/>
    </row>
    <row r="39" spans="1:11" ht="15.75" customHeight="1" thickBot="1" x14ac:dyDescent="0.3">
      <c r="A39" s="55"/>
      <c r="B39" s="355"/>
      <c r="C39" s="414" t="s">
        <v>248</v>
      </c>
      <c r="D39" s="433">
        <v>1000000</v>
      </c>
      <c r="E39" s="433">
        <v>0</v>
      </c>
      <c r="F39" s="434">
        <f>D39+E39</f>
        <v>1000000</v>
      </c>
      <c r="G39" s="435">
        <f>$C$61*F39</f>
        <v>3208000</v>
      </c>
      <c r="H39" s="354"/>
      <c r="I39" s="9"/>
      <c r="J39" s="441"/>
      <c r="K39" s="44"/>
    </row>
    <row r="40" spans="1:11" s="339" customFormat="1" ht="24" customHeight="1" thickBot="1" x14ac:dyDescent="0.3">
      <c r="A40" s="336"/>
      <c r="B40" s="341"/>
      <c r="C40" s="391" t="s">
        <v>165</v>
      </c>
      <c r="D40" s="392">
        <f>SUM(D41:D49)</f>
        <v>1310000</v>
      </c>
      <c r="E40" s="392">
        <f>SUM(E41:E49)</f>
        <v>900000</v>
      </c>
      <c r="F40" s="392">
        <f>SUM(F41:F49)</f>
        <v>2210000</v>
      </c>
      <c r="G40" s="392">
        <f>SUM(G41:G48)</f>
        <v>4042080</v>
      </c>
      <c r="H40" s="335">
        <f>PRODUCT(F40,1/F58,100)</f>
        <v>2.1042672616709277</v>
      </c>
      <c r="I40" s="337"/>
      <c r="J40" s="441"/>
      <c r="K40" s="338"/>
    </row>
    <row r="41" spans="1:11" ht="25.5" x14ac:dyDescent="0.25">
      <c r="A41" s="288" t="s">
        <v>103</v>
      </c>
      <c r="B41" s="348" t="s">
        <v>92</v>
      </c>
      <c r="C41" s="301" t="s">
        <v>153</v>
      </c>
      <c r="D41" s="384">
        <v>110000</v>
      </c>
      <c r="E41" s="384">
        <v>100000</v>
      </c>
      <c r="F41" s="369">
        <f t="shared" si="4"/>
        <v>210000</v>
      </c>
      <c r="G41" s="370">
        <f t="shared" ref="G41:G49" si="5">$C$61*F41</f>
        <v>673680</v>
      </c>
      <c r="H41" s="354"/>
      <c r="J41" s="441"/>
      <c r="K41" s="44"/>
    </row>
    <row r="42" spans="1:11" ht="25.5" x14ac:dyDescent="0.25">
      <c r="A42" s="285" t="s">
        <v>104</v>
      </c>
      <c r="B42" s="355" t="s">
        <v>103</v>
      </c>
      <c r="C42" s="302" t="s">
        <v>217</v>
      </c>
      <c r="D42" s="367">
        <v>0</v>
      </c>
      <c r="E42" s="367">
        <v>100000</v>
      </c>
      <c r="F42" s="372">
        <f t="shared" si="4"/>
        <v>100000</v>
      </c>
      <c r="G42" s="373">
        <f t="shared" si="5"/>
        <v>320800</v>
      </c>
      <c r="H42" s="354"/>
      <c r="J42" s="441"/>
      <c r="K42" s="44"/>
    </row>
    <row r="43" spans="1:11" x14ac:dyDescent="0.25">
      <c r="A43" s="42" t="s">
        <v>107</v>
      </c>
      <c r="B43" s="404" t="s">
        <v>104</v>
      </c>
      <c r="C43" s="405" t="s">
        <v>177</v>
      </c>
      <c r="D43" s="406">
        <v>0</v>
      </c>
      <c r="E43" s="406">
        <v>0</v>
      </c>
      <c r="F43" s="407">
        <f t="shared" si="4"/>
        <v>0</v>
      </c>
      <c r="G43" s="408">
        <f t="shared" si="5"/>
        <v>0</v>
      </c>
      <c r="H43" s="409"/>
      <c r="I43" s="410" t="s">
        <v>70</v>
      </c>
      <c r="J43" s="441"/>
      <c r="K43" s="44"/>
    </row>
    <row r="44" spans="1:11" ht="25.5" x14ac:dyDescent="0.25">
      <c r="A44" s="42"/>
      <c r="B44" s="374" t="s">
        <v>107</v>
      </c>
      <c r="C44" s="302" t="s">
        <v>158</v>
      </c>
      <c r="D44" s="367">
        <v>200000</v>
      </c>
      <c r="E44" s="367">
        <v>0</v>
      </c>
      <c r="F44" s="372">
        <f t="shared" si="4"/>
        <v>200000</v>
      </c>
      <c r="G44" s="373">
        <f t="shared" si="5"/>
        <v>641600</v>
      </c>
      <c r="H44" s="354"/>
      <c r="J44" s="441"/>
      <c r="K44" s="44"/>
    </row>
    <row r="45" spans="1:11" x14ac:dyDescent="0.25">
      <c r="A45" s="42"/>
      <c r="B45" s="374" t="s">
        <v>159</v>
      </c>
      <c r="C45" s="399" t="s">
        <v>160</v>
      </c>
      <c r="D45" s="400">
        <v>0</v>
      </c>
      <c r="E45" s="413">
        <v>200000</v>
      </c>
      <c r="F45" s="416">
        <f t="shared" si="4"/>
        <v>200000</v>
      </c>
      <c r="G45" s="417">
        <f t="shared" si="5"/>
        <v>641600</v>
      </c>
      <c r="H45" s="354"/>
      <c r="J45" s="441"/>
      <c r="K45" s="44"/>
    </row>
    <row r="46" spans="1:11" x14ac:dyDescent="0.25">
      <c r="A46" s="42"/>
      <c r="B46" s="412"/>
      <c r="C46" s="419" t="s">
        <v>237</v>
      </c>
      <c r="D46" s="427">
        <v>0</v>
      </c>
      <c r="E46" s="406">
        <v>250000</v>
      </c>
      <c r="F46" s="428">
        <f t="shared" si="4"/>
        <v>250000</v>
      </c>
      <c r="G46" s="408">
        <f t="shared" si="5"/>
        <v>802000</v>
      </c>
      <c r="H46" s="354"/>
      <c r="J46" s="441"/>
      <c r="K46" s="44"/>
    </row>
    <row r="47" spans="1:11" ht="14.25" customHeight="1" x14ac:dyDescent="0.25">
      <c r="A47" s="42"/>
      <c r="B47" s="412"/>
      <c r="C47" s="419" t="s">
        <v>238</v>
      </c>
      <c r="D47" s="427">
        <v>50000</v>
      </c>
      <c r="E47" s="406">
        <v>0</v>
      </c>
      <c r="F47" s="428">
        <f t="shared" si="4"/>
        <v>50000</v>
      </c>
      <c r="G47" s="408">
        <f t="shared" si="5"/>
        <v>160400</v>
      </c>
      <c r="H47" s="354"/>
      <c r="J47" s="441"/>
      <c r="K47" s="44"/>
    </row>
    <row r="48" spans="1:11" ht="15.75" thickBot="1" x14ac:dyDescent="0.3">
      <c r="A48" s="42"/>
      <c r="B48" s="412"/>
      <c r="C48" s="418" t="s">
        <v>236</v>
      </c>
      <c r="D48" s="401">
        <v>0</v>
      </c>
      <c r="E48" s="401">
        <v>250000</v>
      </c>
      <c r="F48" s="402">
        <f t="shared" si="4"/>
        <v>250000</v>
      </c>
      <c r="G48" s="408">
        <f t="shared" si="5"/>
        <v>802000</v>
      </c>
      <c r="H48" s="354"/>
      <c r="J48" s="441"/>
      <c r="K48" s="44"/>
    </row>
    <row r="49" spans="1:11" ht="15.75" thickBot="1" x14ac:dyDescent="0.3">
      <c r="A49" s="42"/>
      <c r="B49" s="412"/>
      <c r="C49" s="414" t="s">
        <v>247</v>
      </c>
      <c r="D49" s="433">
        <v>950000</v>
      </c>
      <c r="E49" s="433">
        <v>0</v>
      </c>
      <c r="F49" s="434">
        <f t="shared" si="4"/>
        <v>950000</v>
      </c>
      <c r="G49" s="435">
        <f t="shared" si="5"/>
        <v>3047600</v>
      </c>
      <c r="H49" s="354"/>
      <c r="J49" s="441"/>
      <c r="K49" s="44"/>
    </row>
    <row r="50" spans="1:11" s="339" customFormat="1" ht="16.5" thickBot="1" x14ac:dyDescent="0.3">
      <c r="A50" s="336"/>
      <c r="B50" s="396"/>
      <c r="C50" s="391" t="s">
        <v>164</v>
      </c>
      <c r="D50" s="392">
        <f>SUM(D51:D57)</f>
        <v>392341</v>
      </c>
      <c r="E50" s="392">
        <f>SUM(E51:E57)</f>
        <v>6412341</v>
      </c>
      <c r="F50" s="392">
        <f>SUM(F51:F57)</f>
        <v>6804682</v>
      </c>
      <c r="G50" s="392">
        <f>SUM(G51:G57)</f>
        <v>21829419.855999999</v>
      </c>
      <c r="H50" s="335">
        <f>PRODUCT(F50,1/F58,100)</f>
        <v>6.4791264971409284</v>
      </c>
      <c r="I50" s="337"/>
      <c r="J50" s="441"/>
      <c r="K50" s="338"/>
    </row>
    <row r="51" spans="1:11" ht="25.5" customHeight="1" x14ac:dyDescent="0.25">
      <c r="A51" s="40"/>
      <c r="B51" s="397"/>
      <c r="C51" s="301" t="s">
        <v>235</v>
      </c>
      <c r="D51" s="384">
        <v>251341</v>
      </c>
      <c r="E51" s="384">
        <v>100000</v>
      </c>
      <c r="F51" s="372">
        <f>D51+E51</f>
        <v>351341</v>
      </c>
      <c r="G51" s="373">
        <f t="shared" ref="G51:G58" si="6">$C$61*F51</f>
        <v>1127101.9280000001</v>
      </c>
      <c r="H51" s="354"/>
      <c r="J51" s="441"/>
      <c r="K51" s="44"/>
    </row>
    <row r="52" spans="1:11" x14ac:dyDescent="0.25">
      <c r="A52" s="40"/>
      <c r="B52" s="395"/>
      <c r="C52" s="302" t="s">
        <v>220</v>
      </c>
      <c r="D52" s="367">
        <v>0</v>
      </c>
      <c r="E52" s="367">
        <v>300000</v>
      </c>
      <c r="F52" s="372">
        <f t="shared" ref="F52:F57" si="7">D52+E52</f>
        <v>300000</v>
      </c>
      <c r="G52" s="373">
        <f t="shared" si="6"/>
        <v>962400</v>
      </c>
      <c r="H52" s="354"/>
      <c r="J52" s="441"/>
      <c r="K52" s="44"/>
    </row>
    <row r="53" spans="1:11" x14ac:dyDescent="0.25">
      <c r="A53" s="40"/>
      <c r="B53" s="395"/>
      <c r="C53" s="302" t="s">
        <v>221</v>
      </c>
      <c r="D53" s="367">
        <v>0</v>
      </c>
      <c r="E53" s="367">
        <v>3200000</v>
      </c>
      <c r="F53" s="372">
        <f t="shared" si="7"/>
        <v>3200000</v>
      </c>
      <c r="G53" s="373">
        <f t="shared" si="6"/>
        <v>10265600</v>
      </c>
      <c r="H53" s="354"/>
      <c r="J53" s="441"/>
      <c r="K53" s="44"/>
    </row>
    <row r="54" spans="1:11" x14ac:dyDescent="0.25">
      <c r="A54" s="40"/>
      <c r="B54" s="395"/>
      <c r="C54" s="302" t="s">
        <v>222</v>
      </c>
      <c r="D54" s="367">
        <v>0</v>
      </c>
      <c r="E54" s="367">
        <v>2000000</v>
      </c>
      <c r="F54" s="372">
        <f t="shared" si="7"/>
        <v>2000000</v>
      </c>
      <c r="G54" s="373">
        <f t="shared" si="6"/>
        <v>6416000</v>
      </c>
      <c r="H54" s="354"/>
      <c r="J54" s="441"/>
      <c r="K54" s="44"/>
    </row>
    <row r="55" spans="1:11" x14ac:dyDescent="0.25">
      <c r="A55" s="40"/>
      <c r="B55" s="395"/>
      <c r="C55" s="302" t="s">
        <v>239</v>
      </c>
      <c r="D55" s="367">
        <v>0</v>
      </c>
      <c r="E55" s="367">
        <v>612341</v>
      </c>
      <c r="F55" s="372">
        <f t="shared" si="7"/>
        <v>612341</v>
      </c>
      <c r="G55" s="373">
        <f t="shared" si="6"/>
        <v>1964389.9280000001</v>
      </c>
      <c r="H55" s="354"/>
      <c r="J55" s="441"/>
      <c r="K55" s="44"/>
    </row>
    <row r="56" spans="1:11" x14ac:dyDescent="0.25">
      <c r="A56" s="40"/>
      <c r="B56" s="395"/>
      <c r="C56" s="399" t="s">
        <v>224</v>
      </c>
      <c r="D56" s="400">
        <v>0</v>
      </c>
      <c r="E56" s="400">
        <v>200000</v>
      </c>
      <c r="F56" s="372">
        <f t="shared" si="7"/>
        <v>200000</v>
      </c>
      <c r="G56" s="373">
        <f t="shared" si="6"/>
        <v>641600</v>
      </c>
      <c r="H56" s="354"/>
      <c r="J56" s="441"/>
      <c r="K56" s="44"/>
    </row>
    <row r="57" spans="1:11" ht="15.75" thickBot="1" x14ac:dyDescent="0.3">
      <c r="A57" s="135"/>
      <c r="B57" s="398"/>
      <c r="C57" s="394" t="s">
        <v>177</v>
      </c>
      <c r="D57" s="401">
        <v>141000</v>
      </c>
      <c r="E57" s="401">
        <v>0</v>
      </c>
      <c r="F57" s="402">
        <f t="shared" si="7"/>
        <v>141000</v>
      </c>
      <c r="G57" s="403">
        <f t="shared" si="6"/>
        <v>452328</v>
      </c>
      <c r="H57" s="354"/>
      <c r="J57" s="441"/>
      <c r="K57" s="44"/>
    </row>
    <row r="58" spans="1:11" ht="30" customHeight="1" thickBot="1" x14ac:dyDescent="0.45">
      <c r="A58" s="37"/>
      <c r="B58" s="605" t="s">
        <v>100</v>
      </c>
      <c r="C58" s="606"/>
      <c r="D58" s="299">
        <f>D50+D40+D37+D27+D23+D3</f>
        <v>52512341</v>
      </c>
      <c r="E58" s="299">
        <f>E50+E40+E37+E27+E23+E3</f>
        <v>52512341</v>
      </c>
      <c r="F58" s="299">
        <f>D58+E58</f>
        <v>105024682</v>
      </c>
      <c r="G58" s="299">
        <f t="shared" si="6"/>
        <v>336919179.85600001</v>
      </c>
      <c r="H58" s="335">
        <f>PRODUCT(F58,1/F58,100)</f>
        <v>100</v>
      </c>
      <c r="J58" s="441"/>
      <c r="K58" s="44"/>
    </row>
    <row r="59" spans="1:11" ht="15.75" thickBot="1" x14ac:dyDescent="0.3">
      <c r="B59" s="267" t="s">
        <v>181</v>
      </c>
      <c r="C59" s="269"/>
      <c r="D59" s="385">
        <f>52512341-D58</f>
        <v>0</v>
      </c>
      <c r="E59" s="386">
        <f>52512341-E58</f>
        <v>0</v>
      </c>
      <c r="F59" s="386">
        <f>D59+E59</f>
        <v>0</v>
      </c>
      <c r="G59" s="387"/>
      <c r="H59" s="354"/>
      <c r="J59" s="441"/>
      <c r="K59" s="44"/>
    </row>
    <row r="60" spans="1:11" x14ac:dyDescent="0.25">
      <c r="B60" s="270" t="s">
        <v>182</v>
      </c>
      <c r="C60" s="267"/>
      <c r="D60" s="572" t="s">
        <v>250</v>
      </c>
      <c r="E60" s="572"/>
      <c r="F60" s="572"/>
      <c r="G60" s="572"/>
      <c r="H60" s="354"/>
      <c r="I60" s="44"/>
      <c r="J60" s="439"/>
      <c r="K60" s="44"/>
    </row>
    <row r="61" spans="1:11" x14ac:dyDescent="0.25">
      <c r="B61" s="267" t="s">
        <v>180</v>
      </c>
      <c r="C61" s="270">
        <v>3.2080000000000002</v>
      </c>
      <c r="D61" s="388"/>
      <c r="E61" s="388"/>
      <c r="F61" s="388"/>
      <c r="G61" s="388"/>
      <c r="H61" s="354"/>
      <c r="I61" s="44"/>
      <c r="J61" s="411"/>
      <c r="K61" s="44"/>
    </row>
    <row r="62" spans="1:11" x14ac:dyDescent="0.25">
      <c r="B62" s="388"/>
      <c r="C62" s="388"/>
      <c r="D62" s="388"/>
      <c r="E62" s="388"/>
      <c r="F62" s="388"/>
      <c r="G62" s="388"/>
      <c r="H62" s="354"/>
      <c r="I62" s="44"/>
      <c r="J62" s="411"/>
      <c r="K62" s="44"/>
    </row>
    <row r="63" spans="1:11" x14ac:dyDescent="0.25">
      <c r="B63" s="388"/>
      <c r="C63" s="388"/>
      <c r="D63" s="388"/>
      <c r="E63" s="388"/>
      <c r="F63" s="388"/>
      <c r="G63" s="388"/>
      <c r="H63" s="354"/>
      <c r="I63" s="44"/>
      <c r="J63" s="411"/>
      <c r="K63" s="44"/>
    </row>
    <row r="64" spans="1:11" x14ac:dyDescent="0.25">
      <c r="B64" s="388"/>
      <c r="C64" s="388"/>
      <c r="D64" s="388"/>
      <c r="E64" s="388"/>
      <c r="F64" s="388"/>
      <c r="G64" s="388"/>
      <c r="H64" s="354"/>
      <c r="I64" s="44"/>
      <c r="J64" s="411"/>
      <c r="K64" s="44"/>
    </row>
  </sheetData>
  <mergeCells count="5">
    <mergeCell ref="D60:G60"/>
    <mergeCell ref="B1:F1"/>
    <mergeCell ref="B2:B3"/>
    <mergeCell ref="A19:A21"/>
    <mergeCell ref="B58:C58"/>
  </mergeCells>
  <pageMargins left="0.70866141732283472" right="0.70866141732283472" top="0.35433070866141736" bottom="0.35433070866141736" header="0.31496062992125984" footer="0.31496062992125984"/>
  <pageSetup paperSize="8" scale="67" fitToHeight="100" orientation="portrait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B35" zoomScaleNormal="100" workbookViewId="0">
      <selection activeCell="C60" sqref="C60"/>
    </sheetView>
  </sheetViews>
  <sheetFormatPr defaultRowHeight="15" x14ac:dyDescent="0.25"/>
  <cols>
    <col min="1" max="1" width="12" hidden="1" customWidth="1"/>
    <col min="2" max="2" width="6.85546875" style="389" customWidth="1"/>
    <col min="3" max="3" width="79.140625" style="389" customWidth="1"/>
    <col min="4" max="4" width="14.28515625" style="389" bestFit="1" customWidth="1"/>
    <col min="5" max="5" width="13.42578125" style="389" customWidth="1"/>
    <col min="6" max="6" width="14.7109375" style="389" customWidth="1"/>
    <col min="7" max="7" width="15.140625" style="389" customWidth="1"/>
    <col min="8" max="8" width="16.7109375" style="390" customWidth="1"/>
    <col min="9" max="9" width="92.7109375" hidden="1" customWidth="1"/>
    <col min="10" max="10" width="25.85546875" style="410" customWidth="1"/>
    <col min="14" max="14" width="15.85546875" bestFit="1" customWidth="1"/>
  </cols>
  <sheetData>
    <row r="1" spans="1:11" ht="67.5" customHeight="1" thickBot="1" x14ac:dyDescent="0.3">
      <c r="B1" s="607" t="s">
        <v>225</v>
      </c>
      <c r="C1" s="607"/>
      <c r="D1" s="607"/>
      <c r="E1" s="607"/>
      <c r="F1" s="607"/>
      <c r="G1" s="346"/>
      <c r="H1" s="347"/>
      <c r="I1" s="52"/>
      <c r="J1" s="415"/>
      <c r="K1" s="44"/>
    </row>
    <row r="2" spans="1:11" ht="30" customHeight="1" thickBot="1" x14ac:dyDescent="0.3">
      <c r="A2" s="9" t="s">
        <v>85</v>
      </c>
      <c r="B2" s="608" t="s">
        <v>112</v>
      </c>
      <c r="C2" s="306" t="s">
        <v>117</v>
      </c>
      <c r="D2" s="307" t="s">
        <v>183</v>
      </c>
      <c r="E2" s="307" t="s">
        <v>184</v>
      </c>
      <c r="F2" s="308" t="s">
        <v>185</v>
      </c>
      <c r="G2" s="309" t="s">
        <v>186</v>
      </c>
      <c r="H2" s="335" t="s">
        <v>233</v>
      </c>
      <c r="I2" s="52"/>
      <c r="J2" s="441"/>
      <c r="K2" s="44"/>
    </row>
    <row r="3" spans="1:11" ht="30" customHeight="1" x14ac:dyDescent="0.25">
      <c r="A3" s="9"/>
      <c r="B3" s="609"/>
      <c r="C3" s="322" t="s">
        <v>167</v>
      </c>
      <c r="D3" s="323">
        <f>SUM(D4:D21)</f>
        <v>39910000</v>
      </c>
      <c r="E3" s="323">
        <f>SUM(E4:E21)</f>
        <v>41650000</v>
      </c>
      <c r="F3" s="323">
        <f>SUM(F4:F21)</f>
        <v>81560000</v>
      </c>
      <c r="G3" s="323">
        <f>SUM(G4:G21)</f>
        <v>316452800</v>
      </c>
      <c r="H3" s="335">
        <f>PRODUCT(F3,1/F54,100)</f>
        <v>77.657935684108992</v>
      </c>
      <c r="I3" s="52"/>
      <c r="J3" s="438"/>
      <c r="K3" s="44"/>
    </row>
    <row r="4" spans="1:11" ht="39.75" customHeight="1" x14ac:dyDescent="0.25">
      <c r="A4" s="40" t="s">
        <v>109</v>
      </c>
      <c r="B4" s="442" t="s">
        <v>113</v>
      </c>
      <c r="C4" s="448" t="s">
        <v>228</v>
      </c>
      <c r="D4" s="445">
        <v>5500000</v>
      </c>
      <c r="E4" s="445">
        <v>3000000</v>
      </c>
      <c r="F4" s="352">
        <f t="shared" ref="F4:F12" si="0">D4+E4</f>
        <v>8500000</v>
      </c>
      <c r="G4" s="352">
        <f t="shared" ref="G4:G17" si="1">$C$57*F4</f>
        <v>32980000</v>
      </c>
      <c r="H4" s="354"/>
      <c r="I4" s="14"/>
      <c r="J4" s="441"/>
      <c r="K4" s="44"/>
    </row>
    <row r="5" spans="1:11" ht="27.75" customHeight="1" x14ac:dyDescent="0.25">
      <c r="A5" s="40" t="s">
        <v>73</v>
      </c>
      <c r="B5" s="442" t="s">
        <v>109</v>
      </c>
      <c r="C5" s="294" t="s">
        <v>187</v>
      </c>
      <c r="D5" s="352">
        <f>FINAL!F6+180000</f>
        <v>810000</v>
      </c>
      <c r="E5" s="445">
        <v>50000</v>
      </c>
      <c r="F5" s="352">
        <f t="shared" si="0"/>
        <v>860000</v>
      </c>
      <c r="G5" s="352">
        <f t="shared" si="1"/>
        <v>3336800</v>
      </c>
      <c r="H5" s="354"/>
      <c r="J5" s="441"/>
      <c r="K5" s="44"/>
    </row>
    <row r="6" spans="1:11" ht="24.75" customHeight="1" x14ac:dyDescent="0.25">
      <c r="A6" s="40" t="s">
        <v>74</v>
      </c>
      <c r="B6" s="442" t="s">
        <v>73</v>
      </c>
      <c r="C6" s="294" t="s">
        <v>188</v>
      </c>
      <c r="D6" s="352">
        <f>FINAL!F7+170000</f>
        <v>700000</v>
      </c>
      <c r="E6" s="445">
        <v>50000</v>
      </c>
      <c r="F6" s="352">
        <f t="shared" si="0"/>
        <v>750000</v>
      </c>
      <c r="G6" s="352">
        <f t="shared" si="1"/>
        <v>2910000</v>
      </c>
      <c r="H6" s="354"/>
      <c r="J6" s="441"/>
      <c r="K6" s="44"/>
    </row>
    <row r="7" spans="1:11" ht="25.5" x14ac:dyDescent="0.25">
      <c r="A7" s="40" t="s">
        <v>75</v>
      </c>
      <c r="B7" s="442" t="s">
        <v>74</v>
      </c>
      <c r="C7" s="294" t="s">
        <v>189</v>
      </c>
      <c r="D7" s="352">
        <f>FINAL!F8</f>
        <v>180000</v>
      </c>
      <c r="E7" s="352">
        <v>0</v>
      </c>
      <c r="F7" s="352">
        <f t="shared" si="0"/>
        <v>180000</v>
      </c>
      <c r="G7" s="352">
        <f t="shared" si="1"/>
        <v>698400</v>
      </c>
      <c r="H7" s="354"/>
      <c r="J7" s="441"/>
      <c r="K7" s="44"/>
    </row>
    <row r="8" spans="1:11" x14ac:dyDescent="0.25">
      <c r="A8" s="40" t="s">
        <v>76</v>
      </c>
      <c r="B8" s="442" t="s">
        <v>75</v>
      </c>
      <c r="C8" s="294" t="s">
        <v>192</v>
      </c>
      <c r="D8" s="352">
        <f>FINAL!F9</f>
        <v>170000</v>
      </c>
      <c r="E8" s="445">
        <v>8000000</v>
      </c>
      <c r="F8" s="352">
        <f t="shared" si="0"/>
        <v>8170000</v>
      </c>
      <c r="G8" s="352">
        <f t="shared" si="1"/>
        <v>31699600</v>
      </c>
      <c r="H8" s="354"/>
      <c r="J8" s="441"/>
      <c r="K8" s="44"/>
    </row>
    <row r="9" spans="1:11" x14ac:dyDescent="0.25">
      <c r="A9" s="40" t="s">
        <v>77</v>
      </c>
      <c r="B9" s="442" t="s">
        <v>76</v>
      </c>
      <c r="C9" s="294" t="s">
        <v>193</v>
      </c>
      <c r="D9" s="352">
        <v>23000000</v>
      </c>
      <c r="E9" s="445">
        <v>0</v>
      </c>
      <c r="F9" s="352">
        <f t="shared" si="0"/>
        <v>23000000</v>
      </c>
      <c r="G9" s="352">
        <f t="shared" si="1"/>
        <v>89240000</v>
      </c>
      <c r="H9" s="354"/>
      <c r="J9" s="441"/>
      <c r="K9" s="44"/>
    </row>
    <row r="10" spans="1:11" x14ac:dyDescent="0.25">
      <c r="A10" s="40" t="s">
        <v>78</v>
      </c>
      <c r="B10" s="442" t="s">
        <v>118</v>
      </c>
      <c r="C10" s="294" t="s">
        <v>190</v>
      </c>
      <c r="D10" s="352">
        <f>FINAL!F11</f>
        <v>1050000</v>
      </c>
      <c r="E10" s="445">
        <v>0</v>
      </c>
      <c r="F10" s="352">
        <f t="shared" si="0"/>
        <v>1050000</v>
      </c>
      <c r="G10" s="352">
        <f t="shared" si="1"/>
        <v>4074000</v>
      </c>
      <c r="H10" s="354"/>
      <c r="J10" s="441"/>
      <c r="K10" s="44"/>
    </row>
    <row r="11" spans="1:11" ht="15.75" customHeight="1" x14ac:dyDescent="0.25">
      <c r="A11" s="40" t="s">
        <v>79</v>
      </c>
      <c r="B11" s="442" t="s">
        <v>77</v>
      </c>
      <c r="C11" s="294" t="s">
        <v>191</v>
      </c>
      <c r="D11" s="352">
        <f>FINAL!F12</f>
        <v>300000</v>
      </c>
      <c r="E11" s="445">
        <v>12000000</v>
      </c>
      <c r="F11" s="352">
        <f t="shared" si="0"/>
        <v>12300000</v>
      </c>
      <c r="G11" s="352">
        <f t="shared" si="1"/>
        <v>47724000</v>
      </c>
      <c r="H11" s="354"/>
      <c r="J11" s="441"/>
      <c r="K11" s="44"/>
    </row>
    <row r="12" spans="1:11" x14ac:dyDescent="0.25">
      <c r="A12" s="40" t="s">
        <v>80</v>
      </c>
      <c r="B12" s="442" t="s">
        <v>114</v>
      </c>
      <c r="C12" s="294" t="s">
        <v>126</v>
      </c>
      <c r="D12" s="352">
        <f>FINAL!F13</f>
        <v>1050000</v>
      </c>
      <c r="E12" s="445">
        <v>0</v>
      </c>
      <c r="F12" s="352">
        <f t="shared" si="0"/>
        <v>1050000</v>
      </c>
      <c r="G12" s="352">
        <f t="shared" si="1"/>
        <v>4074000</v>
      </c>
      <c r="H12" s="354"/>
      <c r="J12" s="441"/>
      <c r="K12" s="44"/>
    </row>
    <row r="13" spans="1:11" x14ac:dyDescent="0.25">
      <c r="A13" s="475" t="s">
        <v>81</v>
      </c>
      <c r="B13" s="443" t="s">
        <v>78</v>
      </c>
      <c r="C13" s="449" t="s">
        <v>196</v>
      </c>
      <c r="D13" s="352">
        <v>0</v>
      </c>
      <c r="E13" s="445">
        <v>1000000</v>
      </c>
      <c r="F13" s="352">
        <f>D13+E13</f>
        <v>1000000</v>
      </c>
      <c r="G13" s="352">
        <f t="shared" si="1"/>
        <v>3880000</v>
      </c>
      <c r="H13" s="354"/>
      <c r="I13" t="s">
        <v>110</v>
      </c>
      <c r="J13" s="441"/>
      <c r="K13" s="44"/>
    </row>
    <row r="14" spans="1:11" x14ac:dyDescent="0.25">
      <c r="A14" s="40" t="s">
        <v>82</v>
      </c>
      <c r="B14" s="450" t="s">
        <v>79</v>
      </c>
      <c r="C14" s="294" t="s">
        <v>128</v>
      </c>
      <c r="D14" s="352">
        <f>FINAL!F19</f>
        <v>1000000</v>
      </c>
      <c r="E14" s="352">
        <v>0</v>
      </c>
      <c r="F14" s="352">
        <f>D14+E14</f>
        <v>1000000</v>
      </c>
      <c r="G14" s="352">
        <f t="shared" si="1"/>
        <v>3880000</v>
      </c>
      <c r="H14" s="354"/>
      <c r="I14" t="s">
        <v>101</v>
      </c>
      <c r="J14" s="441"/>
      <c r="K14" s="44"/>
    </row>
    <row r="15" spans="1:11" ht="16.5" customHeight="1" x14ac:dyDescent="0.25">
      <c r="A15" s="477" t="s">
        <v>92</v>
      </c>
      <c r="B15" s="450" t="s">
        <v>80</v>
      </c>
      <c r="C15" s="294" t="s">
        <v>230</v>
      </c>
      <c r="D15" s="352">
        <v>500000</v>
      </c>
      <c r="E15" s="446">
        <v>3500000</v>
      </c>
      <c r="F15" s="352">
        <f>D15+E15</f>
        <v>4000000</v>
      </c>
      <c r="G15" s="352">
        <f t="shared" si="1"/>
        <v>15520000</v>
      </c>
      <c r="H15" s="354"/>
      <c r="J15" s="441"/>
      <c r="K15" s="44"/>
    </row>
    <row r="16" spans="1:11" s="3" customFormat="1" ht="28.5" customHeight="1" x14ac:dyDescent="0.25">
      <c r="A16" s="478" t="s">
        <v>84</v>
      </c>
      <c r="B16" s="450" t="s">
        <v>115</v>
      </c>
      <c r="C16" s="294" t="s">
        <v>227</v>
      </c>
      <c r="D16" s="352">
        <f>FINAL!F27</f>
        <v>0</v>
      </c>
      <c r="E16" s="445">
        <v>750000</v>
      </c>
      <c r="F16" s="352">
        <f>D16+E16</f>
        <v>750000</v>
      </c>
      <c r="G16" s="352">
        <f t="shared" si="1"/>
        <v>2910000</v>
      </c>
      <c r="H16" s="356"/>
      <c r="J16" s="441"/>
      <c r="K16" s="44"/>
    </row>
    <row r="17" spans="1:14" s="3" customFormat="1" ht="24.75" customHeight="1" x14ac:dyDescent="0.25">
      <c r="A17" s="529" t="s">
        <v>86</v>
      </c>
      <c r="B17" s="450" t="s">
        <v>81</v>
      </c>
      <c r="C17" s="294" t="s">
        <v>139</v>
      </c>
      <c r="D17" s="352">
        <f>FINAL!F30</f>
        <v>1000000</v>
      </c>
      <c r="E17" s="352">
        <v>1300000</v>
      </c>
      <c r="F17" s="352">
        <f>D17+E17</f>
        <v>2300000</v>
      </c>
      <c r="G17" s="352">
        <f t="shared" si="1"/>
        <v>8924000</v>
      </c>
      <c r="H17" s="359"/>
      <c r="J17" s="441"/>
      <c r="K17" s="44"/>
    </row>
    <row r="18" spans="1:14" s="3" customFormat="1" ht="28.5" hidden="1" customHeight="1" thickBot="1" x14ac:dyDescent="0.3">
      <c r="A18" s="529"/>
      <c r="B18" s="450"/>
      <c r="C18" s="294" t="s">
        <v>204</v>
      </c>
      <c r="D18" s="481"/>
      <c r="E18" s="352"/>
      <c r="F18" s="481"/>
      <c r="G18" s="352">
        <f>C78*F18</f>
        <v>0</v>
      </c>
      <c r="H18" s="359"/>
      <c r="J18" s="441"/>
      <c r="K18" s="44"/>
    </row>
    <row r="19" spans="1:14" s="3" customFormat="1" ht="26.25" hidden="1" customHeight="1" thickBot="1" x14ac:dyDescent="0.3">
      <c r="A19" s="529"/>
      <c r="B19" s="450"/>
      <c r="C19" s="294" t="s">
        <v>205</v>
      </c>
      <c r="D19" s="481"/>
      <c r="E19" s="352"/>
      <c r="F19" s="481"/>
      <c r="G19" s="352">
        <f>C79*F19</f>
        <v>0</v>
      </c>
      <c r="H19" s="354"/>
      <c r="I19" t="s">
        <v>66</v>
      </c>
      <c r="J19" s="441"/>
      <c r="K19" s="44"/>
    </row>
    <row r="20" spans="1:14" s="3" customFormat="1" ht="26.25" customHeight="1" x14ac:dyDescent="0.25">
      <c r="A20" s="480"/>
      <c r="B20" s="450" t="s">
        <v>82</v>
      </c>
      <c r="C20" s="448" t="s">
        <v>229</v>
      </c>
      <c r="D20" s="352">
        <v>0</v>
      </c>
      <c r="E20" s="445">
        <v>12000000</v>
      </c>
      <c r="F20" s="352">
        <f t="shared" ref="F20" si="2">D20+E20</f>
        <v>12000000</v>
      </c>
      <c r="G20" s="352">
        <f>$C$57*F20</f>
        <v>46560000</v>
      </c>
      <c r="H20" s="354"/>
      <c r="I20"/>
      <c r="J20" s="441"/>
      <c r="K20" s="44"/>
    </row>
    <row r="21" spans="1:14" s="3" customFormat="1" ht="26.25" customHeight="1" thickBot="1" x14ac:dyDescent="0.3">
      <c r="A21" s="480"/>
      <c r="B21" s="294"/>
      <c r="C21" s="451" t="s">
        <v>255</v>
      </c>
      <c r="D21" s="482">
        <f>6000000-180000-900000-270000</f>
        <v>4650000</v>
      </c>
      <c r="E21" s="452">
        <v>0</v>
      </c>
      <c r="F21" s="452">
        <f>D21+E21</f>
        <v>4650000</v>
      </c>
      <c r="G21" s="452">
        <f>$C$57*F21</f>
        <v>18042000</v>
      </c>
      <c r="H21" s="354"/>
      <c r="I21"/>
      <c r="J21" s="441"/>
      <c r="K21" s="44"/>
    </row>
    <row r="22" spans="1:14" s="345" customFormat="1" ht="31.5" customHeight="1" thickBot="1" x14ac:dyDescent="0.3">
      <c r="A22" s="340"/>
      <c r="B22" s="447"/>
      <c r="C22" s="391" t="s">
        <v>168</v>
      </c>
      <c r="D22" s="392">
        <f>SUM(D23:D24)</f>
        <v>3300000</v>
      </c>
      <c r="E22" s="392">
        <f>SUM(E23:E24)</f>
        <v>2000000</v>
      </c>
      <c r="F22" s="392">
        <f>SUM(F23:F24)</f>
        <v>5300000</v>
      </c>
      <c r="G22" s="392">
        <f>SUM(G23:G24)</f>
        <v>20564000</v>
      </c>
      <c r="H22" s="335">
        <f>PRODUCT(F22,1/F54,100)</f>
        <v>5.0464327994823162</v>
      </c>
      <c r="I22" s="343"/>
      <c r="J22" s="441"/>
      <c r="K22" s="344"/>
    </row>
    <row r="23" spans="1:14" ht="25.5" x14ac:dyDescent="0.25">
      <c r="A23" s="479" t="s">
        <v>87</v>
      </c>
      <c r="B23" s="355" t="s">
        <v>87</v>
      </c>
      <c r="C23" s="489" t="s">
        <v>267</v>
      </c>
      <c r="D23" s="490">
        <v>3000000</v>
      </c>
      <c r="E23" s="490">
        <v>2000000</v>
      </c>
      <c r="F23" s="490">
        <f t="shared" ref="F23:F34" si="3">D23+E23</f>
        <v>5000000</v>
      </c>
      <c r="G23" s="491">
        <f>$C$57*F23</f>
        <v>19400000</v>
      </c>
      <c r="H23" s="363"/>
      <c r="J23" s="441"/>
      <c r="K23" s="44"/>
    </row>
    <row r="24" spans="1:14" ht="26.25" thickBot="1" x14ac:dyDescent="0.3">
      <c r="A24" s="40" t="s">
        <v>88</v>
      </c>
      <c r="B24" s="364" t="s">
        <v>88</v>
      </c>
      <c r="C24" s="492" t="s">
        <v>141</v>
      </c>
      <c r="D24" s="493">
        <v>300000</v>
      </c>
      <c r="E24" s="493">
        <v>0</v>
      </c>
      <c r="F24" s="493">
        <f t="shared" si="3"/>
        <v>300000</v>
      </c>
      <c r="G24" s="494">
        <f>$C$57*F24</f>
        <v>1164000</v>
      </c>
      <c r="H24" s="354"/>
      <c r="J24" s="441"/>
      <c r="K24" s="44"/>
    </row>
    <row r="25" spans="1:14" s="339" customFormat="1" ht="30.75" customHeight="1" x14ac:dyDescent="0.25">
      <c r="A25" s="336"/>
      <c r="B25" s="341"/>
      <c r="C25" s="391" t="s">
        <v>9</v>
      </c>
      <c r="D25" s="392">
        <f>SUM(D26:D34)</f>
        <v>4450000</v>
      </c>
      <c r="E25" s="392">
        <f>SUM(E26:E34)</f>
        <v>1650000</v>
      </c>
      <c r="F25" s="392">
        <f>SUM(F26:F34)</f>
        <v>6100000</v>
      </c>
      <c r="G25" s="392">
        <f>SUM(G26:G34)</f>
        <v>23668000</v>
      </c>
      <c r="H25" s="335">
        <f>PRODUCT(F25,1/F54,100)</f>
        <v>5.8081585050645517</v>
      </c>
      <c r="I25" s="337"/>
      <c r="J25" s="441"/>
      <c r="K25" s="338"/>
      <c r="N25" s="393"/>
    </row>
    <row r="26" spans="1:14" ht="38.25" x14ac:dyDescent="0.25">
      <c r="A26" s="475" t="s">
        <v>90</v>
      </c>
      <c r="B26" s="453" t="s">
        <v>90</v>
      </c>
      <c r="C26" s="451" t="s">
        <v>257</v>
      </c>
      <c r="D26" s="461">
        <v>300000</v>
      </c>
      <c r="E26" s="459">
        <v>0</v>
      </c>
      <c r="F26" s="460">
        <f t="shared" si="3"/>
        <v>300000</v>
      </c>
      <c r="G26" s="372">
        <f t="shared" ref="G26:G34" si="4">$C$57*F26</f>
        <v>1164000</v>
      </c>
      <c r="H26" s="354"/>
      <c r="J26" s="441"/>
      <c r="K26" s="44"/>
    </row>
    <row r="27" spans="1:14" ht="38.25" x14ac:dyDescent="0.25">
      <c r="A27" s="39" t="s">
        <v>91</v>
      </c>
      <c r="B27" s="454" t="s">
        <v>91</v>
      </c>
      <c r="C27" s="451" t="s">
        <v>258</v>
      </c>
      <c r="D27" s="459">
        <v>700000</v>
      </c>
      <c r="E27" s="459">
        <v>300000</v>
      </c>
      <c r="F27" s="460">
        <f t="shared" si="3"/>
        <v>1000000</v>
      </c>
      <c r="G27" s="372">
        <f t="shared" si="4"/>
        <v>3880000</v>
      </c>
      <c r="H27" s="354"/>
      <c r="J27" s="441"/>
      <c r="K27" s="44"/>
    </row>
    <row r="28" spans="1:14" x14ac:dyDescent="0.25">
      <c r="A28" s="475" t="s">
        <v>89</v>
      </c>
      <c r="B28" s="455" t="s">
        <v>89</v>
      </c>
      <c r="C28" s="451" t="s">
        <v>148</v>
      </c>
      <c r="D28" s="459">
        <v>600000</v>
      </c>
      <c r="E28" s="495">
        <v>0</v>
      </c>
      <c r="F28" s="460">
        <f t="shared" si="3"/>
        <v>600000</v>
      </c>
      <c r="G28" s="372">
        <f t="shared" si="4"/>
        <v>2328000</v>
      </c>
      <c r="H28" s="354"/>
      <c r="J28" s="441"/>
      <c r="K28" s="44"/>
    </row>
    <row r="29" spans="1:14" x14ac:dyDescent="0.25">
      <c r="A29" s="475"/>
      <c r="B29" s="455" t="s">
        <v>96</v>
      </c>
      <c r="C29" s="451" t="s">
        <v>226</v>
      </c>
      <c r="D29" s="461">
        <v>500000</v>
      </c>
      <c r="E29" s="461">
        <v>0</v>
      </c>
      <c r="F29" s="460">
        <f t="shared" si="3"/>
        <v>500000</v>
      </c>
      <c r="G29" s="372">
        <f t="shared" si="4"/>
        <v>1940000</v>
      </c>
      <c r="H29" s="354"/>
      <c r="J29" s="441"/>
      <c r="K29" s="44"/>
    </row>
    <row r="30" spans="1:14" ht="25.5" x14ac:dyDescent="0.25">
      <c r="A30" s="40" t="s">
        <v>96</v>
      </c>
      <c r="B30" s="456" t="s">
        <v>97</v>
      </c>
      <c r="C30" s="451" t="s">
        <v>149</v>
      </c>
      <c r="D30" s="461">
        <v>100000</v>
      </c>
      <c r="E30" s="461">
        <v>50000</v>
      </c>
      <c r="F30" s="460">
        <f t="shared" si="3"/>
        <v>150000</v>
      </c>
      <c r="G30" s="372">
        <f t="shared" si="4"/>
        <v>582000</v>
      </c>
      <c r="H30" s="354"/>
      <c r="J30" s="441"/>
      <c r="K30" s="44"/>
    </row>
    <row r="31" spans="1:14" ht="25.5" x14ac:dyDescent="0.25">
      <c r="A31" s="41" t="s">
        <v>97</v>
      </c>
      <c r="B31" s="457" t="s">
        <v>163</v>
      </c>
      <c r="C31" s="451" t="s">
        <v>150</v>
      </c>
      <c r="D31" s="461">
        <v>150000</v>
      </c>
      <c r="E31" s="461">
        <v>0</v>
      </c>
      <c r="F31" s="460">
        <f t="shared" si="3"/>
        <v>150000</v>
      </c>
      <c r="G31" s="372">
        <f t="shared" si="4"/>
        <v>582000</v>
      </c>
      <c r="H31" s="354"/>
      <c r="J31" s="441"/>
      <c r="K31" s="44"/>
    </row>
    <row r="32" spans="1:14" ht="25.5" x14ac:dyDescent="0.25">
      <c r="A32" s="41"/>
      <c r="B32" s="458" t="s">
        <v>251</v>
      </c>
      <c r="C32" s="449" t="s">
        <v>254</v>
      </c>
      <c r="D32" s="459">
        <v>500000</v>
      </c>
      <c r="E32" s="459">
        <v>800000</v>
      </c>
      <c r="F32" s="460">
        <f t="shared" si="3"/>
        <v>1300000</v>
      </c>
      <c r="G32" s="460">
        <f t="shared" si="4"/>
        <v>5044000</v>
      </c>
      <c r="H32" s="354"/>
      <c r="J32" s="441"/>
      <c r="K32" s="44"/>
    </row>
    <row r="33" spans="1:11" ht="25.5" x14ac:dyDescent="0.25">
      <c r="A33" s="41"/>
      <c r="B33" s="458" t="s">
        <v>252</v>
      </c>
      <c r="C33" s="449" t="s">
        <v>256</v>
      </c>
      <c r="D33" s="459">
        <v>250000</v>
      </c>
      <c r="E33" s="459">
        <v>500000</v>
      </c>
      <c r="F33" s="460">
        <f>D33+E33</f>
        <v>750000</v>
      </c>
      <c r="G33" s="460">
        <f t="shared" si="4"/>
        <v>2910000</v>
      </c>
      <c r="H33" s="354"/>
      <c r="J33" s="441"/>
      <c r="K33" s="44"/>
    </row>
    <row r="34" spans="1:11" ht="15.75" thickBot="1" x14ac:dyDescent="0.3">
      <c r="A34" s="41"/>
      <c r="B34" s="457"/>
      <c r="C34" s="451" t="s">
        <v>249</v>
      </c>
      <c r="D34" s="461">
        <v>1350000</v>
      </c>
      <c r="E34" s="461">
        <v>0</v>
      </c>
      <c r="F34" s="460">
        <f t="shared" si="3"/>
        <v>1350000</v>
      </c>
      <c r="G34" s="460">
        <f t="shared" si="4"/>
        <v>5238000</v>
      </c>
      <c r="H34" s="354"/>
      <c r="J34" s="441"/>
      <c r="K34" s="44"/>
    </row>
    <row r="35" spans="1:11" s="339" customFormat="1" ht="24.75" customHeight="1" thickBot="1" x14ac:dyDescent="0.3">
      <c r="A35" s="336"/>
      <c r="B35" s="396"/>
      <c r="C35" s="391" t="s">
        <v>264</v>
      </c>
      <c r="D35" s="392">
        <f>SUM(D36,D38)</f>
        <v>4660000</v>
      </c>
      <c r="E35" s="392">
        <f>SUM(E36,E38)</f>
        <v>800000</v>
      </c>
      <c r="F35" s="392">
        <f>SUM(F36,F38)</f>
        <v>5460000</v>
      </c>
      <c r="G35" s="392">
        <f>SUM(G36,G38)</f>
        <v>21184800</v>
      </c>
      <c r="H35" s="335">
        <f>PRODUCT(F35,1/F54,100)</f>
        <v>5.1987779405987631</v>
      </c>
      <c r="I35" s="337"/>
      <c r="J35" s="441"/>
      <c r="K35" s="338"/>
    </row>
    <row r="36" spans="1:11" s="339" customFormat="1" ht="24.75" customHeight="1" x14ac:dyDescent="0.25">
      <c r="A36" s="336"/>
      <c r="B36" s="483"/>
      <c r="C36" s="484" t="s">
        <v>265</v>
      </c>
      <c r="D36" s="487">
        <f>SUM(D37:D37)</f>
        <v>1600000</v>
      </c>
      <c r="E36" s="487">
        <f>SUM(E37:E37)</f>
        <v>0</v>
      </c>
      <c r="F36" s="487">
        <f>SUM(F37:F37)</f>
        <v>1600000</v>
      </c>
      <c r="G36" s="487">
        <f>SUM(G37:G37)</f>
        <v>6208000</v>
      </c>
      <c r="H36" s="488">
        <f>PRODUCT(F36,1/F54,100)</f>
        <v>1.5234514111644728</v>
      </c>
      <c r="I36" s="337"/>
      <c r="J36" s="441"/>
      <c r="K36" s="338"/>
    </row>
    <row r="37" spans="1:11" ht="40.5" customHeight="1" thickBot="1" x14ac:dyDescent="0.3">
      <c r="A37" s="55"/>
      <c r="B37" s="462" t="s">
        <v>102</v>
      </c>
      <c r="C37" s="449" t="s">
        <v>259</v>
      </c>
      <c r="D37" s="459">
        <v>1600000</v>
      </c>
      <c r="E37" s="461">
        <v>0</v>
      </c>
      <c r="F37" s="460">
        <f t="shared" ref="F37:F45" si="5">D37+E37</f>
        <v>1600000</v>
      </c>
      <c r="G37" s="460">
        <f>$C$57*F37</f>
        <v>6208000</v>
      </c>
      <c r="H37" s="354"/>
      <c r="I37" s="9"/>
      <c r="J37" s="441"/>
      <c r="K37" s="44"/>
    </row>
    <row r="38" spans="1:11" s="339" customFormat="1" ht="24" customHeight="1" x14ac:dyDescent="0.25">
      <c r="A38" s="336"/>
      <c r="B38" s="485"/>
      <c r="C38" s="486" t="s">
        <v>266</v>
      </c>
      <c r="D38" s="487">
        <f>SUM(D39:D45)</f>
        <v>3060000</v>
      </c>
      <c r="E38" s="487">
        <f>SUM(E39:E45)</f>
        <v>800000</v>
      </c>
      <c r="F38" s="487">
        <f>SUM(F39:F45)</f>
        <v>3860000</v>
      </c>
      <c r="G38" s="487">
        <f>SUM(G39:G45)</f>
        <v>14976800</v>
      </c>
      <c r="H38" s="488">
        <f>PRODUCT(F38,1/F54,100)</f>
        <v>3.6753265294342903</v>
      </c>
      <c r="I38" s="337"/>
      <c r="J38" s="441"/>
      <c r="K38" s="338"/>
    </row>
    <row r="39" spans="1:11" ht="25.5" x14ac:dyDescent="0.25">
      <c r="A39" s="476" t="s">
        <v>103</v>
      </c>
      <c r="B39" s="463">
        <v>4.2</v>
      </c>
      <c r="C39" s="449" t="s">
        <v>153</v>
      </c>
      <c r="D39" s="459">
        <f>160000+450000</f>
        <v>610000</v>
      </c>
      <c r="E39" s="459">
        <v>100000</v>
      </c>
      <c r="F39" s="460">
        <f t="shared" si="5"/>
        <v>710000</v>
      </c>
      <c r="G39" s="460">
        <f t="shared" ref="G39:G45" si="6">$C$57*F39</f>
        <v>2754800</v>
      </c>
      <c r="H39" s="354"/>
      <c r="J39" s="441"/>
      <c r="K39" s="44"/>
    </row>
    <row r="40" spans="1:11" ht="25.5" x14ac:dyDescent="0.25">
      <c r="A40" s="475" t="s">
        <v>104</v>
      </c>
      <c r="B40" s="464">
        <v>4.3</v>
      </c>
      <c r="C40" s="449" t="s">
        <v>268</v>
      </c>
      <c r="D40" s="459">
        <v>400000</v>
      </c>
      <c r="E40" s="459">
        <v>200000</v>
      </c>
      <c r="F40" s="460">
        <f t="shared" si="5"/>
        <v>600000</v>
      </c>
      <c r="G40" s="460">
        <f t="shared" si="6"/>
        <v>2328000</v>
      </c>
      <c r="H40" s="354"/>
      <c r="J40" s="441"/>
      <c r="K40" s="44"/>
    </row>
    <row r="41" spans="1:11" x14ac:dyDescent="0.25">
      <c r="A41" s="42" t="s">
        <v>107</v>
      </c>
      <c r="B41" s="465">
        <v>4.4000000000000004</v>
      </c>
      <c r="C41" s="449" t="s">
        <v>236</v>
      </c>
      <c r="D41" s="459">
        <v>50000</v>
      </c>
      <c r="E41" s="459">
        <v>100000</v>
      </c>
      <c r="F41" s="460">
        <f t="shared" si="5"/>
        <v>150000</v>
      </c>
      <c r="G41" s="460">
        <f t="shared" si="6"/>
        <v>582000</v>
      </c>
      <c r="H41" s="409"/>
      <c r="I41" s="410" t="s">
        <v>70</v>
      </c>
      <c r="J41" s="441"/>
      <c r="K41" s="44"/>
    </row>
    <row r="42" spans="1:11" ht="25.5" x14ac:dyDescent="0.25">
      <c r="A42" s="42"/>
      <c r="B42" s="465">
        <v>4.5</v>
      </c>
      <c r="C42" s="449" t="s">
        <v>158</v>
      </c>
      <c r="D42" s="459">
        <v>200000</v>
      </c>
      <c r="E42" s="459">
        <v>0</v>
      </c>
      <c r="F42" s="460">
        <f t="shared" si="5"/>
        <v>200000</v>
      </c>
      <c r="G42" s="460">
        <f t="shared" si="6"/>
        <v>776000</v>
      </c>
      <c r="H42" s="354"/>
      <c r="J42" s="441"/>
      <c r="K42" s="44"/>
    </row>
    <row r="43" spans="1:11" x14ac:dyDescent="0.25">
      <c r="A43" s="42"/>
      <c r="B43" s="465">
        <v>4.5999999999999996</v>
      </c>
      <c r="C43" s="449" t="s">
        <v>160</v>
      </c>
      <c r="D43" s="459">
        <v>200000</v>
      </c>
      <c r="E43" s="459">
        <v>200000</v>
      </c>
      <c r="F43" s="460">
        <f t="shared" si="5"/>
        <v>400000</v>
      </c>
      <c r="G43" s="460">
        <f t="shared" si="6"/>
        <v>1552000</v>
      </c>
      <c r="H43" s="354"/>
      <c r="J43" s="441"/>
      <c r="K43" s="44"/>
    </row>
    <row r="44" spans="1:11" ht="25.5" x14ac:dyDescent="0.25">
      <c r="A44" s="42"/>
      <c r="B44" s="465">
        <v>4.7</v>
      </c>
      <c r="C44" s="449" t="s">
        <v>263</v>
      </c>
      <c r="D44" s="459">
        <v>100000</v>
      </c>
      <c r="E44" s="459">
        <v>0</v>
      </c>
      <c r="F44" s="460">
        <f t="shared" si="5"/>
        <v>100000</v>
      </c>
      <c r="G44" s="460">
        <f t="shared" si="6"/>
        <v>388000</v>
      </c>
      <c r="H44" s="354"/>
      <c r="J44" s="441"/>
      <c r="K44" s="44"/>
    </row>
    <row r="45" spans="1:11" ht="15.75" thickBot="1" x14ac:dyDescent="0.3">
      <c r="A45" s="42"/>
      <c r="B45" s="465"/>
      <c r="C45" s="449" t="s">
        <v>260</v>
      </c>
      <c r="D45" s="459">
        <f>1500000</f>
        <v>1500000</v>
      </c>
      <c r="E45" s="459">
        <v>200000</v>
      </c>
      <c r="F45" s="460">
        <f t="shared" si="5"/>
        <v>1700000</v>
      </c>
      <c r="G45" s="460">
        <f t="shared" si="6"/>
        <v>6596000</v>
      </c>
      <c r="H45" s="354"/>
      <c r="J45" s="441"/>
      <c r="K45" s="44"/>
    </row>
    <row r="46" spans="1:11" s="339" customFormat="1" ht="16.5" thickBot="1" x14ac:dyDescent="0.3">
      <c r="A46" s="336"/>
      <c r="B46" s="444"/>
      <c r="C46" s="391" t="s">
        <v>164</v>
      </c>
      <c r="D46" s="392">
        <f>SUM(D47:D53)</f>
        <v>192341</v>
      </c>
      <c r="E46" s="392">
        <f>SUM(E47:E53)</f>
        <v>6412341</v>
      </c>
      <c r="F46" s="392">
        <f>SUM(F47:F53)</f>
        <v>6604682</v>
      </c>
      <c r="G46" s="392">
        <f>SUM(G47:G53)</f>
        <v>25626166.159999996</v>
      </c>
      <c r="H46" s="335">
        <f>PRODUCT(F46,1/F54,100)</f>
        <v>6.2886950707453702</v>
      </c>
      <c r="I46" s="337"/>
      <c r="J46" s="441"/>
      <c r="K46" s="338"/>
    </row>
    <row r="47" spans="1:11" ht="16.5" customHeight="1" x14ac:dyDescent="0.25">
      <c r="A47" s="40"/>
      <c r="B47" s="397"/>
      <c r="C47" s="469" t="s">
        <v>253</v>
      </c>
      <c r="D47" s="470">
        <f>251341-200000</f>
        <v>51341</v>
      </c>
      <c r="E47" s="470">
        <v>0</v>
      </c>
      <c r="F47" s="460">
        <f>D47+E47</f>
        <v>51341</v>
      </c>
      <c r="G47" s="466">
        <f t="shared" ref="G47:G53" si="7">$C$57*F47</f>
        <v>199203.08</v>
      </c>
      <c r="H47" s="354"/>
      <c r="J47" s="441"/>
      <c r="K47" s="44"/>
    </row>
    <row r="48" spans="1:11" x14ac:dyDescent="0.25">
      <c r="A48" s="40"/>
      <c r="B48" s="395"/>
      <c r="C48" s="329" t="s">
        <v>220</v>
      </c>
      <c r="D48" s="459">
        <v>0</v>
      </c>
      <c r="E48" s="459">
        <v>300000</v>
      </c>
      <c r="F48" s="460">
        <f t="shared" ref="F48:F53" si="8">D48+E48</f>
        <v>300000</v>
      </c>
      <c r="G48" s="466">
        <f t="shared" si="7"/>
        <v>1164000</v>
      </c>
      <c r="H48" s="354"/>
      <c r="J48" s="441"/>
      <c r="K48" s="44"/>
    </row>
    <row r="49" spans="1:14" x14ac:dyDescent="0.25">
      <c r="A49" s="40"/>
      <c r="B49" s="395"/>
      <c r="C49" s="329" t="s">
        <v>221</v>
      </c>
      <c r="D49" s="459">
        <v>0</v>
      </c>
      <c r="E49" s="459">
        <v>3200000</v>
      </c>
      <c r="F49" s="460">
        <f t="shared" si="8"/>
        <v>3200000</v>
      </c>
      <c r="G49" s="466">
        <f t="shared" si="7"/>
        <v>12416000</v>
      </c>
      <c r="H49" s="354"/>
      <c r="J49" s="441"/>
      <c r="K49" s="44"/>
    </row>
    <row r="50" spans="1:14" x14ac:dyDescent="0.25">
      <c r="A50" s="40"/>
      <c r="B50" s="395"/>
      <c r="C50" s="329" t="s">
        <v>222</v>
      </c>
      <c r="D50" s="459">
        <v>0</v>
      </c>
      <c r="E50" s="459">
        <v>2000000</v>
      </c>
      <c r="F50" s="460">
        <f t="shared" si="8"/>
        <v>2000000</v>
      </c>
      <c r="G50" s="466">
        <f t="shared" si="7"/>
        <v>7760000</v>
      </c>
      <c r="H50" s="354"/>
      <c r="J50" s="441"/>
      <c r="K50" s="44"/>
    </row>
    <row r="51" spans="1:14" x14ac:dyDescent="0.25">
      <c r="A51" s="40"/>
      <c r="B51" s="395"/>
      <c r="C51" s="329" t="s">
        <v>261</v>
      </c>
      <c r="D51" s="459">
        <v>0</v>
      </c>
      <c r="E51" s="459">
        <v>712341</v>
      </c>
      <c r="F51" s="460">
        <f t="shared" si="8"/>
        <v>712341</v>
      </c>
      <c r="G51" s="466">
        <f t="shared" si="7"/>
        <v>2763883.08</v>
      </c>
      <c r="H51" s="354"/>
      <c r="J51" s="441"/>
      <c r="K51" s="44"/>
    </row>
    <row r="52" spans="1:14" x14ac:dyDescent="0.25">
      <c r="A52" s="40"/>
      <c r="B52" s="395"/>
      <c r="C52" s="471" t="s">
        <v>224</v>
      </c>
      <c r="D52" s="472">
        <v>0</v>
      </c>
      <c r="E52" s="472">
        <v>200000</v>
      </c>
      <c r="F52" s="460">
        <f t="shared" si="8"/>
        <v>200000</v>
      </c>
      <c r="G52" s="466">
        <f t="shared" si="7"/>
        <v>776000</v>
      </c>
      <c r="H52" s="354"/>
      <c r="J52" s="441"/>
      <c r="K52" s="44"/>
      <c r="N52" s="1"/>
    </row>
    <row r="53" spans="1:14" ht="15.75" thickBot="1" x14ac:dyDescent="0.3">
      <c r="A53" s="135"/>
      <c r="B53" s="398"/>
      <c r="C53" s="473" t="s">
        <v>177</v>
      </c>
      <c r="D53" s="474">
        <v>141000</v>
      </c>
      <c r="E53" s="474">
        <v>0</v>
      </c>
      <c r="F53" s="467">
        <f t="shared" si="8"/>
        <v>141000</v>
      </c>
      <c r="G53" s="468">
        <f t="shared" si="7"/>
        <v>547080</v>
      </c>
      <c r="H53" s="354"/>
      <c r="J53" s="441"/>
      <c r="K53" s="44"/>
    </row>
    <row r="54" spans="1:14" ht="30" customHeight="1" thickBot="1" x14ac:dyDescent="0.45">
      <c r="A54" s="37"/>
      <c r="B54" s="605" t="s">
        <v>100</v>
      </c>
      <c r="C54" s="606"/>
      <c r="D54" s="299">
        <f>D46+D35+D25+D22+D3</f>
        <v>52512341</v>
      </c>
      <c r="E54" s="299">
        <f>E46+E35+E25+E22+E3</f>
        <v>52512341</v>
      </c>
      <c r="F54" s="299">
        <f>D54+E54</f>
        <v>105024682</v>
      </c>
      <c r="G54" s="299">
        <f>$C$57*F54</f>
        <v>407495766.15999997</v>
      </c>
      <c r="H54" s="335">
        <f>PRODUCT(F54,1/F54,100)</f>
        <v>100</v>
      </c>
      <c r="J54" s="441"/>
      <c r="K54" s="44"/>
    </row>
    <row r="55" spans="1:14" s="496" customFormat="1" ht="15.75" thickBot="1" x14ac:dyDescent="0.3">
      <c r="B55" s="497" t="s">
        <v>181</v>
      </c>
      <c r="C55" s="498"/>
      <c r="D55" s="499">
        <f>52512341-D54</f>
        <v>0</v>
      </c>
      <c r="E55" s="500">
        <f>52512341-E54</f>
        <v>0</v>
      </c>
      <c r="F55" s="500">
        <f>D55+E55</f>
        <v>0</v>
      </c>
      <c r="G55" s="501"/>
      <c r="H55" s="502"/>
      <c r="J55" s="503"/>
      <c r="K55" s="504"/>
    </row>
    <row r="56" spans="1:14" s="496" customFormat="1" x14ac:dyDescent="0.25">
      <c r="B56" s="505" t="s">
        <v>182</v>
      </c>
      <c r="C56" s="497"/>
      <c r="D56" s="610" t="s">
        <v>262</v>
      </c>
      <c r="E56" s="610"/>
      <c r="F56" s="610"/>
      <c r="G56" s="610"/>
      <c r="H56" s="502"/>
      <c r="I56" s="504"/>
      <c r="J56" s="506"/>
      <c r="K56" s="504"/>
    </row>
    <row r="57" spans="1:14" s="496" customFormat="1" x14ac:dyDescent="0.25">
      <c r="B57" s="497" t="s">
        <v>180</v>
      </c>
      <c r="C57" s="505">
        <v>3.88</v>
      </c>
      <c r="D57" s="507"/>
      <c r="E57" s="507"/>
      <c r="F57" s="507"/>
      <c r="G57" s="507"/>
      <c r="H57" s="502"/>
      <c r="I57" s="504"/>
      <c r="J57" s="504"/>
      <c r="K57" s="504"/>
    </row>
    <row r="58" spans="1:14" x14ac:dyDescent="0.25">
      <c r="B58" s="388"/>
      <c r="C58" s="388"/>
      <c r="D58" s="388"/>
      <c r="E58" s="388"/>
      <c r="F58" s="388"/>
      <c r="G58" s="388"/>
      <c r="H58" s="354"/>
      <c r="I58" s="44"/>
      <c r="J58" s="411"/>
      <c r="K58" s="44"/>
    </row>
    <row r="59" spans="1:14" x14ac:dyDescent="0.25">
      <c r="B59" s="388"/>
      <c r="C59" s="388"/>
      <c r="D59" s="388"/>
      <c r="E59" s="388"/>
      <c r="F59" s="388"/>
      <c r="G59" s="388"/>
      <c r="H59" s="354"/>
      <c r="I59" s="44"/>
      <c r="J59" s="411"/>
      <c r="K59" s="44"/>
    </row>
    <row r="60" spans="1:14" x14ac:dyDescent="0.25">
      <c r="B60" s="388"/>
      <c r="C60" s="388"/>
      <c r="D60" s="388"/>
      <c r="E60" s="388"/>
      <c r="F60" s="388"/>
      <c r="G60" s="388"/>
      <c r="H60" s="354"/>
      <c r="I60" s="44"/>
      <c r="J60" s="411"/>
      <c r="K60" s="44"/>
    </row>
  </sheetData>
  <mergeCells count="5">
    <mergeCell ref="B1:F1"/>
    <mergeCell ref="B2:B3"/>
    <mergeCell ref="A17:A19"/>
    <mergeCell ref="B54:C54"/>
    <mergeCell ref="D56:G56"/>
  </mergeCells>
  <pageMargins left="0.70866141732283472" right="0.70866141732283472" top="0.35433070866141736" bottom="0.35433070866141736" header="0.31496062992125984" footer="0.31496062992125984"/>
  <pageSetup paperSize="8" scale="67" fitToHeight="100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opLeftCell="B25" workbookViewId="0">
      <selection activeCell="H50" sqref="H50"/>
    </sheetView>
  </sheetViews>
  <sheetFormatPr defaultRowHeight="15" x14ac:dyDescent="0.25"/>
  <cols>
    <col min="1" max="1" width="12" hidden="1" customWidth="1"/>
    <col min="2" max="2" width="5" style="52" customWidth="1"/>
    <col min="3" max="3" width="7.5703125" customWidth="1"/>
    <col min="4" max="4" width="84.5703125" customWidth="1"/>
    <col min="5" max="5" width="14.28515625" bestFit="1" customWidth="1"/>
    <col min="6" max="6" width="13.42578125" customWidth="1"/>
    <col min="7" max="7" width="14.7109375" customWidth="1"/>
    <col min="8" max="8" width="15.140625" customWidth="1"/>
    <col min="10" max="10" width="92.7109375" hidden="1" customWidth="1"/>
    <col min="15" max="15" width="15.85546875" bestFit="1" customWidth="1"/>
  </cols>
  <sheetData>
    <row r="1" spans="1:12" ht="67.5" customHeight="1" thickBot="1" x14ac:dyDescent="0.3">
      <c r="C1" s="607" t="s">
        <v>225</v>
      </c>
      <c r="D1" s="607"/>
      <c r="E1" s="607"/>
      <c r="F1" s="607"/>
      <c r="G1" s="607"/>
      <c r="H1" s="51"/>
      <c r="I1" s="51"/>
      <c r="J1" s="52"/>
      <c r="K1" s="52"/>
      <c r="L1" s="44"/>
    </row>
    <row r="2" spans="1:12" ht="30" customHeight="1" x14ac:dyDescent="0.25">
      <c r="A2" s="9" t="s">
        <v>85</v>
      </c>
      <c r="C2" s="601" t="s">
        <v>112</v>
      </c>
      <c r="D2" s="306" t="s">
        <v>117</v>
      </c>
      <c r="E2" s="307" t="s">
        <v>183</v>
      </c>
      <c r="F2" s="307" t="s">
        <v>184</v>
      </c>
      <c r="G2" s="308" t="s">
        <v>185</v>
      </c>
      <c r="H2" s="309" t="s">
        <v>186</v>
      </c>
      <c r="I2" s="52"/>
      <c r="J2" s="52"/>
      <c r="K2" s="52"/>
      <c r="L2" s="44"/>
    </row>
    <row r="3" spans="1:12" ht="30" customHeight="1" thickBot="1" x14ac:dyDescent="0.3">
      <c r="A3" s="9"/>
      <c r="C3" s="602"/>
      <c r="D3" s="322" t="s">
        <v>167</v>
      </c>
      <c r="E3" s="323">
        <f>SUM(E4:E19)</f>
        <v>29910000</v>
      </c>
      <c r="F3" s="323">
        <f>SUM(F4:F19)</f>
        <v>22150000</v>
      </c>
      <c r="G3" s="323">
        <f>SUM(G4:G19)</f>
        <v>52060000</v>
      </c>
      <c r="H3" s="323">
        <f>SUM(H4:H19)</f>
        <v>167008480</v>
      </c>
      <c r="I3" s="52"/>
      <c r="J3" s="52"/>
      <c r="K3" s="52"/>
      <c r="L3" s="44"/>
    </row>
    <row r="4" spans="1:12" ht="24" customHeight="1" x14ac:dyDescent="0.25">
      <c r="A4" s="40" t="s">
        <v>72</v>
      </c>
      <c r="C4" s="320" t="s">
        <v>113</v>
      </c>
      <c r="D4" s="325" t="s">
        <v>194</v>
      </c>
      <c r="E4" s="292"/>
      <c r="F4" s="292"/>
      <c r="G4" s="292">
        <f t="shared" ref="G4:G14" si="0">E4+F4</f>
        <v>0</v>
      </c>
      <c r="H4" s="292">
        <f t="shared" ref="H4:H19" si="1">$D$50*G4</f>
        <v>0</v>
      </c>
      <c r="I4" s="52"/>
      <c r="J4" s="53" t="s">
        <v>63</v>
      </c>
      <c r="K4" s="52"/>
      <c r="L4" s="44"/>
    </row>
    <row r="5" spans="1:12" ht="39.75" customHeight="1" x14ac:dyDescent="0.25">
      <c r="A5" s="40" t="s">
        <v>109</v>
      </c>
      <c r="C5" s="320" t="s">
        <v>109</v>
      </c>
      <c r="D5" s="326" t="s">
        <v>195</v>
      </c>
      <c r="E5" s="292"/>
      <c r="F5" s="292"/>
      <c r="G5" s="292">
        <f t="shared" si="0"/>
        <v>0</v>
      </c>
      <c r="H5" s="292">
        <f t="shared" si="1"/>
        <v>0</v>
      </c>
      <c r="I5" s="44"/>
      <c r="J5" s="14"/>
      <c r="K5" s="44"/>
      <c r="L5" s="44"/>
    </row>
    <row r="6" spans="1:12" x14ac:dyDescent="0.25">
      <c r="A6" s="40"/>
      <c r="C6" s="320" t="s">
        <v>83</v>
      </c>
      <c r="D6" s="326" t="s">
        <v>229</v>
      </c>
      <c r="E6" s="292"/>
      <c r="F6" s="292"/>
      <c r="G6" s="292">
        <f t="shared" si="0"/>
        <v>0</v>
      </c>
      <c r="H6" s="292">
        <f t="shared" si="1"/>
        <v>0</v>
      </c>
      <c r="I6" s="44"/>
      <c r="J6" s="14"/>
      <c r="K6" s="44"/>
      <c r="L6" s="44"/>
    </row>
    <row r="7" spans="1:12" ht="27.75" customHeight="1" x14ac:dyDescent="0.25">
      <c r="A7" s="40" t="s">
        <v>73</v>
      </c>
      <c r="C7" s="320" t="s">
        <v>73</v>
      </c>
      <c r="D7" s="302" t="s">
        <v>187</v>
      </c>
      <c r="E7" s="292">
        <f>FINAL!F6</f>
        <v>630000</v>
      </c>
      <c r="F7" s="292">
        <f>FINAL!G6</f>
        <v>50000</v>
      </c>
      <c r="G7" s="292">
        <f t="shared" si="0"/>
        <v>680000</v>
      </c>
      <c r="H7" s="292">
        <f t="shared" si="1"/>
        <v>2181440</v>
      </c>
      <c r="I7" s="44"/>
      <c r="K7" s="44"/>
      <c r="L7" s="44"/>
    </row>
    <row r="8" spans="1:12" ht="24.75" customHeight="1" x14ac:dyDescent="0.25">
      <c r="A8" s="40" t="s">
        <v>74</v>
      </c>
      <c r="C8" s="320" t="s">
        <v>74</v>
      </c>
      <c r="D8" s="302" t="s">
        <v>188</v>
      </c>
      <c r="E8" s="292">
        <f>FINAL!F7</f>
        <v>530000</v>
      </c>
      <c r="F8" s="292">
        <f>FINAL!G7</f>
        <v>50000</v>
      </c>
      <c r="G8" s="292">
        <f t="shared" si="0"/>
        <v>580000</v>
      </c>
      <c r="H8" s="292">
        <f t="shared" si="1"/>
        <v>1860640</v>
      </c>
      <c r="I8" s="44"/>
      <c r="K8" s="44"/>
      <c r="L8" s="44"/>
    </row>
    <row r="9" spans="1:12" ht="25.5" x14ac:dyDescent="0.25">
      <c r="A9" s="40" t="s">
        <v>75</v>
      </c>
      <c r="C9" s="320" t="s">
        <v>75</v>
      </c>
      <c r="D9" s="302" t="s">
        <v>189</v>
      </c>
      <c r="E9" s="292">
        <f>FINAL!F8</f>
        <v>180000</v>
      </c>
      <c r="F9" s="292">
        <f>FINAL!G8</f>
        <v>0</v>
      </c>
      <c r="G9" s="292">
        <f t="shared" si="0"/>
        <v>180000</v>
      </c>
      <c r="H9" s="292">
        <f t="shared" si="1"/>
        <v>577440</v>
      </c>
      <c r="I9" s="44"/>
      <c r="K9" s="44"/>
      <c r="L9" s="44"/>
    </row>
    <row r="10" spans="1:12" x14ac:dyDescent="0.25">
      <c r="A10" s="40" t="s">
        <v>76</v>
      </c>
      <c r="C10" s="320" t="s">
        <v>76</v>
      </c>
      <c r="D10" s="302" t="s">
        <v>192</v>
      </c>
      <c r="E10" s="292">
        <f>FINAL!F9</f>
        <v>170000</v>
      </c>
      <c r="F10" s="292">
        <f>FINAL!G9</f>
        <v>7500000</v>
      </c>
      <c r="G10" s="292">
        <f t="shared" si="0"/>
        <v>7670000</v>
      </c>
      <c r="H10" s="292">
        <f t="shared" si="1"/>
        <v>24605360</v>
      </c>
      <c r="I10" s="44"/>
      <c r="K10" s="44"/>
      <c r="L10" s="44"/>
    </row>
    <row r="11" spans="1:12" x14ac:dyDescent="0.25">
      <c r="A11" s="40" t="s">
        <v>77</v>
      </c>
      <c r="C11" s="320" t="s">
        <v>118</v>
      </c>
      <c r="D11" s="302" t="s">
        <v>193</v>
      </c>
      <c r="E11" s="292">
        <f>FINAL!F10</f>
        <v>23500000</v>
      </c>
      <c r="F11" s="292">
        <f>FINAL!G10</f>
        <v>0</v>
      </c>
      <c r="G11" s="292">
        <f t="shared" si="0"/>
        <v>23500000</v>
      </c>
      <c r="H11" s="292">
        <f t="shared" si="1"/>
        <v>75388000</v>
      </c>
      <c r="I11" s="44"/>
      <c r="K11" s="44"/>
      <c r="L11" s="44"/>
    </row>
    <row r="12" spans="1:12" x14ac:dyDescent="0.25">
      <c r="A12" s="40" t="s">
        <v>78</v>
      </c>
      <c r="C12" s="320" t="s">
        <v>77</v>
      </c>
      <c r="D12" s="302" t="s">
        <v>190</v>
      </c>
      <c r="E12" s="292">
        <f>FINAL!F11</f>
        <v>1050000</v>
      </c>
      <c r="F12" s="292">
        <f>FINAL!G11</f>
        <v>0</v>
      </c>
      <c r="G12" s="292">
        <f t="shared" si="0"/>
        <v>1050000</v>
      </c>
      <c r="H12" s="292">
        <f t="shared" si="1"/>
        <v>3368400</v>
      </c>
      <c r="I12" s="44"/>
      <c r="K12" s="44"/>
      <c r="L12" s="44"/>
    </row>
    <row r="13" spans="1:12" ht="15.75" customHeight="1" x14ac:dyDescent="0.25">
      <c r="A13" s="40" t="s">
        <v>79</v>
      </c>
      <c r="C13" s="320" t="s">
        <v>114</v>
      </c>
      <c r="D13" s="302" t="s">
        <v>191</v>
      </c>
      <c r="E13" s="292">
        <f>FINAL!F12</f>
        <v>300000</v>
      </c>
      <c r="F13" s="292">
        <f>FINAL!G12</f>
        <v>10000000</v>
      </c>
      <c r="G13" s="292">
        <f t="shared" si="0"/>
        <v>10300000</v>
      </c>
      <c r="H13" s="292">
        <f t="shared" si="1"/>
        <v>33042400.000000004</v>
      </c>
      <c r="I13" s="44"/>
      <c r="K13" s="44"/>
      <c r="L13" s="44"/>
    </row>
    <row r="14" spans="1:12" x14ac:dyDescent="0.25">
      <c r="A14" s="40" t="s">
        <v>80</v>
      </c>
      <c r="C14" s="320" t="s">
        <v>78</v>
      </c>
      <c r="D14" s="302" t="s">
        <v>126</v>
      </c>
      <c r="E14" s="292">
        <f>FINAL!F13</f>
        <v>1050000</v>
      </c>
      <c r="F14" s="292">
        <f>FINAL!G13</f>
        <v>0</v>
      </c>
      <c r="G14" s="292">
        <f t="shared" si="0"/>
        <v>1050000</v>
      </c>
      <c r="H14" s="292">
        <f t="shared" si="1"/>
        <v>3368400</v>
      </c>
      <c r="I14" s="44"/>
      <c r="K14" s="44"/>
      <c r="L14" s="44"/>
    </row>
    <row r="15" spans="1:12" x14ac:dyDescent="0.25">
      <c r="A15" s="285" t="s">
        <v>81</v>
      </c>
      <c r="B15" s="56"/>
      <c r="C15" s="331" t="s">
        <v>79</v>
      </c>
      <c r="D15" s="329" t="s">
        <v>196</v>
      </c>
      <c r="E15" s="292">
        <v>0</v>
      </c>
      <c r="F15" s="292">
        <v>1000000</v>
      </c>
      <c r="G15" s="292">
        <f>E15+F15</f>
        <v>1000000</v>
      </c>
      <c r="H15" s="292">
        <f t="shared" si="1"/>
        <v>3208000</v>
      </c>
      <c r="I15" s="46"/>
      <c r="J15" t="s">
        <v>110</v>
      </c>
      <c r="K15" s="44"/>
      <c r="L15" s="44"/>
    </row>
    <row r="16" spans="1:12" x14ac:dyDescent="0.25">
      <c r="A16" s="40" t="s">
        <v>82</v>
      </c>
      <c r="C16" s="321" t="s">
        <v>80</v>
      </c>
      <c r="D16" s="302" t="s">
        <v>128</v>
      </c>
      <c r="E16" s="292">
        <f>FINAL!F19</f>
        <v>1000000</v>
      </c>
      <c r="F16" s="292">
        <f>FINAL!G19</f>
        <v>0</v>
      </c>
      <c r="G16" s="292">
        <f>E16+F16</f>
        <v>1000000</v>
      </c>
      <c r="H16" s="292">
        <f t="shared" si="1"/>
        <v>3208000</v>
      </c>
      <c r="I16" s="44"/>
      <c r="J16" t="s">
        <v>101</v>
      </c>
      <c r="K16" s="44"/>
      <c r="L16" s="44"/>
    </row>
    <row r="17" spans="1:15" ht="16.5" customHeight="1" x14ac:dyDescent="0.25">
      <c r="A17" s="284" t="s">
        <v>92</v>
      </c>
      <c r="B17" s="57"/>
      <c r="C17" s="321" t="s">
        <v>115</v>
      </c>
      <c r="D17" s="302" t="s">
        <v>178</v>
      </c>
      <c r="E17" s="292">
        <v>500000</v>
      </c>
      <c r="F17" s="292">
        <v>1500000</v>
      </c>
      <c r="G17" s="292">
        <f>E17+F17</f>
        <v>2000000</v>
      </c>
      <c r="H17" s="292">
        <f t="shared" si="1"/>
        <v>6416000</v>
      </c>
      <c r="I17" s="44"/>
      <c r="K17" s="44"/>
      <c r="L17" s="44"/>
    </row>
    <row r="18" spans="1:15" s="3" customFormat="1" ht="28.5" customHeight="1" x14ac:dyDescent="0.25">
      <c r="A18" s="286" t="s">
        <v>84</v>
      </c>
      <c r="B18" s="56"/>
      <c r="C18" s="321" t="s">
        <v>81</v>
      </c>
      <c r="D18" s="302" t="s">
        <v>227</v>
      </c>
      <c r="E18" s="292">
        <f>FINAL!F27</f>
        <v>0</v>
      </c>
      <c r="F18" s="292">
        <v>750000</v>
      </c>
      <c r="G18" s="292">
        <f>E18+F18</f>
        <v>750000</v>
      </c>
      <c r="H18" s="292">
        <f t="shared" si="1"/>
        <v>2406000</v>
      </c>
      <c r="I18" s="48"/>
      <c r="K18" s="44"/>
      <c r="L18" s="44"/>
    </row>
    <row r="19" spans="1:15" s="3" customFormat="1" ht="24.75" customHeight="1" thickBot="1" x14ac:dyDescent="0.3">
      <c r="A19" s="529" t="s">
        <v>86</v>
      </c>
      <c r="B19" s="58"/>
      <c r="C19" s="321" t="s">
        <v>82</v>
      </c>
      <c r="D19" s="303" t="s">
        <v>139</v>
      </c>
      <c r="E19" s="292">
        <f>FINAL!F30</f>
        <v>1000000</v>
      </c>
      <c r="F19" s="292">
        <v>1300000</v>
      </c>
      <c r="G19" s="292">
        <f>E19+F19</f>
        <v>2300000</v>
      </c>
      <c r="H19" s="292">
        <f t="shared" si="1"/>
        <v>7378400</v>
      </c>
      <c r="I19" s="49"/>
      <c r="K19" s="44"/>
      <c r="L19" s="44"/>
    </row>
    <row r="20" spans="1:15" s="3" customFormat="1" ht="28.5" hidden="1" customHeight="1" thickBot="1" x14ac:dyDescent="0.3">
      <c r="A20" s="529"/>
      <c r="B20" s="58"/>
      <c r="C20" s="302"/>
      <c r="D20" s="324" t="s">
        <v>204</v>
      </c>
      <c r="E20" s="324"/>
      <c r="F20" s="332">
        <f>FINAL!G31</f>
        <v>200000</v>
      </c>
      <c r="G20" s="324"/>
      <c r="H20" s="332">
        <f>D71*G20</f>
        <v>0</v>
      </c>
      <c r="I20" s="49"/>
      <c r="K20" s="44"/>
      <c r="L20" s="44"/>
    </row>
    <row r="21" spans="1:15" s="3" customFormat="1" ht="26.25" hidden="1" customHeight="1" thickBot="1" x14ac:dyDescent="0.3">
      <c r="A21" s="529"/>
      <c r="B21" s="58"/>
      <c r="C21" s="302"/>
      <c r="D21" s="294" t="s">
        <v>205</v>
      </c>
      <c r="E21" s="294"/>
      <c r="F21" s="305">
        <f>FINAL!G32</f>
        <v>100000</v>
      </c>
      <c r="G21" s="294"/>
      <c r="H21" s="305">
        <f>D72*G21</f>
        <v>0</v>
      </c>
      <c r="I21" s="44"/>
      <c r="J21" t="s">
        <v>66</v>
      </c>
      <c r="K21" s="44"/>
      <c r="L21" s="44"/>
    </row>
    <row r="22" spans="1:15" ht="31.5" customHeight="1" thickBot="1" x14ac:dyDescent="0.35">
      <c r="A22" s="55"/>
      <c r="C22" s="310"/>
      <c r="D22" s="315" t="s">
        <v>168</v>
      </c>
      <c r="E22" s="316">
        <f>SUM(E23:E24)</f>
        <v>3250000</v>
      </c>
      <c r="F22" s="316">
        <f>SUM(F23:F24)</f>
        <v>2000000</v>
      </c>
      <c r="G22" s="316">
        <f>SUM(G23:G24)</f>
        <v>5250000</v>
      </c>
      <c r="H22" s="316">
        <f>SUM(H23:H24)</f>
        <v>16842000</v>
      </c>
      <c r="I22" s="44"/>
      <c r="J22" s="9"/>
      <c r="K22" s="44"/>
      <c r="L22" s="44"/>
    </row>
    <row r="23" spans="1:15" ht="25.5" x14ac:dyDescent="0.25">
      <c r="A23" s="287" t="s">
        <v>87</v>
      </c>
      <c r="B23" s="58"/>
      <c r="C23" s="331" t="s">
        <v>87</v>
      </c>
      <c r="D23" s="319" t="s">
        <v>143</v>
      </c>
      <c r="E23" s="295">
        <v>3000000</v>
      </c>
      <c r="F23" s="295">
        <v>2000000</v>
      </c>
      <c r="G23" s="295">
        <f t="shared" ref="G23:G31" si="2">E23+F23</f>
        <v>5000000</v>
      </c>
      <c r="H23" s="293">
        <f>$D$50*G23</f>
        <v>16040000</v>
      </c>
      <c r="I23" s="289"/>
      <c r="K23" s="44"/>
      <c r="L23" s="44"/>
    </row>
    <row r="24" spans="1:15" ht="26.25" thickBot="1" x14ac:dyDescent="0.3">
      <c r="A24" s="40" t="s">
        <v>88</v>
      </c>
      <c r="C24" s="313" t="s">
        <v>88</v>
      </c>
      <c r="D24" s="303" t="s">
        <v>141</v>
      </c>
      <c r="E24" s="295">
        <v>250000</v>
      </c>
      <c r="F24" s="295">
        <v>0</v>
      </c>
      <c r="G24" s="295">
        <f t="shared" si="2"/>
        <v>250000</v>
      </c>
      <c r="H24" s="293">
        <f>$D$50*G24</f>
        <v>802000</v>
      </c>
      <c r="I24" s="44"/>
      <c r="K24" s="44"/>
      <c r="L24" s="44"/>
    </row>
    <row r="25" spans="1:15" ht="30.75" customHeight="1" thickBot="1" x14ac:dyDescent="0.35">
      <c r="A25" s="55"/>
      <c r="C25" s="310"/>
      <c r="D25" s="317" t="s">
        <v>9</v>
      </c>
      <c r="E25" s="318">
        <f>SUM(E26:E31)</f>
        <v>1900000</v>
      </c>
      <c r="F25" s="318">
        <f>SUM(F26:F31)</f>
        <v>50000</v>
      </c>
      <c r="G25" s="318">
        <f>SUM(G26:G31)</f>
        <v>1950000</v>
      </c>
      <c r="H25" s="318">
        <f>SUM(H26:H31)</f>
        <v>6255600</v>
      </c>
      <c r="I25" s="44"/>
      <c r="J25" s="9"/>
      <c r="K25" s="44"/>
      <c r="L25" s="44"/>
      <c r="O25" s="45"/>
    </row>
    <row r="26" spans="1:15" ht="25.5" x14ac:dyDescent="0.25">
      <c r="A26" s="285" t="s">
        <v>90</v>
      </c>
      <c r="B26" s="56"/>
      <c r="C26" s="331" t="s">
        <v>90</v>
      </c>
      <c r="D26" s="301" t="s">
        <v>144</v>
      </c>
      <c r="E26" s="290">
        <v>150000</v>
      </c>
      <c r="F26" s="298">
        <v>0</v>
      </c>
      <c r="G26" s="291">
        <f t="shared" si="2"/>
        <v>150000</v>
      </c>
      <c r="H26" s="291">
        <f>$D$50*G26</f>
        <v>481200</v>
      </c>
      <c r="I26" s="44"/>
      <c r="K26" s="44"/>
      <c r="L26" s="44"/>
    </row>
    <row r="27" spans="1:15" ht="25.5" x14ac:dyDescent="0.25">
      <c r="A27" s="39" t="s">
        <v>91</v>
      </c>
      <c r="B27" s="59"/>
      <c r="C27" s="311" t="s">
        <v>91</v>
      </c>
      <c r="D27" s="302" t="s">
        <v>147</v>
      </c>
      <c r="E27" s="296">
        <v>400000</v>
      </c>
      <c r="F27" s="296">
        <v>0</v>
      </c>
      <c r="G27" s="291">
        <f t="shared" si="2"/>
        <v>400000</v>
      </c>
      <c r="H27" s="291">
        <f t="shared" ref="H27:H33" si="3">$D$50*G27</f>
        <v>1283200</v>
      </c>
      <c r="I27" s="44"/>
      <c r="K27" s="44"/>
      <c r="L27" s="44"/>
    </row>
    <row r="28" spans="1:15" x14ac:dyDescent="0.25">
      <c r="A28" s="285" t="s">
        <v>89</v>
      </c>
      <c r="B28" s="56"/>
      <c r="C28" s="312" t="s">
        <v>89</v>
      </c>
      <c r="D28" s="302" t="s">
        <v>148</v>
      </c>
      <c r="E28" s="296">
        <v>600000</v>
      </c>
      <c r="F28" s="297">
        <v>0</v>
      </c>
      <c r="G28" s="291">
        <f t="shared" si="2"/>
        <v>600000</v>
      </c>
      <c r="H28" s="291">
        <f t="shared" si="3"/>
        <v>1924800</v>
      </c>
      <c r="I28" s="44"/>
      <c r="K28" s="44"/>
      <c r="L28" s="44"/>
    </row>
    <row r="29" spans="1:15" x14ac:dyDescent="0.25">
      <c r="A29" s="285"/>
      <c r="B29" s="56"/>
      <c r="C29" s="312" t="s">
        <v>96</v>
      </c>
      <c r="D29" s="302" t="s">
        <v>226</v>
      </c>
      <c r="E29" s="296">
        <v>500000</v>
      </c>
      <c r="F29" s="296"/>
      <c r="G29" s="291">
        <f t="shared" si="2"/>
        <v>500000</v>
      </c>
      <c r="H29" s="291">
        <f t="shared" si="3"/>
        <v>1604000</v>
      </c>
      <c r="I29" s="44"/>
      <c r="K29" s="44"/>
      <c r="L29" s="44"/>
    </row>
    <row r="30" spans="1:15" x14ac:dyDescent="0.25">
      <c r="A30" s="40" t="s">
        <v>96</v>
      </c>
      <c r="C30" s="313" t="s">
        <v>97</v>
      </c>
      <c r="D30" s="302" t="s">
        <v>149</v>
      </c>
      <c r="E30" s="296">
        <v>100000</v>
      </c>
      <c r="F30" s="296">
        <v>50000</v>
      </c>
      <c r="G30" s="291">
        <f t="shared" si="2"/>
        <v>150000</v>
      </c>
      <c r="H30" s="291">
        <f t="shared" si="3"/>
        <v>481200</v>
      </c>
      <c r="I30" s="44"/>
      <c r="K30" s="44"/>
      <c r="L30" s="44"/>
    </row>
    <row r="31" spans="1:15" ht="26.25" thickBot="1" x14ac:dyDescent="0.3">
      <c r="A31" s="41" t="s">
        <v>97</v>
      </c>
      <c r="B31" s="60"/>
      <c r="C31" s="314" t="s">
        <v>163</v>
      </c>
      <c r="D31" s="303" t="s">
        <v>150</v>
      </c>
      <c r="E31" s="296">
        <v>150000</v>
      </c>
      <c r="F31" s="296">
        <v>0</v>
      </c>
      <c r="G31" s="291">
        <f t="shared" si="2"/>
        <v>150000</v>
      </c>
      <c r="H31" s="291">
        <f t="shared" si="3"/>
        <v>481200</v>
      </c>
      <c r="I31" s="44"/>
      <c r="K31" s="44"/>
      <c r="L31" s="44"/>
    </row>
    <row r="32" spans="1:15" ht="24.75" customHeight="1" thickBot="1" x14ac:dyDescent="0.35">
      <c r="A32" s="55"/>
      <c r="C32" s="310"/>
      <c r="D32" s="317" t="s">
        <v>166</v>
      </c>
      <c r="E32" s="318">
        <f>E33</f>
        <v>1600000</v>
      </c>
      <c r="F32" s="318">
        <f>F33</f>
        <v>0</v>
      </c>
      <c r="G32" s="318">
        <f>G33</f>
        <v>1600000</v>
      </c>
      <c r="H32" s="318">
        <f>H33</f>
        <v>5132800</v>
      </c>
      <c r="I32" s="44"/>
      <c r="J32" s="9"/>
      <c r="K32" s="44"/>
      <c r="L32" s="44"/>
    </row>
    <row r="33" spans="1:12" ht="24.75" customHeight="1" thickBot="1" x14ac:dyDescent="0.3">
      <c r="A33" s="55"/>
      <c r="C33" s="331" t="s">
        <v>102</v>
      </c>
      <c r="D33" s="330" t="s">
        <v>216</v>
      </c>
      <c r="E33" s="327">
        <v>1600000</v>
      </c>
      <c r="F33" s="296">
        <v>0</v>
      </c>
      <c r="G33" s="291">
        <f>E33+F33</f>
        <v>1600000</v>
      </c>
      <c r="H33" s="291">
        <f t="shared" si="3"/>
        <v>5132800</v>
      </c>
      <c r="I33" s="44"/>
      <c r="J33" s="9"/>
      <c r="K33" s="44"/>
      <c r="L33" s="44"/>
    </row>
    <row r="34" spans="1:12" ht="24" customHeight="1" thickBot="1" x14ac:dyDescent="0.35">
      <c r="A34" s="55"/>
      <c r="C34" s="310"/>
      <c r="D34" s="315" t="s">
        <v>165</v>
      </c>
      <c r="E34" s="316">
        <f>SUM(E35:E39)</f>
        <v>651000</v>
      </c>
      <c r="F34" s="316">
        <f>SUM(F35:F39)</f>
        <v>200000</v>
      </c>
      <c r="G34" s="316">
        <f>SUM(G35:G39)</f>
        <v>851000</v>
      </c>
      <c r="H34" s="316">
        <f>SUM(H35:H39)</f>
        <v>2730008</v>
      </c>
      <c r="I34" s="44"/>
      <c r="J34" s="9"/>
      <c r="K34" s="44"/>
      <c r="L34" s="44"/>
    </row>
    <row r="35" spans="1:12" ht="25.5" x14ac:dyDescent="0.25">
      <c r="A35" s="288" t="s">
        <v>103</v>
      </c>
      <c r="B35" s="58"/>
      <c r="C35" s="320" t="s">
        <v>92</v>
      </c>
      <c r="D35" s="301" t="s">
        <v>153</v>
      </c>
      <c r="E35" s="296">
        <v>110000</v>
      </c>
      <c r="F35" s="296">
        <v>100000</v>
      </c>
      <c r="G35" s="291">
        <f>E35+F35</f>
        <v>210000</v>
      </c>
      <c r="H35" s="291">
        <f>$D$50*G35</f>
        <v>673680</v>
      </c>
      <c r="I35" s="44"/>
      <c r="K35" s="44"/>
      <c r="L35" s="44"/>
    </row>
    <row r="36" spans="1:12" ht="25.5" x14ac:dyDescent="0.25">
      <c r="A36" s="285" t="s">
        <v>104</v>
      </c>
      <c r="B36" s="56"/>
      <c r="C36" s="331" t="s">
        <v>103</v>
      </c>
      <c r="D36" s="302" t="s">
        <v>217</v>
      </c>
      <c r="E36" s="296">
        <v>0</v>
      </c>
      <c r="F36" s="296">
        <v>100000</v>
      </c>
      <c r="G36" s="291">
        <f>E36+F36</f>
        <v>100000</v>
      </c>
      <c r="H36" s="291">
        <f t="shared" ref="H36:H46" si="4">$D$50*G36</f>
        <v>320800</v>
      </c>
      <c r="I36" s="44"/>
      <c r="K36" s="44"/>
      <c r="L36" s="44"/>
    </row>
    <row r="37" spans="1:12" x14ac:dyDescent="0.25">
      <c r="A37" s="42" t="s">
        <v>107</v>
      </c>
      <c r="B37" s="61"/>
      <c r="C37" s="312" t="s">
        <v>104</v>
      </c>
      <c r="D37" s="302" t="s">
        <v>177</v>
      </c>
      <c r="E37" s="296">
        <v>141000</v>
      </c>
      <c r="F37" s="296">
        <v>0</v>
      </c>
      <c r="G37" s="291">
        <f>E37+F37</f>
        <v>141000</v>
      </c>
      <c r="H37" s="291">
        <f t="shared" si="4"/>
        <v>452328</v>
      </c>
      <c r="I37" s="44"/>
      <c r="J37" t="s">
        <v>70</v>
      </c>
      <c r="K37" s="44"/>
      <c r="L37" s="44"/>
    </row>
    <row r="38" spans="1:12" ht="25.5" x14ac:dyDescent="0.25">
      <c r="A38" s="42"/>
      <c r="B38" s="61"/>
      <c r="C38" s="312" t="s">
        <v>107</v>
      </c>
      <c r="D38" s="302" t="s">
        <v>158</v>
      </c>
      <c r="E38" s="296">
        <v>200000</v>
      </c>
      <c r="F38" s="296">
        <v>0</v>
      </c>
      <c r="G38" s="291">
        <f>E38+F38</f>
        <v>200000</v>
      </c>
      <c r="H38" s="291">
        <f t="shared" si="4"/>
        <v>641600</v>
      </c>
      <c r="I38" s="44"/>
      <c r="K38" s="44"/>
      <c r="L38" s="44"/>
    </row>
    <row r="39" spans="1:12" ht="15.75" thickBot="1" x14ac:dyDescent="0.3">
      <c r="A39" s="42"/>
      <c r="B39" s="61"/>
      <c r="C39" s="312" t="s">
        <v>159</v>
      </c>
      <c r="D39" s="303" t="s">
        <v>160</v>
      </c>
      <c r="E39" s="296">
        <v>200000</v>
      </c>
      <c r="F39" s="297">
        <v>0</v>
      </c>
      <c r="G39" s="291">
        <f>E39+F39</f>
        <v>200000</v>
      </c>
      <c r="H39" s="291">
        <f t="shared" si="4"/>
        <v>641600</v>
      </c>
      <c r="I39" s="44"/>
      <c r="K39" s="44"/>
      <c r="L39" s="44"/>
    </row>
    <row r="40" spans="1:12" ht="19.5" thickBot="1" x14ac:dyDescent="0.35">
      <c r="A40" s="55"/>
      <c r="C40" s="310"/>
      <c r="D40" s="317" t="s">
        <v>164</v>
      </c>
      <c r="E40" s="318">
        <f>SUM(E41:E46)</f>
        <v>201341</v>
      </c>
      <c r="F40" s="318">
        <f>SUM(F41:F46)</f>
        <v>6112341</v>
      </c>
      <c r="G40" s="318">
        <f>SUM(G41:G46)</f>
        <v>6313682</v>
      </c>
      <c r="H40" s="318">
        <f>SUM(H41:H46)</f>
        <v>20254291.855999999</v>
      </c>
      <c r="I40" s="44"/>
      <c r="J40" s="9"/>
      <c r="K40" s="44"/>
      <c r="L40" s="44"/>
    </row>
    <row r="41" spans="1:12" ht="17.25" customHeight="1" x14ac:dyDescent="0.25">
      <c r="A41" s="40"/>
      <c r="C41" s="603"/>
      <c r="D41" s="301" t="s">
        <v>219</v>
      </c>
      <c r="E41" s="328">
        <v>201341</v>
      </c>
      <c r="F41" s="328">
        <v>0</v>
      </c>
      <c r="G41" s="291">
        <f t="shared" ref="G41:G48" si="5">E41+F41</f>
        <v>201341</v>
      </c>
      <c r="H41" s="291">
        <f t="shared" si="4"/>
        <v>645901.92800000007</v>
      </c>
      <c r="I41" s="44"/>
      <c r="K41" s="44"/>
      <c r="L41" s="44"/>
    </row>
    <row r="42" spans="1:12" x14ac:dyDescent="0.25">
      <c r="A42" s="40"/>
      <c r="C42" s="603"/>
      <c r="D42" s="302" t="s">
        <v>220</v>
      </c>
      <c r="E42" s="296">
        <v>0</v>
      </c>
      <c r="F42" s="296">
        <v>300000</v>
      </c>
      <c r="G42" s="291">
        <f t="shared" si="5"/>
        <v>300000</v>
      </c>
      <c r="H42" s="291">
        <f t="shared" si="4"/>
        <v>962400</v>
      </c>
      <c r="I42" s="44"/>
      <c r="K42" s="44"/>
      <c r="L42" s="44"/>
    </row>
    <row r="43" spans="1:12" x14ac:dyDescent="0.25">
      <c r="A43" s="40"/>
      <c r="C43" s="603"/>
      <c r="D43" s="302" t="s">
        <v>221</v>
      </c>
      <c r="E43" s="296">
        <v>0</v>
      </c>
      <c r="F43" s="296">
        <v>3000000</v>
      </c>
      <c r="G43" s="291">
        <f t="shared" si="5"/>
        <v>3000000</v>
      </c>
      <c r="H43" s="291">
        <f t="shared" si="4"/>
        <v>9624000</v>
      </c>
      <c r="I43" s="44"/>
      <c r="K43" s="44"/>
      <c r="L43" s="44"/>
    </row>
    <row r="44" spans="1:12" x14ac:dyDescent="0.25">
      <c r="A44" s="40"/>
      <c r="C44" s="603"/>
      <c r="D44" s="302" t="s">
        <v>222</v>
      </c>
      <c r="E44" s="296">
        <v>0</v>
      </c>
      <c r="F44" s="296">
        <v>2000000</v>
      </c>
      <c r="G44" s="291">
        <f t="shared" si="5"/>
        <v>2000000</v>
      </c>
      <c r="H44" s="291">
        <f t="shared" si="4"/>
        <v>6416000</v>
      </c>
      <c r="I44" s="44"/>
      <c r="K44" s="44"/>
      <c r="L44" s="44"/>
    </row>
    <row r="45" spans="1:12" x14ac:dyDescent="0.25">
      <c r="A45" s="40"/>
      <c r="C45" s="603"/>
      <c r="D45" s="302" t="s">
        <v>223</v>
      </c>
      <c r="E45" s="296">
        <v>0</v>
      </c>
      <c r="F45" s="296">
        <v>612341</v>
      </c>
      <c r="G45" s="291">
        <f t="shared" si="5"/>
        <v>612341</v>
      </c>
      <c r="H45" s="291">
        <f t="shared" si="4"/>
        <v>1964389.9280000001</v>
      </c>
      <c r="I45" s="44"/>
      <c r="K45" s="44"/>
      <c r="L45" s="44"/>
    </row>
    <row r="46" spans="1:12" ht="15.75" thickBot="1" x14ac:dyDescent="0.3">
      <c r="A46" s="40"/>
      <c r="C46" s="604"/>
      <c r="D46" s="303" t="s">
        <v>224</v>
      </c>
      <c r="E46" s="304">
        <v>0</v>
      </c>
      <c r="F46" s="304">
        <v>200000</v>
      </c>
      <c r="G46" s="291">
        <f t="shared" si="5"/>
        <v>200000</v>
      </c>
      <c r="H46" s="291">
        <f t="shared" si="4"/>
        <v>641600</v>
      </c>
      <c r="I46" s="44"/>
      <c r="K46" s="44"/>
      <c r="L46" s="44"/>
    </row>
    <row r="47" spans="1:12" ht="30" customHeight="1" thickBot="1" x14ac:dyDescent="0.45">
      <c r="A47" s="37"/>
      <c r="B47" s="59"/>
      <c r="C47" s="605" t="s">
        <v>100</v>
      </c>
      <c r="D47" s="606"/>
      <c r="E47" s="299">
        <f>E40+E34+E32+E25+E22+E3</f>
        <v>37512341</v>
      </c>
      <c r="F47" s="299">
        <f>F40+F34+F32+F25+F22+F3</f>
        <v>30512341</v>
      </c>
      <c r="G47" s="299">
        <f t="shared" si="5"/>
        <v>68024682</v>
      </c>
      <c r="H47" s="300">
        <f>G47*D50</f>
        <v>218223179.85600001</v>
      </c>
      <c r="I47" s="181"/>
      <c r="K47" s="44"/>
      <c r="L47" s="44"/>
    </row>
    <row r="48" spans="1:12" ht="15.75" thickBot="1" x14ac:dyDescent="0.3">
      <c r="C48" s="267" t="s">
        <v>181</v>
      </c>
      <c r="D48" s="269"/>
      <c r="E48" s="226">
        <f>52512341-E47</f>
        <v>15000000</v>
      </c>
      <c r="F48" s="227">
        <f>52512341-F47</f>
        <v>22000000</v>
      </c>
      <c r="G48" s="227">
        <f t="shared" si="5"/>
        <v>37000000</v>
      </c>
      <c r="H48" s="100"/>
      <c r="I48" s="44"/>
      <c r="K48" s="44"/>
      <c r="L48" s="44"/>
    </row>
    <row r="49" spans="3:12" x14ac:dyDescent="0.25">
      <c r="C49" s="270" t="s">
        <v>182</v>
      </c>
      <c r="D49" s="267"/>
      <c r="E49" s="572" t="s">
        <v>231</v>
      </c>
      <c r="F49" s="572"/>
      <c r="G49" s="572"/>
      <c r="H49" s="572"/>
      <c r="I49" s="44"/>
      <c r="J49" s="44"/>
      <c r="K49" s="44"/>
      <c r="L49" s="44"/>
    </row>
    <row r="50" spans="3:12" x14ac:dyDescent="0.25">
      <c r="C50" s="267" t="s">
        <v>180</v>
      </c>
      <c r="D50" s="270">
        <v>3.2080000000000002</v>
      </c>
      <c r="E50" s="44"/>
      <c r="F50" s="44"/>
      <c r="G50" s="44"/>
      <c r="H50" s="333">
        <f>G48*D50</f>
        <v>118696000</v>
      </c>
      <c r="I50" s="44"/>
      <c r="J50" s="44"/>
      <c r="K50" s="44"/>
      <c r="L50" s="44"/>
    </row>
    <row r="51" spans="3:12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3:12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</row>
  </sheetData>
  <mergeCells count="6">
    <mergeCell ref="C41:C46"/>
    <mergeCell ref="C47:D47"/>
    <mergeCell ref="E49:H49"/>
    <mergeCell ref="A19:A21"/>
    <mergeCell ref="C1:G1"/>
    <mergeCell ref="C2:C3"/>
  </mergeCells>
  <pageMargins left="0.70866141732283472" right="0.70866141732283472" top="0.35433070866141736" bottom="0.35433070866141736" header="0.31496062992125984" footer="0.31496062992125984"/>
  <pageSetup paperSize="8" scale="71" fitToHeight="10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39946660</IDBDocs_x0020_Number>
    <TaxCatchAll xmlns="9c571b2f-e523-4ab2-ba2e-09e151a03ef4">
      <Value>17</Value>
      <Value>11</Value>
    </TaxCatchAll>
    <Phase xmlns="9c571b2f-e523-4ab2-ba2e-09e151a03ef4" xsi:nil="true"/>
    <SISCOR_x0020_Number xmlns="9c571b2f-e523-4ab2-ba2e-09e151a03ef4" xsi:nil="true"/>
    <Division_x0020_or_x0020_Unit xmlns="9c571b2f-e523-4ab2-ba2e-09e151a03ef4">INE/RND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Approval_x0020_Number xmlns="9c571b2f-e523-4ab2-ba2e-09e151a03ef4" xsi:nil="true"/>
    <Document_x0020_Author xmlns="9c571b2f-e523-4ab2-ba2e-09e151a03ef4">Velasco, M. Mercedes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BR-L1412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Proposal&lt;/USER_STAGE&gt;&lt;PD_OBJ_TYPE&gt;0&lt;/PD_OBJ_TYPE&gt;&lt;MAKERECORD&gt;N&lt;/MAKERECORD&gt;&lt;PD_FILEPT_NO&gt;PO-BR-L1412-Plan&lt;/PD_FILEPT_NO&gt;&lt;/Data&gt;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CU-TUR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FA2BE4DD5F433749B64AE7B63A1A1FA7" ma:contentTypeVersion="0" ma:contentTypeDescription="A content type to manage public (operations) IDB documents" ma:contentTypeScope="" ma:versionID="3d9389c39c4c88a5c7d42d61275eddec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D6BD17-D551-46AC-ACCB-BD281F6A5C81}"/>
</file>

<file path=customXml/itemProps2.xml><?xml version="1.0" encoding="utf-8"?>
<ds:datastoreItem xmlns:ds="http://schemas.openxmlformats.org/officeDocument/2006/customXml" ds:itemID="{9EF06EE9-B25D-470E-A08C-2C7A413C6D77}"/>
</file>

<file path=customXml/itemProps3.xml><?xml version="1.0" encoding="utf-8"?>
<ds:datastoreItem xmlns:ds="http://schemas.openxmlformats.org/officeDocument/2006/customXml" ds:itemID="{340EFF9B-EF3D-451D-9B62-E48B57367EF9}"/>
</file>

<file path=customXml/itemProps4.xml><?xml version="1.0" encoding="utf-8"?>
<ds:datastoreItem xmlns:ds="http://schemas.openxmlformats.org/officeDocument/2006/customXml" ds:itemID="{3400A8E5-AC29-4FF5-8C51-A29F4B75FFD0}"/>
</file>

<file path=customXml/itemProps5.xml><?xml version="1.0" encoding="utf-8"?>
<ds:datastoreItem xmlns:ds="http://schemas.openxmlformats.org/officeDocument/2006/customXml" ds:itemID="{30F97B29-486C-46D7-BF41-68E7942B47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BID</vt:lpstr>
      <vt:lpstr>PMS</vt:lpstr>
      <vt:lpstr>FINAL</vt:lpstr>
      <vt:lpstr>Atual</vt:lpstr>
      <vt:lpstr>PROPOSTA BID</vt:lpstr>
      <vt:lpstr>matriz de inversiones</vt:lpstr>
      <vt:lpstr>Simulação 2</vt:lpstr>
      <vt:lpstr>Atual!Print_Area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Inversiones del Programa - BR-L1412</dc:title>
  <dc:creator>Mercedes Velasco</dc:creator>
  <cp:lastModifiedBy>IADB</cp:lastModifiedBy>
  <cp:lastPrinted>2015-10-26T18:37:09Z</cp:lastPrinted>
  <dcterms:created xsi:type="dcterms:W3CDTF">2015-09-01T14:31:13Z</dcterms:created>
  <dcterms:modified xsi:type="dcterms:W3CDTF">2016-02-23T16:58:04Z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0x01010046CF21643EE8D14686A648AA6DAD089200FA2BE4DD5F433749B64AE7B63A1A1FA7</vt:lpwstr>
  </property>
  <property fmtid="{D5CDD505-2E9C-101B-9397-08002B2CF9AE}" pid="3" name="TaxKeyword">
    <vt:lpwstr/>
  </property>
  <property fmtid="{D5CDD505-2E9C-101B-9397-08002B2CF9AE}" pid="4" name="Function Operations IDB">
    <vt:lpwstr>11;#Project Preparation, Planning and Design|29ca0c72-1fc4-435f-a09c-28585cb5eac9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17;#Project Profile (PP)|ac5f0c28-f2f6-431c-8d05-62f851b6a822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17;#Project Profile (PP)|ac5f0c28-f2f6-431c-8d05-62f851b6a822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