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<sst xmlns="http://schemas.openxmlformats.org/spreadsheetml/2006/main" count="189" uniqueCount="189">
  <si>
    <t>URUGUAY – Programa de Seguridad ciudadana basada en evidencia</t>
  </si>
  <si>
    <t>Proyecto UR-L1112</t>
  </si>
  <si>
    <t>Actividades</t>
  </si>
  <si>
    <t>Costo BID en USD</t>
  </si>
  <si>
    <t>Costo Local en USD</t>
  </si>
  <si>
    <t>Total USD</t>
  </si>
  <si>
    <t>Total</t>
  </si>
  <si>
    <t>Componente 1 –  ESTRATEGIAS FOCALIZADAS DE PREVENCIÓN Y DISUASION POLICIAL DEL DELITO</t>
  </si>
  <si>
    <t>Subcomponente 1.1 - Fortalecimiento del PADO</t>
  </si>
  <si>
    <t>1.1.1</t>
  </si>
  <si>
    <t>1.1.1.1</t>
  </si>
  <si>
    <t>1.1.2</t>
  </si>
  <si>
    <t>Línea de Acción 1.1.2 - Capacitación del personal en técnicas de relacionamiento con la comunidad y en solución de problemas</t>
  </si>
  <si>
    <t>1.1.2.1</t>
  </si>
  <si>
    <t>1.1.2.2</t>
  </si>
  <si>
    <t>Asistencia técnica para PADO</t>
  </si>
  <si>
    <t>Subcomponente 1.2 - Seccionales Comunitarias</t>
  </si>
  <si>
    <t>1.2.1</t>
  </si>
  <si>
    <t>1.2.1.1</t>
  </si>
  <si>
    <t>1.2.1.2</t>
  </si>
  <si>
    <t>Asistencia técnica para 100 proyectos POP</t>
  </si>
  <si>
    <t>Adquisición de equipamiento informático</t>
  </si>
  <si>
    <t>1.2.2</t>
  </si>
  <si>
    <t>1.2.2.1</t>
  </si>
  <si>
    <t>Conferencia nacional anual (4 locales + participación de 3 personas en  4 internacionales)</t>
  </si>
  <si>
    <t>Fondo de apoyo a soluciones comunitarias (en asociación con universidades y otros)</t>
  </si>
  <si>
    <t>1.2.3</t>
  </si>
  <si>
    <t>1.2.3.1</t>
  </si>
  <si>
    <t>Subcomponente 1.3 - Análisis e Investigación Criminal</t>
  </si>
  <si>
    <t>1.3.1</t>
  </si>
  <si>
    <t>Línea de Acción 1.3.1 - Capacitaciones</t>
  </si>
  <si>
    <t>1.3.1.1</t>
  </si>
  <si>
    <t>Capacitación en análisis del crimen</t>
  </si>
  <si>
    <t>1.3.1.2</t>
  </si>
  <si>
    <t>Capacitación en POP para Analistas</t>
  </si>
  <si>
    <t>Capacitación en investigación de delitos comunes</t>
  </si>
  <si>
    <t>Capacitación en investigación de delitos complejos</t>
  </si>
  <si>
    <t>1.3.2</t>
  </si>
  <si>
    <t>1.3.3</t>
  </si>
  <si>
    <t>Adquisición de licencias de software</t>
  </si>
  <si>
    <t>1.3.3.2</t>
  </si>
  <si>
    <t>Adquisición de hardware</t>
  </si>
  <si>
    <t>1.3.3.3</t>
  </si>
  <si>
    <t>SUB TOTAL COMPONENTE 1</t>
  </si>
  <si>
    <t>Componente 2 –  PREVENCIÓN INTEGRAL DE LA VIOLENCIA EN BARRIOS RESIDENCIALES</t>
  </si>
  <si>
    <t>Subcomponente 2.1 - Apoyo al programa "Pelota al medio a la Esperanza" para la prevención temprana de conducta antisocial y deserción escolar en dos barrios</t>
  </si>
  <si>
    <t>2.1.1</t>
  </si>
  <si>
    <t>Línea de Acción 2.1.1 - Apoyo al programa "Pelota al medio a la Esperanza" para la prevención temprana de conducta antisocial y deserción escolar</t>
  </si>
  <si>
    <t>2.1.1.1.1</t>
  </si>
  <si>
    <t>Contratación de dos (02) profesores de educación fisica para escuelas de futbol social en barrios priorizados</t>
  </si>
  <si>
    <t>2.1.1.1.2</t>
  </si>
  <si>
    <r>
      <t xml:space="preserve">Contratación de dos (02) psicólogos para la implementación de currículum de intervención </t>
    </r>
    <r>
      <rPr>
        <i/>
        <sz val="9"/>
        <color indexed="8"/>
        <rFont val="Calibri"/>
        <family val="2"/>
      </rPr>
      <t>Becoming a man</t>
    </r>
  </si>
  <si>
    <t>2.1.1.1.3</t>
  </si>
  <si>
    <r>
      <t xml:space="preserve">Capacitación en </t>
    </r>
    <r>
      <rPr>
        <i/>
        <sz val="9"/>
        <rFont val="Calibri"/>
        <family val="2"/>
      </rPr>
      <t>Becoming a man</t>
    </r>
  </si>
  <si>
    <t>Actividades con beneficiarios</t>
  </si>
  <si>
    <r>
      <t xml:space="preserve">Subcomponente </t>
    </r>
    <r>
      <rPr>
        <b/>
        <sz val="9"/>
        <color indexed="8"/>
        <rFont val="Calibri"/>
        <family val="2"/>
      </rPr>
      <t>2.2  - Apoyo al programa de prevención comunitaria de la violencia de género</t>
    </r>
  </si>
  <si>
    <t>2.2.1</t>
  </si>
  <si>
    <t>Línea de Acción 2.2.1 - Implementación de iniciativa SASA!</t>
  </si>
  <si>
    <t>2.2.1.1</t>
  </si>
  <si>
    <t>Capacitación en SASA!</t>
  </si>
  <si>
    <t>2.2.1.2</t>
  </si>
  <si>
    <t>Contratación de cuatro (04) técnicos operadores SASA!</t>
  </si>
  <si>
    <r>
      <t xml:space="preserve">Subcomponente </t>
    </r>
    <r>
      <rPr>
        <b/>
        <sz val="9"/>
        <color indexed="8"/>
        <rFont val="Calibri"/>
        <family val="2"/>
      </rPr>
      <t>2.3  - Proyecto de apoyo a la transición cárcel-comunidad de adultos liberados</t>
    </r>
  </si>
  <si>
    <t>2.3.1</t>
  </si>
  <si>
    <t>Línea de Acción 2.3.1 - Implementación de proyecto de apoyo a la transición cárcel-comunidad</t>
  </si>
  <si>
    <t>2.3.1.1</t>
  </si>
  <si>
    <t>Capacitación en metodologías de acompañamiento</t>
  </si>
  <si>
    <t>2.3.1.2</t>
  </si>
  <si>
    <t>Supervisor de equipo técnico</t>
  </si>
  <si>
    <t>Movilización de técnicos operadores</t>
  </si>
  <si>
    <r>
      <t xml:space="preserve">Subcomponente </t>
    </r>
    <r>
      <rPr>
        <b/>
        <sz val="9"/>
        <color indexed="8"/>
        <rFont val="Calibri"/>
        <family val="2"/>
      </rPr>
      <t>2.4  - Prevención situacional de la violencia</t>
    </r>
  </si>
  <si>
    <t>2.4.1</t>
  </si>
  <si>
    <t>Línea de Acción 2.4.1 - Implementación de acciones de prevención situacional de la violencia</t>
  </si>
  <si>
    <t>2.4.1.1</t>
  </si>
  <si>
    <t>Consultorías en movilización comunitaria</t>
  </si>
  <si>
    <t>Consultoría experta en prevención situacional</t>
  </si>
  <si>
    <r>
      <t xml:space="preserve">Subcomponente </t>
    </r>
    <r>
      <rPr>
        <b/>
        <sz val="9"/>
        <color indexed="8"/>
        <rFont val="Calibri"/>
        <family val="2"/>
      </rPr>
      <t>2.5  - Fondo de apoyo a iniciativas locales de prevención</t>
    </r>
  </si>
  <si>
    <t>2.5.1</t>
  </si>
  <si>
    <t>Línea de Acción 2.5.1 - Implementación del fondo de apoyo a iniciativas locales de prevención</t>
  </si>
  <si>
    <t>2.5.1.1</t>
  </si>
  <si>
    <t>Implementación de fondos de apoyo</t>
  </si>
  <si>
    <t>SUB TOTAL COMPONENTE 2</t>
  </si>
  <si>
    <t>Componente 3 –  PROMOCIÓN DEL DUSO DE EVIDENCIA CIENTÍFICA EN LA TOMA DE DECISIONES DE POLÍTICA</t>
  </si>
  <si>
    <t>3.1.1</t>
  </si>
  <si>
    <t>Línea de Acción 3.1.1 - Contratación del equipo central</t>
  </si>
  <si>
    <t>3.1.1.1</t>
  </si>
  <si>
    <t>(1) Director Ejecutivo</t>
  </si>
  <si>
    <t>3.1.1.2</t>
  </si>
  <si>
    <t>(1) Director Academico</t>
  </si>
  <si>
    <t>3.1.1.3</t>
  </si>
  <si>
    <t>(1) Encargados área capacitación</t>
  </si>
  <si>
    <t>3.1.1.4</t>
  </si>
  <si>
    <t xml:space="preserve">(4) Investigadores </t>
  </si>
  <si>
    <t>3.1.1.5</t>
  </si>
  <si>
    <t>(1) Encargado de Comunicación</t>
  </si>
  <si>
    <t>3.1.2</t>
  </si>
  <si>
    <t>Línea de Acción 3.1.2 - Equipamiento del CCAU</t>
  </si>
  <si>
    <t>3.1.2.1</t>
  </si>
  <si>
    <t xml:space="preserve">Consultor para el diseño y desarrollo de la página web </t>
  </si>
  <si>
    <t>3.1.2.2</t>
  </si>
  <si>
    <t>Equipamiento para la puesta en funcionamiento de CCAU</t>
  </si>
  <si>
    <t>3.1.2.3</t>
  </si>
  <si>
    <t xml:space="preserve">Talleres e instancias de formación del equipo </t>
  </si>
  <si>
    <t>3.2.1</t>
  </si>
  <si>
    <t>3.2.1.1</t>
  </si>
  <si>
    <t xml:space="preserve">Fondo de investigación </t>
  </si>
  <si>
    <t>3.2.1.2</t>
  </si>
  <si>
    <t xml:space="preserve">Arquitectura informática para unificación de bases de datos oficiales </t>
  </si>
  <si>
    <t xml:space="preserve">Impresión de materiales de capacitación </t>
  </si>
  <si>
    <t xml:space="preserve">Consultores Internacionales para participar del proceso de evaluación del Fondo Sectorial </t>
  </si>
  <si>
    <t xml:space="preserve">Fondo Sectorial </t>
  </si>
  <si>
    <t xml:space="preserve">Fondo para la realización de Capacitación </t>
  </si>
  <si>
    <t>Especialista en monitoreo y evaluación del Programa</t>
  </si>
  <si>
    <t>SUB TOTAL COMPONENTE 3</t>
  </si>
  <si>
    <t>Componente 4 –  ADMINISTRACIÓN Y MONITOREO DEL PROGRAMA</t>
  </si>
  <si>
    <t>Subcomponente 4.1 - Administración</t>
  </si>
  <si>
    <t>4.1.1</t>
  </si>
  <si>
    <t>Coordinador General del Programa</t>
  </si>
  <si>
    <t>4.1.2</t>
  </si>
  <si>
    <t>Coordinador de Prevención Barrial</t>
  </si>
  <si>
    <t>4.1.3</t>
  </si>
  <si>
    <t>Responsable financiero</t>
  </si>
  <si>
    <t>4.1.4</t>
  </si>
  <si>
    <t>Responsable de adquisiciones</t>
  </si>
  <si>
    <t>Administrativa</t>
  </si>
  <si>
    <t>Subcomponente 4.2 - Auditorías</t>
  </si>
  <si>
    <t>4.2.1</t>
  </si>
  <si>
    <t>Auditorías financiero contables</t>
  </si>
  <si>
    <t>SUB TOTAL COMPONENTE 4</t>
  </si>
  <si>
    <t>IMPREVISTOS</t>
  </si>
  <si>
    <t>TOTAL DEL PROGRAMA</t>
  </si>
  <si>
    <t>PLAN OPERATIVO ANUAL (POA) - 2017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</si>
  <si>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</si>
  <si>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</si>
  <si>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</si>
  <si>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</si>
  <si>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</si>
  <si>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</si>
  <si>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</si>
  <si>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</si>
  <si>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</si>
  <si>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</si>
  <si>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</si>
  <si>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</si>
  <si>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FINANCIAMIENTO EXTERNO</t>
  </si>
  <si>
    <t>Contratación de una consultoría para la mejora contínua de los diagnósticos de la estretegia operativa</t>
  </si>
  <si>
    <t>Año 2017 – Fondos BID</t>
  </si>
  <si>
    <t>1.3.2.1</t>
  </si>
  <si>
    <t>Contratación de 4 técnicos operadores</t>
  </si>
  <si>
    <t>Línea de Acción 1.1.1 - Estrategia patrullamiento PADO actualizada</t>
  </si>
  <si>
    <t>Capacitación de 1100 oficiales de PADO en técnicas de relacionamiento con la comunidad y en solución de problemas</t>
  </si>
  <si>
    <t>Capacitación de 600 policías en Policiamiento Orientado a Problemas</t>
  </si>
  <si>
    <t>Capacitación de 200 policías en resolución de conflictos</t>
  </si>
  <si>
    <t>Línea de Acción 1.2.1 - Policías capacitados en POP y resolución de conflictos</t>
  </si>
  <si>
    <t>Línea de Acción 1.2.2 - Seccionales comunitarias adaptadas y equipadas</t>
  </si>
  <si>
    <t>Línea de Acción 1.2.3 - Proyectos POP implementados</t>
  </si>
  <si>
    <t>1.2.3.2</t>
  </si>
  <si>
    <t>1.2.3.3</t>
  </si>
  <si>
    <t>Línea de Acción 1.3.2 - Desarrollo de tecnologías para la sistematización de información</t>
  </si>
  <si>
    <t>1.3.2.2</t>
  </si>
  <si>
    <t>Línea de Acción 1.3.3 - Capacitación en Investigación Criminal</t>
  </si>
  <si>
    <t>2.2.1.3</t>
  </si>
  <si>
    <t>2.3.1.3</t>
  </si>
  <si>
    <t>2.3.1.4</t>
  </si>
  <si>
    <t>2.4.1.2</t>
  </si>
  <si>
    <t>2.5.1.2</t>
  </si>
  <si>
    <t>Subcomponente 3.1 - Conformación y funcionamieto del equipo central CCAU</t>
  </si>
  <si>
    <t>3.1.3</t>
  </si>
  <si>
    <t>Línea de Acción 3.1.3 - Acciones de Investigación</t>
  </si>
  <si>
    <t>3.1.3.1</t>
  </si>
  <si>
    <t>3.1.3.2</t>
  </si>
  <si>
    <t>3.1.4</t>
  </si>
  <si>
    <t>3.1.4.1</t>
  </si>
  <si>
    <t>3.1.4.2</t>
  </si>
  <si>
    <t xml:space="preserve">Línea de Acción 3.1.4 - Acciones de Capacitación, Promoción, Comunicación </t>
  </si>
  <si>
    <t>Desarrollo y divulgación de Banco de Intervenciones basadas en evidencia científica</t>
  </si>
  <si>
    <t>Fondo de capacitación a funcionarios Ministerio del Interior y otros relacionados</t>
  </si>
  <si>
    <t>3.1.4.3</t>
  </si>
  <si>
    <t>3.1.5</t>
  </si>
  <si>
    <t>Línea de Acción 3.1.5 - Monitoreo y Evaluacion del Programa</t>
  </si>
  <si>
    <t>3.1.5.1</t>
  </si>
  <si>
    <t>3.1.5.4</t>
  </si>
  <si>
    <t>Estimación de linea de base para el componente 2</t>
  </si>
  <si>
    <t>Subcomponente 3.2 - Fondo Sectorial</t>
  </si>
  <si>
    <t>Línea de Acción 3.2.1 - Fondo Sectorial Ministerio del Interior - ANII</t>
  </si>
  <si>
    <t>Subcomponente 3.3 - Generación de programa internacional de capacitación</t>
  </si>
  <si>
    <t>3.3.1</t>
  </si>
  <si>
    <t>Línea de Acción 3.3.1 - Generación de programa internacional de capacitación</t>
  </si>
  <si>
    <t>3.3.1.1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</si>
</sst>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.00;[Red]&quot;R$ &quot;#,##0.00"/>
    <numFmt numFmtId="173" formatCode="#,##0.00\ ;&quot; (&quot;#,##0.00\);&quot; -&quot;#\ ;@\ "/>
    <numFmt numFmtId="174" formatCode="#,##0\ ;&quot; (&quot;#,##0\);&quot; -&quot;#\ ;@\ 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8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>
      <alignment/>
      <protection/>
    </xf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3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>
      <alignment/>
      <protection/>
    </xf>
    <xf numFmtId="9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4" fontId="4" fillId="33" borderId="0" xfId="46" applyNumberFormat="1" applyFont="1" applyFill="1" applyBorder="1" applyAlignment="1" applyProtection="1">
      <alignment horizontal="right" vertical="center" wrapText="1"/>
      <protection locked="0"/>
    </xf>
    <xf numFmtId="174" fontId="4" fillId="34" borderId="0" xfId="4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174" fontId="5" fillId="35" borderId="0" xfId="46" applyNumberFormat="1" applyFont="1" applyFill="1" applyBorder="1" applyAlignment="1" applyProtection="1">
      <alignment horizontal="right" vertical="center" wrapText="1"/>
      <protection/>
    </xf>
    <xf numFmtId="174" fontId="6" fillId="0" borderId="0" xfId="46" applyNumberFormat="1" applyFont="1" applyFill="1" applyBorder="1" applyAlignment="1" applyProtection="1">
      <alignment horizontal="right" vertical="center" wrapText="1"/>
      <protection/>
    </xf>
    <xf numFmtId="174" fontId="7" fillId="0" borderId="0" xfId="46" applyNumberFormat="1" applyFont="1" applyFill="1" applyBorder="1" applyAlignment="1" applyProtection="1">
      <alignment horizontal="right" vertical="center" wrapText="1"/>
      <protection locked="0"/>
    </xf>
    <xf numFmtId="174" fontId="6" fillId="0" borderId="0" xfId="46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46" applyNumberFormat="1" applyFont="1" applyFill="1" applyBorder="1" applyAlignment="1" applyProtection="1">
      <alignment horizontal="right" vertical="center" wrapText="1"/>
      <protection/>
    </xf>
    <xf numFmtId="174" fontId="4" fillId="36" borderId="0" xfId="46" applyNumberFormat="1" applyFont="1" applyFill="1" applyBorder="1" applyAlignment="1" applyProtection="1">
      <alignment horizontal="right" vertical="center" wrapText="1"/>
      <protection locked="0"/>
    </xf>
    <xf numFmtId="174" fontId="4" fillId="0" borderId="0" xfId="46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174" fontId="8" fillId="37" borderId="0" xfId="46" applyNumberFormat="1" applyFont="1" applyFill="1" applyBorder="1" applyAlignment="1" applyProtection="1">
      <alignment horizontal="right" vertical="center" wrapText="1"/>
      <protection locked="0"/>
    </xf>
    <xf numFmtId="0" fontId="8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174" fontId="8" fillId="37" borderId="10" xfId="46" applyNumberFormat="1" applyFont="1" applyFill="1" applyBorder="1" applyAlignment="1" applyProtection="1">
      <alignment horizontal="center" vertical="center" wrapText="1"/>
      <protection/>
    </xf>
    <xf numFmtId="174" fontId="8" fillId="37" borderId="10" xfId="42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>
      <alignment vertical="center"/>
    </xf>
    <xf numFmtId="174" fontId="8" fillId="37" borderId="10" xfId="42" applyNumberFormat="1" applyFont="1" applyFill="1" applyBorder="1" applyAlignment="1" applyProtection="1">
      <alignment horizontal="center" vertical="center" wrapText="1"/>
      <protection/>
    </xf>
    <xf numFmtId="174" fontId="4" fillId="33" borderId="11" xfId="46" applyNumberFormat="1" applyFont="1" applyFill="1" applyBorder="1" applyAlignment="1" applyProtection="1">
      <alignment horizontal="right" vertical="center" wrapText="1"/>
      <protection locked="0"/>
    </xf>
    <xf numFmtId="174" fontId="4" fillId="34" borderId="11" xfId="46" applyNumberFormat="1" applyFont="1" applyFill="1" applyBorder="1" applyAlignment="1" applyProtection="1">
      <alignment horizontal="right" vertical="center" wrapText="1"/>
      <protection locked="0"/>
    </xf>
    <xf numFmtId="174" fontId="5" fillId="35" borderId="11" xfId="46" applyNumberFormat="1" applyFont="1" applyFill="1" applyBorder="1" applyAlignment="1" applyProtection="1">
      <alignment horizontal="right" vertical="center" wrapText="1"/>
      <protection/>
    </xf>
    <xf numFmtId="174" fontId="6" fillId="0" borderId="11" xfId="46" applyNumberFormat="1" applyFont="1" applyFill="1" applyBorder="1" applyAlignment="1" applyProtection="1">
      <alignment horizontal="right" vertical="center" wrapText="1"/>
      <protection/>
    </xf>
    <xf numFmtId="174" fontId="6" fillId="0" borderId="11" xfId="46" applyNumberFormat="1" applyFont="1" applyFill="1" applyBorder="1" applyAlignment="1" applyProtection="1">
      <alignment horizontal="right" vertical="center" wrapText="1"/>
      <protection locked="0"/>
    </xf>
    <xf numFmtId="174" fontId="7" fillId="0" borderId="11" xfId="46" applyNumberFormat="1" applyFont="1" applyFill="1" applyBorder="1" applyAlignment="1" applyProtection="1">
      <alignment horizontal="right" vertical="center" wrapText="1"/>
      <protection locked="0"/>
    </xf>
    <xf numFmtId="3" fontId="4" fillId="33" borderId="0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174" fontId="8" fillId="37" borderId="14" xfId="46" applyNumberFormat="1" applyFont="1" applyFill="1" applyBorder="1" applyAlignment="1" applyProtection="1">
      <alignment horizontal="center" vertical="center" wrapText="1"/>
      <protection/>
    </xf>
    <xf numFmtId="174" fontId="8" fillId="37" borderId="15" xfId="42" applyNumberFormat="1" applyFont="1" applyFill="1" applyBorder="1" applyAlignment="1" applyProtection="1">
      <alignment horizontal="center" vertical="center" wrapText="1"/>
      <protection/>
    </xf>
    <xf numFmtId="174" fontId="8" fillId="37" borderId="16" xfId="46" applyNumberFormat="1" applyFont="1" applyFill="1" applyBorder="1" applyAlignment="1" applyProtection="1">
      <alignment horizontal="right" vertical="center" wrapText="1"/>
      <protection locked="0"/>
    </xf>
    <xf numFmtId="174" fontId="4" fillId="33" borderId="16" xfId="46" applyNumberFormat="1" applyFont="1" applyFill="1" applyBorder="1" applyAlignment="1" applyProtection="1">
      <alignment horizontal="right" vertical="center" wrapText="1"/>
      <protection locked="0"/>
    </xf>
    <xf numFmtId="174" fontId="4" fillId="34" borderId="16" xfId="46" applyNumberFormat="1" applyFont="1" applyFill="1" applyBorder="1" applyAlignment="1" applyProtection="1">
      <alignment horizontal="right" vertical="center" wrapText="1"/>
      <protection locked="0"/>
    </xf>
    <xf numFmtId="174" fontId="5" fillId="35" borderId="16" xfId="46" applyNumberFormat="1" applyFont="1" applyFill="1" applyBorder="1" applyAlignment="1" applyProtection="1">
      <alignment horizontal="right" vertical="center" wrapText="1"/>
      <protection/>
    </xf>
    <xf numFmtId="174" fontId="6" fillId="0" borderId="16" xfId="46" applyNumberFormat="1" applyFont="1" applyFill="1" applyBorder="1" applyAlignment="1" applyProtection="1">
      <alignment horizontal="right" vertical="center" wrapText="1"/>
      <protection/>
    </xf>
    <xf numFmtId="174" fontId="6" fillId="0" borderId="16" xfId="46" applyNumberFormat="1" applyFont="1" applyFill="1" applyBorder="1" applyAlignment="1" applyProtection="1">
      <alignment horizontal="right" vertical="center" wrapText="1"/>
      <protection locked="0"/>
    </xf>
    <xf numFmtId="174" fontId="7" fillId="0" borderId="16" xfId="46" applyNumberFormat="1" applyFont="1" applyFill="1" applyBorder="1" applyAlignment="1" applyProtection="1">
      <alignment horizontal="right" vertical="center" wrapText="1"/>
      <protection locked="0"/>
    </xf>
    <xf numFmtId="3" fontId="4" fillId="33" borderId="16" xfId="0" applyNumberFormat="1" applyFont="1" applyFill="1" applyBorder="1" applyAlignment="1">
      <alignment horizontal="right" vertical="center" wrapText="1"/>
    </xf>
    <xf numFmtId="174" fontId="4" fillId="36" borderId="16" xfId="46" applyNumberFormat="1" applyFont="1" applyFill="1" applyBorder="1" applyAlignment="1" applyProtection="1">
      <alignment horizontal="right" vertical="center" wrapText="1"/>
      <protection locked="0"/>
    </xf>
    <xf numFmtId="3" fontId="4" fillId="33" borderId="17" xfId="0" applyNumberFormat="1" applyFont="1" applyFill="1" applyBorder="1" applyAlignment="1">
      <alignment horizontal="right" vertical="center" wrapText="1"/>
    </xf>
    <xf numFmtId="174" fontId="8" fillId="37" borderId="0" xfId="46" applyNumberFormat="1" applyFont="1" applyFill="1" applyBorder="1" applyAlignment="1" applyProtection="1">
      <alignment horizontal="center" vertical="center" wrapText="1"/>
      <protection locked="0"/>
    </xf>
    <xf numFmtId="174" fontId="8" fillId="37" borderId="11" xfId="46" applyNumberFormat="1" applyFont="1" applyFill="1" applyBorder="1" applyAlignment="1" applyProtection="1">
      <alignment horizontal="center" vertical="center" wrapText="1"/>
      <protection locked="0"/>
    </xf>
    <xf numFmtId="0" fontId="8" fillId="37" borderId="18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4" borderId="18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justify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5" fillId="36" borderId="18" xfId="0" applyFont="1" applyFill="1" applyBorder="1" applyAlignment="1">
      <alignment horizontal="right" vertical="center" wrapText="1"/>
    </xf>
    <xf numFmtId="0" fontId="5" fillId="36" borderId="0" xfId="0" applyFont="1" applyFill="1" applyBorder="1" applyAlignment="1">
      <alignment horizontal="justify" vertical="center" wrapText="1"/>
    </xf>
    <xf numFmtId="174" fontId="4" fillId="36" borderId="11" xfId="4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74" fontId="7" fillId="0" borderId="16" xfId="46" applyNumberFormat="1" applyFont="1" applyFill="1" applyBorder="1" applyAlignment="1" applyProtection="1">
      <alignment horizontal="right" vertical="center" wrapText="1"/>
      <protection locked="0"/>
    </xf>
    <xf numFmtId="174" fontId="7" fillId="0" borderId="0" xfId="46" applyNumberFormat="1" applyFont="1" applyFill="1" applyBorder="1" applyAlignment="1" applyProtection="1">
      <alignment horizontal="right" vertical="center" wrapText="1"/>
      <protection locked="0"/>
    </xf>
    <xf numFmtId="174" fontId="6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justify" vertical="center" wrapText="1"/>
    </xf>
    <xf numFmtId="174" fontId="6" fillId="0" borderId="0" xfId="46" applyNumberFormat="1" applyFont="1" applyFill="1" applyBorder="1" applyAlignment="1" applyProtection="1">
      <alignment horizontal="right" vertical="center" wrapText="1"/>
      <protection locked="0"/>
    </xf>
    <xf numFmtId="174" fontId="5" fillId="0" borderId="11" xfId="46" applyNumberFormat="1" applyFont="1" applyFill="1" applyBorder="1" applyAlignment="1" applyProtection="1">
      <alignment horizontal="right" vertical="center" wrapText="1"/>
      <protection/>
    </xf>
    <xf numFmtId="174" fontId="5" fillId="0" borderId="0" xfId="46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5" fillId="35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5" fillId="35" borderId="0" xfId="0" applyFont="1" applyFill="1" applyAlignment="1">
      <alignment horizontal="right" vertical="center" wrapText="1"/>
    </xf>
    <xf numFmtId="0" fontId="8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right" vertical="center" wrapText="1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Comma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 2" xfId="57"/>
    <cellStyle name="Note" xfId="58"/>
    <cellStyle name="Output" xfId="59"/>
    <cellStyle name="Percent" xfId="60"/>
    <cellStyle name="Porcentagem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C3D69B"/>
      <rgbColor rgb="002E75B6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tabSelected="1" zoomScale="110" zoomScaleNormal="110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110" sqref="A110"/>
      <selection pane="bottomRight" activeCell="B10" sqref="B10"/>
    </sheetView>
  </sheetViews>
  <sheetFormatPr defaultColWidth="8.57421875" defaultRowHeight="15"/>
  <cols>
    <col min="1" max="1" width="8.28125" style="1" customWidth="1"/>
    <col min="2" max="2" width="56.28125" style="0" customWidth="1"/>
    <col min="3" max="5" width="8.57421875" style="0" hidden="1" customWidth="1"/>
    <col min="6" max="18" width="10.7109375" style="0" customWidth="1"/>
  </cols>
  <sheetData>
    <row r="1" spans="2:10" ht="15.75">
      <c r="B1" s="19" t="s">
        <v>0</v>
      </c>
      <c r="I1" s="68"/>
      <c r="J1" s="4"/>
    </row>
    <row r="2" spans="2:10" ht="15.75">
      <c r="B2" s="19" t="s">
        <v>1</v>
      </c>
      <c r="I2" s="4"/>
      <c r="J2" s="4"/>
    </row>
    <row r="3" spans="2:10" ht="15.75">
      <c r="B3" s="19" t="s">
        <v>131</v>
      </c>
      <c r="I3" s="4"/>
      <c r="J3" s="4"/>
    </row>
    <row r="4" spans="7:18" ht="15">
      <c r="G4" s="84" t="s">
        <v>144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</row>
    <row r="5" spans="1:18" ht="30" customHeight="1">
      <c r="A5" s="15"/>
      <c r="B5" s="16" t="s">
        <v>2</v>
      </c>
      <c r="C5" s="17" t="s">
        <v>3</v>
      </c>
      <c r="D5" s="17" t="s">
        <v>4</v>
      </c>
      <c r="E5" s="31" t="s">
        <v>5</v>
      </c>
      <c r="F5" s="18" t="s">
        <v>146</v>
      </c>
      <c r="G5" s="32" t="s">
        <v>132</v>
      </c>
      <c r="H5" s="20" t="s">
        <v>133</v>
      </c>
      <c r="I5" s="20" t="s">
        <v>134</v>
      </c>
      <c r="J5" s="20" t="s">
        <v>135</v>
      </c>
      <c r="K5" s="20" t="s">
        <v>136</v>
      </c>
      <c r="L5" s="20" t="s">
        <v>137</v>
      </c>
      <c r="M5" s="20" t="s">
        <v>138</v>
      </c>
      <c r="N5" s="20" t="s">
        <v>139</v>
      </c>
      <c r="O5" s="20" t="s">
        <v>140</v>
      </c>
      <c r="P5" s="20" t="s">
        <v>141</v>
      </c>
      <c r="Q5" s="20" t="s">
        <v>142</v>
      </c>
      <c r="R5" s="20" t="s">
        <v>143</v>
      </c>
    </row>
    <row r="6" spans="1:18" ht="15">
      <c r="A6" s="45"/>
      <c r="B6" s="46" t="s">
        <v>6</v>
      </c>
      <c r="C6" s="14" t="e">
        <f aca="true" t="shared" si="0" ref="C6:R6">C7+C35+C61+C91</f>
        <v>#REF!</v>
      </c>
      <c r="D6" s="14" t="e">
        <f t="shared" si="0"/>
        <v>#REF!</v>
      </c>
      <c r="E6" s="14" t="e">
        <f t="shared" si="0"/>
        <v>#REF!</v>
      </c>
      <c r="F6" s="33">
        <f t="shared" si="0"/>
        <v>1078429.5</v>
      </c>
      <c r="G6" s="43">
        <f t="shared" si="0"/>
        <v>1366.0833333333333</v>
      </c>
      <c r="H6" s="43">
        <f t="shared" si="0"/>
        <v>12295.083333333334</v>
      </c>
      <c r="I6" s="43">
        <f t="shared" si="0"/>
        <v>1366.0833333333333</v>
      </c>
      <c r="J6" s="43">
        <f t="shared" si="0"/>
        <v>87913.08333333334</v>
      </c>
      <c r="K6" s="43">
        <f t="shared" si="0"/>
        <v>28961.083333333332</v>
      </c>
      <c r="L6" s="43">
        <f t="shared" si="0"/>
        <v>116749.08333333333</v>
      </c>
      <c r="M6" s="43">
        <f t="shared" si="0"/>
        <v>293666.3833333333</v>
      </c>
      <c r="N6" s="43">
        <f t="shared" si="0"/>
        <v>100232.28333333334</v>
      </c>
      <c r="O6" s="43">
        <f t="shared" si="0"/>
        <v>66240.28333333333</v>
      </c>
      <c r="P6" s="43">
        <f t="shared" si="0"/>
        <v>82912.95000000001</v>
      </c>
      <c r="Q6" s="43">
        <f t="shared" si="0"/>
        <v>219609.15000000002</v>
      </c>
      <c r="R6" s="44">
        <f t="shared" si="0"/>
        <v>67117.95</v>
      </c>
    </row>
    <row r="7" spans="1:18" ht="24">
      <c r="A7" s="47">
        <v>1</v>
      </c>
      <c r="B7" s="48" t="s">
        <v>7</v>
      </c>
      <c r="C7" s="2" t="e">
        <f aca="true" t="shared" si="1" ref="C7:R7">C8+C14+C24</f>
        <v>#REF!</v>
      </c>
      <c r="D7" s="2" t="e">
        <f t="shared" si="1"/>
        <v>#REF!</v>
      </c>
      <c r="E7" s="2" t="e">
        <f t="shared" si="1"/>
        <v>#REF!</v>
      </c>
      <c r="F7" s="34">
        <f t="shared" si="1"/>
        <v>421585.5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4918</v>
      </c>
      <c r="K7" s="2">
        <f t="shared" si="1"/>
        <v>7377</v>
      </c>
      <c r="L7" s="2">
        <f t="shared" si="1"/>
        <v>32295</v>
      </c>
      <c r="M7" s="2">
        <f t="shared" si="1"/>
        <v>246722.3</v>
      </c>
      <c r="N7" s="2">
        <f t="shared" si="1"/>
        <v>0</v>
      </c>
      <c r="O7" s="2">
        <f t="shared" si="1"/>
        <v>0</v>
      </c>
      <c r="P7" s="2">
        <f t="shared" si="1"/>
        <v>0</v>
      </c>
      <c r="Q7" s="2">
        <f t="shared" si="1"/>
        <v>130273.20000000001</v>
      </c>
      <c r="R7" s="21">
        <f t="shared" si="1"/>
        <v>0</v>
      </c>
    </row>
    <row r="8" spans="1:18" s="4" customFormat="1" ht="15">
      <c r="A8" s="49">
        <v>1.1</v>
      </c>
      <c r="B8" s="50" t="s">
        <v>8</v>
      </c>
      <c r="C8" s="3">
        <f>C9+C11</f>
        <v>163934.2131147541</v>
      </c>
      <c r="D8" s="3">
        <f>D9+D11</f>
        <v>36065.526885245905</v>
      </c>
      <c r="E8" s="3">
        <f>E9+E11</f>
        <v>199999.74</v>
      </c>
      <c r="F8" s="35">
        <f>F9+F11</f>
        <v>69672.5</v>
      </c>
      <c r="G8" s="3">
        <f aca="true" t="shared" si="2" ref="G8:R8">G9+G11</f>
        <v>0</v>
      </c>
      <c r="H8" s="3">
        <f t="shared" si="2"/>
        <v>0</v>
      </c>
      <c r="I8" s="3">
        <f t="shared" si="2"/>
        <v>0</v>
      </c>
      <c r="J8" s="3">
        <f t="shared" si="2"/>
        <v>4918</v>
      </c>
      <c r="K8" s="3">
        <f t="shared" si="2"/>
        <v>7377</v>
      </c>
      <c r="L8" s="3">
        <f t="shared" si="2"/>
        <v>12295</v>
      </c>
      <c r="M8" s="3">
        <f t="shared" si="2"/>
        <v>27049.5</v>
      </c>
      <c r="N8" s="3">
        <f t="shared" si="2"/>
        <v>0</v>
      </c>
      <c r="O8" s="3">
        <f t="shared" si="2"/>
        <v>0</v>
      </c>
      <c r="P8" s="3">
        <f t="shared" si="2"/>
        <v>0</v>
      </c>
      <c r="Q8" s="3">
        <f t="shared" si="2"/>
        <v>18033</v>
      </c>
      <c r="R8" s="22">
        <f t="shared" si="2"/>
        <v>0</v>
      </c>
    </row>
    <row r="9" spans="1:18" s="4" customFormat="1" ht="15">
      <c r="A9" s="51" t="s">
        <v>9</v>
      </c>
      <c r="B9" s="52" t="s">
        <v>149</v>
      </c>
      <c r="C9" s="5">
        <f>SUM(C10)</f>
        <v>24590</v>
      </c>
      <c r="D9" s="5">
        <f>SUM(D10)</f>
        <v>5409.8</v>
      </c>
      <c r="E9" s="5">
        <f>SUM(E10)</f>
        <v>29999.8</v>
      </c>
      <c r="F9" s="36">
        <f>SUM(F10)</f>
        <v>24590</v>
      </c>
      <c r="G9" s="5">
        <f aca="true" t="shared" si="3" ref="G9:R9">SUM(G10)</f>
        <v>0</v>
      </c>
      <c r="H9" s="5">
        <f t="shared" si="3"/>
        <v>0</v>
      </c>
      <c r="I9" s="5">
        <f t="shared" si="3"/>
        <v>0</v>
      </c>
      <c r="J9" s="5">
        <f t="shared" si="3"/>
        <v>4918</v>
      </c>
      <c r="K9" s="5">
        <f t="shared" si="3"/>
        <v>7377</v>
      </c>
      <c r="L9" s="5">
        <f t="shared" si="3"/>
        <v>12295</v>
      </c>
      <c r="M9" s="5">
        <f t="shared" si="3"/>
        <v>0</v>
      </c>
      <c r="N9" s="5">
        <f t="shared" si="3"/>
        <v>0</v>
      </c>
      <c r="O9" s="5">
        <f t="shared" si="3"/>
        <v>0</v>
      </c>
      <c r="P9" s="5">
        <f t="shared" si="3"/>
        <v>0</v>
      </c>
      <c r="Q9" s="5">
        <f t="shared" si="3"/>
        <v>0</v>
      </c>
      <c r="R9" s="23">
        <f t="shared" si="3"/>
        <v>0</v>
      </c>
    </row>
    <row r="10" spans="1:18" s="4" customFormat="1" ht="24">
      <c r="A10" s="53" t="s">
        <v>10</v>
      </c>
      <c r="B10" s="54" t="s">
        <v>145</v>
      </c>
      <c r="C10" s="6">
        <v>24590</v>
      </c>
      <c r="D10" s="7">
        <f>C10*0.22</f>
        <v>5409.8</v>
      </c>
      <c r="E10" s="6">
        <f>C10+D10</f>
        <v>29999.8</v>
      </c>
      <c r="F10" s="37">
        <v>24590</v>
      </c>
      <c r="G10" s="6"/>
      <c r="H10" s="6"/>
      <c r="I10" s="6"/>
      <c r="J10" s="6">
        <f>+F10*0.2</f>
        <v>4918</v>
      </c>
      <c r="K10" s="6">
        <f>+F10*0.3</f>
        <v>7377</v>
      </c>
      <c r="L10" s="6">
        <f>+F10*0.5</f>
        <v>12295</v>
      </c>
      <c r="M10" s="6"/>
      <c r="N10" s="6"/>
      <c r="O10" s="6"/>
      <c r="P10" s="6"/>
      <c r="Q10" s="6"/>
      <c r="R10" s="24"/>
    </row>
    <row r="11" spans="1:18" s="4" customFormat="1" ht="24">
      <c r="A11" s="51" t="s">
        <v>11</v>
      </c>
      <c r="B11" s="52" t="s">
        <v>12</v>
      </c>
      <c r="C11" s="5">
        <f>SUM(C12:C13)</f>
        <v>139344.2131147541</v>
      </c>
      <c r="D11" s="5">
        <f>SUM(D12:D13)</f>
        <v>30655.726885245902</v>
      </c>
      <c r="E11" s="5">
        <f>SUM(E12:E13)</f>
        <v>169999.94</v>
      </c>
      <c r="F11" s="36">
        <f>SUM(F12:F13)</f>
        <v>45082.5</v>
      </c>
      <c r="G11" s="5">
        <f>SUM(G12:G13)</f>
        <v>0</v>
      </c>
      <c r="H11" s="5">
        <f aca="true" t="shared" si="4" ref="H11:R11">SUM(H12:H13)</f>
        <v>0</v>
      </c>
      <c r="I11" s="5">
        <f t="shared" si="4"/>
        <v>0</v>
      </c>
      <c r="J11" s="5">
        <f t="shared" si="4"/>
        <v>0</v>
      </c>
      <c r="K11" s="5">
        <f t="shared" si="4"/>
        <v>0</v>
      </c>
      <c r="L11" s="5">
        <f t="shared" si="4"/>
        <v>0</v>
      </c>
      <c r="M11" s="5">
        <f t="shared" si="4"/>
        <v>27049.5</v>
      </c>
      <c r="N11" s="5">
        <f t="shared" si="4"/>
        <v>0</v>
      </c>
      <c r="O11" s="5">
        <f t="shared" si="4"/>
        <v>0</v>
      </c>
      <c r="P11" s="5">
        <f t="shared" si="4"/>
        <v>0</v>
      </c>
      <c r="Q11" s="5">
        <f t="shared" si="4"/>
        <v>18033</v>
      </c>
      <c r="R11" s="23">
        <f t="shared" si="4"/>
        <v>0</v>
      </c>
    </row>
    <row r="12" spans="1:18" s="4" customFormat="1" ht="24">
      <c r="A12" s="53" t="s">
        <v>13</v>
      </c>
      <c r="B12" s="54" t="s">
        <v>150</v>
      </c>
      <c r="C12" s="6">
        <v>57377</v>
      </c>
      <c r="D12" s="7">
        <f>C12*0.22</f>
        <v>12622.94</v>
      </c>
      <c r="E12" s="6">
        <f>C12+D12</f>
        <v>69999.94</v>
      </c>
      <c r="F12" s="37">
        <f>$C$12/2</f>
        <v>28688.5</v>
      </c>
      <c r="G12" s="6"/>
      <c r="H12" s="6"/>
      <c r="I12" s="6"/>
      <c r="J12" s="6"/>
      <c r="K12" s="6"/>
      <c r="L12" s="6"/>
      <c r="M12" s="6">
        <f>+F12*0.6</f>
        <v>17213.1</v>
      </c>
      <c r="N12" s="6"/>
      <c r="O12" s="6"/>
      <c r="P12" s="6"/>
      <c r="Q12" s="6">
        <f>+F12*0.4</f>
        <v>11475.400000000001</v>
      </c>
      <c r="R12" s="24"/>
    </row>
    <row r="13" spans="1:18" s="4" customFormat="1" ht="15">
      <c r="A13" s="53" t="s">
        <v>14</v>
      </c>
      <c r="B13" s="54" t="s">
        <v>15</v>
      </c>
      <c r="C13" s="6">
        <f>100000/1.22</f>
        <v>81967.2131147541</v>
      </c>
      <c r="D13" s="7">
        <f>C13*0.22</f>
        <v>18032.7868852459</v>
      </c>
      <c r="E13" s="6">
        <f>C13+D13</f>
        <v>100000</v>
      </c>
      <c r="F13" s="37">
        <v>16394</v>
      </c>
      <c r="G13" s="6"/>
      <c r="H13" s="6"/>
      <c r="I13" s="6"/>
      <c r="J13" s="6"/>
      <c r="K13" s="6"/>
      <c r="L13" s="6"/>
      <c r="M13" s="6">
        <f>+F13*0.6</f>
        <v>9836.4</v>
      </c>
      <c r="N13" s="6"/>
      <c r="O13" s="6"/>
      <c r="P13" s="6"/>
      <c r="Q13" s="6">
        <f>+F13*0.4</f>
        <v>6557.6</v>
      </c>
      <c r="R13" s="24"/>
    </row>
    <row r="14" spans="1:18" s="4" customFormat="1" ht="15">
      <c r="A14" s="49">
        <v>1.2</v>
      </c>
      <c r="B14" s="50" t="s">
        <v>16</v>
      </c>
      <c r="C14" s="3">
        <f aca="true" t="shared" si="5" ref="C14:R14">C15+C18+C20</f>
        <v>574920</v>
      </c>
      <c r="D14" s="3">
        <f t="shared" si="5"/>
        <v>126482.40000000001</v>
      </c>
      <c r="E14" s="3">
        <f t="shared" si="5"/>
        <v>701402.3999999999</v>
      </c>
      <c r="F14" s="35">
        <f t="shared" si="5"/>
        <v>151092</v>
      </c>
      <c r="G14" s="3">
        <f t="shared" si="5"/>
        <v>0</v>
      </c>
      <c r="H14" s="3">
        <f t="shared" si="5"/>
        <v>0</v>
      </c>
      <c r="I14" s="3">
        <f t="shared" si="5"/>
        <v>0</v>
      </c>
      <c r="J14" s="3">
        <f t="shared" si="5"/>
        <v>0</v>
      </c>
      <c r="K14" s="3">
        <f t="shared" si="5"/>
        <v>0</v>
      </c>
      <c r="L14" s="3">
        <f t="shared" si="5"/>
        <v>20000</v>
      </c>
      <c r="M14" s="3">
        <f t="shared" si="5"/>
        <v>39343.8</v>
      </c>
      <c r="N14" s="3">
        <f t="shared" si="5"/>
        <v>0</v>
      </c>
      <c r="O14" s="3">
        <f t="shared" si="5"/>
        <v>0</v>
      </c>
      <c r="P14" s="3">
        <f t="shared" si="5"/>
        <v>0</v>
      </c>
      <c r="Q14" s="3">
        <f t="shared" si="5"/>
        <v>91748.20000000001</v>
      </c>
      <c r="R14" s="22">
        <f t="shared" si="5"/>
        <v>0</v>
      </c>
    </row>
    <row r="15" spans="1:18" s="4" customFormat="1" ht="24">
      <c r="A15" s="51" t="s">
        <v>17</v>
      </c>
      <c r="B15" s="52" t="s">
        <v>153</v>
      </c>
      <c r="C15" s="5">
        <f aca="true" t="shared" si="6" ref="C15:R15">SUM(C16:C17)</f>
        <v>365902</v>
      </c>
      <c r="D15" s="5">
        <f t="shared" si="6"/>
        <v>80498.44</v>
      </c>
      <c r="E15" s="5">
        <f t="shared" si="6"/>
        <v>446400.44</v>
      </c>
      <c r="F15" s="36">
        <f t="shared" si="6"/>
        <v>65573</v>
      </c>
      <c r="G15" s="5">
        <f t="shared" si="6"/>
        <v>0</v>
      </c>
      <c r="H15" s="5">
        <f t="shared" si="6"/>
        <v>0</v>
      </c>
      <c r="I15" s="5">
        <f t="shared" si="6"/>
        <v>0</v>
      </c>
      <c r="J15" s="5">
        <f t="shared" si="6"/>
        <v>0</v>
      </c>
      <c r="K15" s="5">
        <f t="shared" si="6"/>
        <v>0</v>
      </c>
      <c r="L15" s="5">
        <f t="shared" si="6"/>
        <v>0</v>
      </c>
      <c r="M15" s="5">
        <f t="shared" si="6"/>
        <v>39343.8</v>
      </c>
      <c r="N15" s="5">
        <f t="shared" si="6"/>
        <v>0</v>
      </c>
      <c r="O15" s="5">
        <f t="shared" si="6"/>
        <v>0</v>
      </c>
      <c r="P15" s="5">
        <f t="shared" si="6"/>
        <v>0</v>
      </c>
      <c r="Q15" s="5">
        <f t="shared" si="6"/>
        <v>26229.200000000004</v>
      </c>
      <c r="R15" s="23">
        <f t="shared" si="6"/>
        <v>0</v>
      </c>
    </row>
    <row r="16" spans="1:18" s="4" customFormat="1" ht="24">
      <c r="A16" s="53" t="s">
        <v>18</v>
      </c>
      <c r="B16" s="54" t="s">
        <v>151</v>
      </c>
      <c r="C16" s="6">
        <v>120000</v>
      </c>
      <c r="D16" s="8">
        <f>C16*0.22</f>
        <v>26400</v>
      </c>
      <c r="E16" s="6">
        <f>C16+D16</f>
        <v>146400</v>
      </c>
      <c r="F16" s="38">
        <v>38251</v>
      </c>
      <c r="G16" s="8"/>
      <c r="H16" s="8"/>
      <c r="I16" s="8"/>
      <c r="J16" s="8"/>
      <c r="K16" s="8"/>
      <c r="L16" s="8"/>
      <c r="M16" s="8">
        <f>+F16*0.6</f>
        <v>22950.6</v>
      </c>
      <c r="N16" s="8"/>
      <c r="O16" s="8"/>
      <c r="P16" s="8"/>
      <c r="Q16" s="8">
        <f>+F16*0.4</f>
        <v>15300.400000000001</v>
      </c>
      <c r="R16" s="25"/>
    </row>
    <row r="17" spans="1:18" s="4" customFormat="1" ht="15">
      <c r="A17" s="53" t="s">
        <v>19</v>
      </c>
      <c r="B17" s="54" t="s">
        <v>152</v>
      </c>
      <c r="C17" s="6">
        <v>245902</v>
      </c>
      <c r="D17" s="8">
        <f>C17*0.22</f>
        <v>54098.44</v>
      </c>
      <c r="E17" s="6">
        <f>C17+D17</f>
        <v>300000.44</v>
      </c>
      <c r="F17" s="38">
        <v>27322</v>
      </c>
      <c r="G17" s="8"/>
      <c r="H17" s="8"/>
      <c r="I17" s="8"/>
      <c r="J17" s="8"/>
      <c r="K17" s="8"/>
      <c r="L17" s="8"/>
      <c r="M17" s="8">
        <f>+F17*0.6</f>
        <v>16393.2</v>
      </c>
      <c r="N17" s="8"/>
      <c r="O17" s="8"/>
      <c r="P17" s="8"/>
      <c r="Q17" s="8">
        <f>+F17*0.4</f>
        <v>10928.800000000001</v>
      </c>
      <c r="R17" s="25"/>
    </row>
    <row r="18" spans="1:18" s="4" customFormat="1" ht="15">
      <c r="A18" s="51" t="s">
        <v>22</v>
      </c>
      <c r="B18" s="52" t="s">
        <v>154</v>
      </c>
      <c r="C18" s="5">
        <f aca="true" t="shared" si="7" ref="C18:R18">SUM(C19:C19)</f>
        <v>86066</v>
      </c>
      <c r="D18" s="5">
        <f t="shared" si="7"/>
        <v>18934.52</v>
      </c>
      <c r="E18" s="5">
        <f t="shared" si="7"/>
        <v>105000.52</v>
      </c>
      <c r="F18" s="36">
        <f t="shared" si="7"/>
        <v>27322</v>
      </c>
      <c r="G18" s="5">
        <f t="shared" si="7"/>
        <v>0</v>
      </c>
      <c r="H18" s="5">
        <f t="shared" si="7"/>
        <v>0</v>
      </c>
      <c r="I18" s="5">
        <f t="shared" si="7"/>
        <v>0</v>
      </c>
      <c r="J18" s="5">
        <f t="shared" si="7"/>
        <v>0</v>
      </c>
      <c r="K18" s="5">
        <f t="shared" si="7"/>
        <v>0</v>
      </c>
      <c r="L18" s="5">
        <f t="shared" si="7"/>
        <v>0</v>
      </c>
      <c r="M18" s="5">
        <f t="shared" si="7"/>
        <v>0</v>
      </c>
      <c r="N18" s="5">
        <f t="shared" si="7"/>
        <v>0</v>
      </c>
      <c r="O18" s="5">
        <f t="shared" si="7"/>
        <v>0</v>
      </c>
      <c r="P18" s="5">
        <f t="shared" si="7"/>
        <v>0</v>
      </c>
      <c r="Q18" s="5">
        <f t="shared" si="7"/>
        <v>27322</v>
      </c>
      <c r="R18" s="23">
        <f t="shared" si="7"/>
        <v>0</v>
      </c>
    </row>
    <row r="19" spans="1:18" s="4" customFormat="1" ht="15">
      <c r="A19" s="53" t="s">
        <v>23</v>
      </c>
      <c r="B19" s="54" t="s">
        <v>21</v>
      </c>
      <c r="C19" s="6">
        <v>86066</v>
      </c>
      <c r="D19" s="7">
        <f>C19*0.22</f>
        <v>18934.52</v>
      </c>
      <c r="E19" s="6">
        <f>C19+D19</f>
        <v>105000.52</v>
      </c>
      <c r="F19" s="37">
        <v>27322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>F19</f>
        <v>27322</v>
      </c>
      <c r="R19" s="24"/>
    </row>
    <row r="20" spans="1:18" s="4" customFormat="1" ht="15">
      <c r="A20" s="51" t="s">
        <v>26</v>
      </c>
      <c r="B20" s="52" t="s">
        <v>155</v>
      </c>
      <c r="C20" s="5">
        <f>SUM(C21)</f>
        <v>122952</v>
      </c>
      <c r="D20" s="5">
        <f>SUM(D21)</f>
        <v>27049.44</v>
      </c>
      <c r="E20" s="5">
        <f>SUM(E21)</f>
        <v>150001.44</v>
      </c>
      <c r="F20" s="36">
        <f>SUM(F21:F23)</f>
        <v>58197</v>
      </c>
      <c r="G20" s="5">
        <f aca="true" t="shared" si="8" ref="G20:R20">SUM(G21:G23)</f>
        <v>0</v>
      </c>
      <c r="H20" s="5">
        <f t="shared" si="8"/>
        <v>0</v>
      </c>
      <c r="I20" s="5">
        <f t="shared" si="8"/>
        <v>0</v>
      </c>
      <c r="J20" s="5">
        <f t="shared" si="8"/>
        <v>0</v>
      </c>
      <c r="K20" s="5">
        <f t="shared" si="8"/>
        <v>0</v>
      </c>
      <c r="L20" s="5">
        <f t="shared" si="8"/>
        <v>20000</v>
      </c>
      <c r="M20" s="5">
        <f t="shared" si="8"/>
        <v>0</v>
      </c>
      <c r="N20" s="5">
        <f t="shared" si="8"/>
        <v>0</v>
      </c>
      <c r="O20" s="5">
        <f t="shared" si="8"/>
        <v>0</v>
      </c>
      <c r="P20" s="5">
        <f t="shared" si="8"/>
        <v>0</v>
      </c>
      <c r="Q20" s="5">
        <f t="shared" si="8"/>
        <v>38197</v>
      </c>
      <c r="R20" s="23">
        <f t="shared" si="8"/>
        <v>0</v>
      </c>
    </row>
    <row r="21" spans="1:18" s="4" customFormat="1" ht="24">
      <c r="A21" s="53" t="s">
        <v>27</v>
      </c>
      <c r="B21" s="76" t="s">
        <v>25</v>
      </c>
      <c r="C21" s="6">
        <f>40984*3</f>
        <v>122952</v>
      </c>
      <c r="D21" s="7">
        <f>C21*0.22</f>
        <v>27049.44</v>
      </c>
      <c r="E21" s="6">
        <f>C21+D21</f>
        <v>150001.44</v>
      </c>
      <c r="F21" s="39">
        <v>37705</v>
      </c>
      <c r="G21" s="7"/>
      <c r="H21" s="7"/>
      <c r="I21" s="7"/>
      <c r="J21" s="7"/>
      <c r="K21" s="7"/>
      <c r="L21" s="7">
        <f>+F21*0.4</f>
        <v>15082</v>
      </c>
      <c r="M21" s="7"/>
      <c r="N21" s="7"/>
      <c r="O21" s="7"/>
      <c r="P21" s="7"/>
      <c r="Q21" s="7">
        <f>+F21*0.6</f>
        <v>22623</v>
      </c>
      <c r="R21" s="26"/>
    </row>
    <row r="22" spans="1:18" s="4" customFormat="1" ht="15">
      <c r="A22" s="53" t="s">
        <v>156</v>
      </c>
      <c r="B22" s="76" t="s">
        <v>20</v>
      </c>
      <c r="C22" s="6"/>
      <c r="D22" s="7"/>
      <c r="E22" s="6"/>
      <c r="F22" s="39">
        <v>12295</v>
      </c>
      <c r="G22" s="7"/>
      <c r="H22" s="7"/>
      <c r="I22" s="7"/>
      <c r="J22" s="7"/>
      <c r="K22" s="7"/>
      <c r="L22" s="7">
        <f>+F22*0.4</f>
        <v>4918</v>
      </c>
      <c r="M22" s="7"/>
      <c r="N22" s="7"/>
      <c r="O22" s="7"/>
      <c r="P22" s="7"/>
      <c r="Q22" s="7">
        <f>+F22*0.6</f>
        <v>7377</v>
      </c>
      <c r="R22" s="26"/>
    </row>
    <row r="23" spans="1:18" s="4" customFormat="1" ht="24">
      <c r="A23" s="53" t="s">
        <v>157</v>
      </c>
      <c r="B23" s="76" t="s">
        <v>24</v>
      </c>
      <c r="C23" s="6"/>
      <c r="D23" s="7"/>
      <c r="E23" s="6"/>
      <c r="F23" s="39">
        <v>8197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>F23</f>
        <v>8197</v>
      </c>
      <c r="R23" s="26"/>
    </row>
    <row r="24" spans="1:18" s="4" customFormat="1" ht="15">
      <c r="A24" s="49">
        <v>1.3</v>
      </c>
      <c r="B24" s="50" t="s">
        <v>28</v>
      </c>
      <c r="C24" s="3" t="e">
        <f>C25+#REF!+C28</f>
        <v>#REF!</v>
      </c>
      <c r="D24" s="3" t="e">
        <f>D25+#REF!+D28</f>
        <v>#REF!</v>
      </c>
      <c r="E24" s="3" t="e">
        <f>E25+#REF!+E28</f>
        <v>#REF!</v>
      </c>
      <c r="F24" s="35">
        <f>F25+F28+F31</f>
        <v>200821</v>
      </c>
      <c r="G24" s="3">
        <f aca="true" t="shared" si="9" ref="G24:R24">G25+G28+G31</f>
        <v>0</v>
      </c>
      <c r="H24" s="3">
        <f t="shared" si="9"/>
        <v>0</v>
      </c>
      <c r="I24" s="3">
        <f t="shared" si="9"/>
        <v>0</v>
      </c>
      <c r="J24" s="3">
        <f t="shared" si="9"/>
        <v>0</v>
      </c>
      <c r="K24" s="3">
        <f t="shared" si="9"/>
        <v>0</v>
      </c>
      <c r="L24" s="3">
        <f t="shared" si="9"/>
        <v>0</v>
      </c>
      <c r="M24" s="3">
        <f t="shared" si="9"/>
        <v>180329</v>
      </c>
      <c r="N24" s="3">
        <f t="shared" si="9"/>
        <v>0</v>
      </c>
      <c r="O24" s="3">
        <f t="shared" si="9"/>
        <v>0</v>
      </c>
      <c r="P24" s="3">
        <f t="shared" si="9"/>
        <v>0</v>
      </c>
      <c r="Q24" s="3">
        <f t="shared" si="9"/>
        <v>20492.000000000004</v>
      </c>
      <c r="R24" s="22">
        <f t="shared" si="9"/>
        <v>0</v>
      </c>
    </row>
    <row r="25" spans="1:18" s="4" customFormat="1" ht="15">
      <c r="A25" s="51" t="s">
        <v>29</v>
      </c>
      <c r="B25" s="52" t="s">
        <v>30</v>
      </c>
      <c r="C25" s="5">
        <f aca="true" t="shared" si="10" ref="C25:R25">SUM(C26:C27)</f>
        <v>102459</v>
      </c>
      <c r="D25" s="5">
        <f t="shared" si="10"/>
        <v>22540.980000000003</v>
      </c>
      <c r="E25" s="5">
        <f t="shared" si="10"/>
        <v>124999.98000000001</v>
      </c>
      <c r="F25" s="36">
        <f t="shared" si="10"/>
        <v>51230</v>
      </c>
      <c r="G25" s="5">
        <f t="shared" si="10"/>
        <v>0</v>
      </c>
      <c r="H25" s="5">
        <f t="shared" si="10"/>
        <v>0</v>
      </c>
      <c r="I25" s="5">
        <f t="shared" si="10"/>
        <v>0</v>
      </c>
      <c r="J25" s="5">
        <f t="shared" si="10"/>
        <v>0</v>
      </c>
      <c r="K25" s="5">
        <f t="shared" si="10"/>
        <v>0</v>
      </c>
      <c r="L25" s="5">
        <f t="shared" si="10"/>
        <v>0</v>
      </c>
      <c r="M25" s="5">
        <f t="shared" si="10"/>
        <v>30737.999999999996</v>
      </c>
      <c r="N25" s="5">
        <f t="shared" si="10"/>
        <v>0</v>
      </c>
      <c r="O25" s="5">
        <f t="shared" si="10"/>
        <v>0</v>
      </c>
      <c r="P25" s="5">
        <f t="shared" si="10"/>
        <v>0</v>
      </c>
      <c r="Q25" s="5">
        <f t="shared" si="10"/>
        <v>20492.000000000004</v>
      </c>
      <c r="R25" s="23">
        <f t="shared" si="10"/>
        <v>0</v>
      </c>
    </row>
    <row r="26" spans="1:18" s="4" customFormat="1" ht="15">
      <c r="A26" s="53" t="s">
        <v>31</v>
      </c>
      <c r="B26" s="54" t="s">
        <v>32</v>
      </c>
      <c r="C26" s="6">
        <v>81967</v>
      </c>
      <c r="D26" s="7">
        <f>C26*0.22</f>
        <v>18032.74</v>
      </c>
      <c r="E26" s="6">
        <f>C26+D26</f>
        <v>99999.74</v>
      </c>
      <c r="F26" s="39">
        <v>40984</v>
      </c>
      <c r="G26" s="7"/>
      <c r="H26" s="7"/>
      <c r="I26" s="7"/>
      <c r="J26" s="7"/>
      <c r="K26" s="7"/>
      <c r="L26" s="7"/>
      <c r="M26" s="7">
        <f>+F26*0.6</f>
        <v>24590.399999999998</v>
      </c>
      <c r="N26" s="7"/>
      <c r="O26" s="7"/>
      <c r="P26" s="7"/>
      <c r="Q26" s="7">
        <f>+F26*0.4</f>
        <v>16393.600000000002</v>
      </c>
      <c r="R26" s="26"/>
    </row>
    <row r="27" spans="1:18" s="4" customFormat="1" ht="15">
      <c r="A27" s="53" t="s">
        <v>33</v>
      </c>
      <c r="B27" s="54" t="s">
        <v>34</v>
      </c>
      <c r="C27" s="6">
        <v>20492</v>
      </c>
      <c r="D27" s="7">
        <f>C27*0.22</f>
        <v>4508.24</v>
      </c>
      <c r="E27" s="6">
        <f>C27+D27</f>
        <v>25000.239999999998</v>
      </c>
      <c r="F27" s="39">
        <v>10246</v>
      </c>
      <c r="G27" s="7"/>
      <c r="H27" s="7"/>
      <c r="I27" s="7"/>
      <c r="J27" s="7"/>
      <c r="K27" s="7"/>
      <c r="L27" s="7"/>
      <c r="M27" s="7">
        <f>+F27*0.6</f>
        <v>6147.599999999999</v>
      </c>
      <c r="N27" s="7"/>
      <c r="O27" s="7"/>
      <c r="P27" s="7"/>
      <c r="Q27" s="7">
        <f>+F27*0.4</f>
        <v>4098.400000000001</v>
      </c>
      <c r="R27" s="26"/>
    </row>
    <row r="28" spans="1:18" s="4" customFormat="1" ht="24">
      <c r="A28" s="51" t="s">
        <v>37</v>
      </c>
      <c r="B28" s="52" t="s">
        <v>158</v>
      </c>
      <c r="C28" s="5">
        <f aca="true" t="shared" si="11" ref="C28:R28">SUM(C29:C30)</f>
        <v>295083</v>
      </c>
      <c r="D28" s="5">
        <f t="shared" si="11"/>
        <v>64918.259999999995</v>
      </c>
      <c r="E28" s="5">
        <f t="shared" si="11"/>
        <v>360001.26</v>
      </c>
      <c r="F28" s="36">
        <f t="shared" si="11"/>
        <v>137295</v>
      </c>
      <c r="G28" s="5">
        <f t="shared" si="11"/>
        <v>0</v>
      </c>
      <c r="H28" s="5">
        <f t="shared" si="11"/>
        <v>0</v>
      </c>
      <c r="I28" s="5">
        <f t="shared" si="11"/>
        <v>0</v>
      </c>
      <c r="J28" s="5">
        <f t="shared" si="11"/>
        <v>0</v>
      </c>
      <c r="K28" s="5">
        <f t="shared" si="11"/>
        <v>0</v>
      </c>
      <c r="L28" s="5">
        <f t="shared" si="11"/>
        <v>0</v>
      </c>
      <c r="M28" s="5">
        <f t="shared" si="11"/>
        <v>137295</v>
      </c>
      <c r="N28" s="5">
        <f t="shared" si="11"/>
        <v>0</v>
      </c>
      <c r="O28" s="5">
        <f t="shared" si="11"/>
        <v>0</v>
      </c>
      <c r="P28" s="5">
        <f t="shared" si="11"/>
        <v>0</v>
      </c>
      <c r="Q28" s="5">
        <f t="shared" si="11"/>
        <v>0</v>
      </c>
      <c r="R28" s="23">
        <f t="shared" si="11"/>
        <v>0</v>
      </c>
    </row>
    <row r="29" spans="1:18" s="4" customFormat="1" ht="15">
      <c r="A29" s="53" t="s">
        <v>147</v>
      </c>
      <c r="B29" s="54" t="s">
        <v>39</v>
      </c>
      <c r="C29" s="6">
        <f>20492+204918</f>
        <v>225410</v>
      </c>
      <c r="D29" s="7">
        <f>C29*0.22</f>
        <v>49590.2</v>
      </c>
      <c r="E29" s="6">
        <f>C29+D29</f>
        <v>275000.2</v>
      </c>
      <c r="F29" s="69">
        <v>102459</v>
      </c>
      <c r="G29" s="7"/>
      <c r="H29" s="7"/>
      <c r="I29" s="7"/>
      <c r="J29" s="7"/>
      <c r="K29" s="7"/>
      <c r="L29" s="7"/>
      <c r="M29" s="70">
        <f>+F29</f>
        <v>102459</v>
      </c>
      <c r="N29" s="7"/>
      <c r="O29" s="7"/>
      <c r="P29" s="7"/>
      <c r="Q29" s="7"/>
      <c r="R29" s="26"/>
    </row>
    <row r="30" spans="1:18" s="4" customFormat="1" ht="15">
      <c r="A30" s="53" t="s">
        <v>159</v>
      </c>
      <c r="B30" s="54" t="s">
        <v>41</v>
      </c>
      <c r="C30" s="6">
        <f>8197+40984+20492</f>
        <v>69673</v>
      </c>
      <c r="D30" s="7">
        <f>C30*0.22</f>
        <v>15328.06</v>
      </c>
      <c r="E30" s="6">
        <f>C30+D30</f>
        <v>85001.06</v>
      </c>
      <c r="F30" s="69">
        <v>34836</v>
      </c>
      <c r="G30" s="7"/>
      <c r="H30" s="7"/>
      <c r="I30" s="7"/>
      <c r="J30" s="7"/>
      <c r="K30" s="7"/>
      <c r="L30" s="7"/>
      <c r="M30" s="70">
        <f>+F30</f>
        <v>34836</v>
      </c>
      <c r="N30" s="7"/>
      <c r="O30" s="7"/>
      <c r="P30" s="7"/>
      <c r="Q30" s="7"/>
      <c r="R30" s="26"/>
    </row>
    <row r="31" spans="1:18" s="4" customFormat="1" ht="21.75" customHeight="1">
      <c r="A31" s="51" t="s">
        <v>38</v>
      </c>
      <c r="B31" s="52" t="s">
        <v>160</v>
      </c>
      <c r="C31" s="5">
        <f>SUM(C33:C33)</f>
        <v>32787</v>
      </c>
      <c r="D31" s="5">
        <f>SUM(D33:D33)</f>
        <v>7213.14</v>
      </c>
      <c r="E31" s="5">
        <f>SUM(E33:E33)</f>
        <v>40000.14</v>
      </c>
      <c r="F31" s="36">
        <f>SUM(F32:F33)</f>
        <v>12296</v>
      </c>
      <c r="G31" s="5">
        <f aca="true" t="shared" si="12" ref="G31:R31">SUM(G32:G33)</f>
        <v>0</v>
      </c>
      <c r="H31" s="5">
        <f t="shared" si="12"/>
        <v>0</v>
      </c>
      <c r="I31" s="5">
        <f t="shared" si="12"/>
        <v>0</v>
      </c>
      <c r="J31" s="5">
        <f t="shared" si="12"/>
        <v>0</v>
      </c>
      <c r="K31" s="5">
        <f t="shared" si="12"/>
        <v>0</v>
      </c>
      <c r="L31" s="5">
        <f t="shared" si="12"/>
        <v>0</v>
      </c>
      <c r="M31" s="5">
        <f t="shared" si="12"/>
        <v>12296</v>
      </c>
      <c r="N31" s="5">
        <f t="shared" si="12"/>
        <v>0</v>
      </c>
      <c r="O31" s="5">
        <f t="shared" si="12"/>
        <v>0</v>
      </c>
      <c r="P31" s="5">
        <f t="shared" si="12"/>
        <v>0</v>
      </c>
      <c r="Q31" s="5">
        <f t="shared" si="12"/>
        <v>0</v>
      </c>
      <c r="R31" s="23">
        <f t="shared" si="12"/>
        <v>0</v>
      </c>
    </row>
    <row r="32" spans="1:18" s="4" customFormat="1" ht="21.75" customHeight="1">
      <c r="A32" s="53" t="s">
        <v>40</v>
      </c>
      <c r="B32" s="76" t="s">
        <v>35</v>
      </c>
      <c r="C32" s="75"/>
      <c r="D32" s="75"/>
      <c r="E32" s="75"/>
      <c r="F32" s="39">
        <v>6148</v>
      </c>
      <c r="G32" s="75"/>
      <c r="H32" s="75"/>
      <c r="I32" s="75"/>
      <c r="J32" s="75"/>
      <c r="K32" s="75"/>
      <c r="L32" s="75"/>
      <c r="M32" s="7">
        <f>F32</f>
        <v>6148</v>
      </c>
      <c r="N32" s="75"/>
      <c r="O32" s="75"/>
      <c r="P32" s="75"/>
      <c r="Q32" s="75"/>
      <c r="R32" s="74"/>
    </row>
    <row r="33" spans="1:18" s="4" customFormat="1" ht="15">
      <c r="A33" s="53" t="s">
        <v>42</v>
      </c>
      <c r="B33" s="76" t="s">
        <v>36</v>
      </c>
      <c r="C33" s="6">
        <v>32787</v>
      </c>
      <c r="D33" s="7">
        <f>C33*0.22</f>
        <v>7213.14</v>
      </c>
      <c r="E33" s="6">
        <f>C33+D33</f>
        <v>40000.14</v>
      </c>
      <c r="F33" s="39">
        <v>6148</v>
      </c>
      <c r="G33" s="7"/>
      <c r="H33" s="7"/>
      <c r="I33" s="7"/>
      <c r="J33" s="7"/>
      <c r="K33" s="7"/>
      <c r="L33" s="7"/>
      <c r="M33" s="7">
        <f>F33</f>
        <v>6148</v>
      </c>
      <c r="N33" s="7"/>
      <c r="O33" s="7"/>
      <c r="P33" s="7"/>
      <c r="Q33" s="7"/>
      <c r="R33" s="26"/>
    </row>
    <row r="34" spans="1:18" ht="15">
      <c r="A34" s="55"/>
      <c r="B34" s="56" t="s">
        <v>43</v>
      </c>
      <c r="C34" s="57"/>
      <c r="D34" s="27" t="e">
        <f aca="true" t="shared" si="13" ref="D34:R34">D7</f>
        <v>#REF!</v>
      </c>
      <c r="E34" s="27" t="e">
        <f t="shared" si="13"/>
        <v>#REF!</v>
      </c>
      <c r="F34" s="40">
        <f t="shared" si="13"/>
        <v>421585.5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4918</v>
      </c>
      <c r="K34" s="27">
        <f t="shared" si="13"/>
        <v>7377</v>
      </c>
      <c r="L34" s="27">
        <f t="shared" si="13"/>
        <v>32295</v>
      </c>
      <c r="M34" s="27">
        <f t="shared" si="13"/>
        <v>246722.3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 t="shared" si="13"/>
        <v>130273.20000000001</v>
      </c>
      <c r="R34" s="28">
        <f t="shared" si="13"/>
        <v>0</v>
      </c>
    </row>
    <row r="35" spans="1:18" ht="24">
      <c r="A35" s="47">
        <v>2</v>
      </c>
      <c r="B35" s="48" t="s">
        <v>44</v>
      </c>
      <c r="C35" s="2" t="e">
        <f>C36+C41+C46+C52+C56</f>
        <v>#REF!</v>
      </c>
      <c r="D35" s="2" t="e">
        <f>D36+D41+D46+D52+D56</f>
        <v>#REF!</v>
      </c>
      <c r="E35" s="2" t="e">
        <f>E36+E41+E46+E52+E56</f>
        <v>#REF!</v>
      </c>
      <c r="F35" s="34">
        <f>F36+F41+F46+F52+F56</f>
        <v>238441</v>
      </c>
      <c r="G35" s="27">
        <f aca="true" t="shared" si="14" ref="G35:R35">G36+G41+G46+G52+G56</f>
        <v>0</v>
      </c>
      <c r="H35" s="27">
        <f t="shared" si="14"/>
        <v>0</v>
      </c>
      <c r="I35" s="27">
        <f t="shared" si="14"/>
        <v>0</v>
      </c>
      <c r="J35" s="27">
        <f t="shared" si="14"/>
        <v>45700</v>
      </c>
      <c r="K35" s="27">
        <f t="shared" si="14"/>
        <v>20218</v>
      </c>
      <c r="L35" s="27">
        <f t="shared" si="14"/>
        <v>68959</v>
      </c>
      <c r="M35" s="27">
        <f t="shared" si="14"/>
        <v>0</v>
      </c>
      <c r="N35" s="27">
        <f t="shared" si="14"/>
        <v>19918</v>
      </c>
      <c r="O35" s="27">
        <f t="shared" si="14"/>
        <v>0</v>
      </c>
      <c r="P35" s="27">
        <f t="shared" si="14"/>
        <v>24672.666666666664</v>
      </c>
      <c r="Q35" s="27">
        <f t="shared" si="14"/>
        <v>43095.66666666667</v>
      </c>
      <c r="R35" s="28">
        <f t="shared" si="14"/>
        <v>15877.666666666666</v>
      </c>
    </row>
    <row r="36" spans="1:18" ht="36">
      <c r="A36" s="49">
        <v>2.1</v>
      </c>
      <c r="B36" s="50" t="s">
        <v>45</v>
      </c>
      <c r="C36" s="3" t="e">
        <f>C37</f>
        <v>#REF!</v>
      </c>
      <c r="D36" s="3" t="e">
        <f>D37</f>
        <v>#REF!</v>
      </c>
      <c r="E36" s="3" t="e">
        <f>E37</f>
        <v>#REF!</v>
      </c>
      <c r="F36" s="35">
        <f>F37</f>
        <v>53500</v>
      </c>
      <c r="G36" s="3">
        <f aca="true" t="shared" si="15" ref="G36:R36">G37</f>
        <v>0</v>
      </c>
      <c r="H36" s="3">
        <f t="shared" si="15"/>
        <v>0</v>
      </c>
      <c r="I36" s="3">
        <f t="shared" si="15"/>
        <v>0</v>
      </c>
      <c r="J36" s="3">
        <f t="shared" si="15"/>
        <v>7700</v>
      </c>
      <c r="K36" s="3">
        <f t="shared" si="15"/>
        <v>0</v>
      </c>
      <c r="L36" s="3">
        <f t="shared" si="15"/>
        <v>15400</v>
      </c>
      <c r="M36" s="3">
        <f t="shared" si="15"/>
        <v>0</v>
      </c>
      <c r="N36" s="3">
        <f t="shared" si="15"/>
        <v>7700</v>
      </c>
      <c r="O36" s="3">
        <f t="shared" si="15"/>
        <v>0</v>
      </c>
      <c r="P36" s="3">
        <f t="shared" si="15"/>
        <v>12700</v>
      </c>
      <c r="Q36" s="3">
        <f t="shared" si="15"/>
        <v>5000</v>
      </c>
      <c r="R36" s="22">
        <f t="shared" si="15"/>
        <v>5000</v>
      </c>
    </row>
    <row r="37" spans="1:18" ht="24">
      <c r="A37" s="51" t="s">
        <v>46</v>
      </c>
      <c r="B37" s="52" t="s">
        <v>47</v>
      </c>
      <c r="C37" s="5" t="e">
        <f>#REF!+#REF!</f>
        <v>#REF!</v>
      </c>
      <c r="D37" s="5" t="e">
        <f>#REF!+#REF!</f>
        <v>#REF!</v>
      </c>
      <c r="E37" s="5" t="e">
        <f>#REF!+#REF!</f>
        <v>#REF!</v>
      </c>
      <c r="F37" s="36">
        <f>SUM(F38:F40)</f>
        <v>53500</v>
      </c>
      <c r="G37" s="5">
        <f aca="true" t="shared" si="16" ref="G37:R37">SUM(G38:G40)</f>
        <v>0</v>
      </c>
      <c r="H37" s="5">
        <f t="shared" si="16"/>
        <v>0</v>
      </c>
      <c r="I37" s="5">
        <f t="shared" si="16"/>
        <v>0</v>
      </c>
      <c r="J37" s="5">
        <f t="shared" si="16"/>
        <v>7700</v>
      </c>
      <c r="K37" s="5">
        <f t="shared" si="16"/>
        <v>0</v>
      </c>
      <c r="L37" s="5">
        <f t="shared" si="16"/>
        <v>15400</v>
      </c>
      <c r="M37" s="5">
        <f t="shared" si="16"/>
        <v>0</v>
      </c>
      <c r="N37" s="5">
        <f t="shared" si="16"/>
        <v>7700</v>
      </c>
      <c r="O37" s="5">
        <f t="shared" si="16"/>
        <v>0</v>
      </c>
      <c r="P37" s="5">
        <f t="shared" si="16"/>
        <v>12700</v>
      </c>
      <c r="Q37" s="5">
        <f t="shared" si="16"/>
        <v>5000</v>
      </c>
      <c r="R37" s="23">
        <f t="shared" si="16"/>
        <v>5000</v>
      </c>
    </row>
    <row r="38" spans="1:18" ht="24">
      <c r="A38" s="53" t="s">
        <v>48</v>
      </c>
      <c r="B38" s="54" t="s">
        <v>49</v>
      </c>
      <c r="C38" s="6">
        <v>84000</v>
      </c>
      <c r="D38" s="6">
        <f>C38*0.22</f>
        <v>18480</v>
      </c>
      <c r="E38" s="9">
        <f>C38+D38</f>
        <v>102480</v>
      </c>
      <c r="F38" s="37">
        <v>6000</v>
      </c>
      <c r="G38" s="6"/>
      <c r="H38" s="6"/>
      <c r="I38" s="6"/>
      <c r="J38" s="6"/>
      <c r="K38" s="6"/>
      <c r="L38" s="6"/>
      <c r="M38" s="6"/>
      <c r="N38" s="6"/>
      <c r="O38" s="6"/>
      <c r="P38" s="6">
        <f>$F$38/3</f>
        <v>2000</v>
      </c>
      <c r="Q38" s="6">
        <f>$F$38/3</f>
        <v>2000</v>
      </c>
      <c r="R38" s="26">
        <f>$F$38/3</f>
        <v>2000</v>
      </c>
    </row>
    <row r="39" spans="1:18" ht="24">
      <c r="A39" s="53" t="s">
        <v>50</v>
      </c>
      <c r="B39" s="54" t="s">
        <v>51</v>
      </c>
      <c r="C39" s="6">
        <v>126000</v>
      </c>
      <c r="D39" s="6">
        <f>C39*0.22</f>
        <v>27720</v>
      </c>
      <c r="E39" s="9">
        <f>C39+D39</f>
        <v>153720</v>
      </c>
      <c r="F39" s="37">
        <v>9000</v>
      </c>
      <c r="G39" s="6"/>
      <c r="H39" s="6"/>
      <c r="I39" s="6"/>
      <c r="J39" s="6"/>
      <c r="K39" s="6"/>
      <c r="L39" s="6"/>
      <c r="M39" s="6"/>
      <c r="N39" s="6"/>
      <c r="O39" s="6"/>
      <c r="P39" s="6">
        <f>$F$39/3</f>
        <v>3000</v>
      </c>
      <c r="Q39" s="6">
        <f>$F$39/3</f>
        <v>3000</v>
      </c>
      <c r="R39" s="26">
        <f>$F$39/3</f>
        <v>3000</v>
      </c>
    </row>
    <row r="40" spans="1:18" s="4" customFormat="1" ht="15">
      <c r="A40" s="53" t="s">
        <v>52</v>
      </c>
      <c r="B40" s="58" t="s">
        <v>53</v>
      </c>
      <c r="C40" s="6"/>
      <c r="D40" s="6"/>
      <c r="E40" s="9"/>
      <c r="F40" s="37">
        <v>38500</v>
      </c>
      <c r="G40" s="6"/>
      <c r="H40" s="6"/>
      <c r="I40" s="6"/>
      <c r="J40" s="6">
        <f>$F$40*0.2</f>
        <v>7700</v>
      </c>
      <c r="K40" s="6"/>
      <c r="L40" s="6">
        <f>$F$40*0.4</f>
        <v>15400</v>
      </c>
      <c r="M40" s="6"/>
      <c r="N40" s="6">
        <f>$F$40*0.2</f>
        <v>7700</v>
      </c>
      <c r="O40" s="6"/>
      <c r="P40" s="6">
        <f>$F$40*0.2</f>
        <v>7700</v>
      </c>
      <c r="Q40" s="6"/>
      <c r="R40" s="74"/>
    </row>
    <row r="41" spans="1:18" ht="24">
      <c r="A41" s="49">
        <v>2.2</v>
      </c>
      <c r="B41" s="59" t="s">
        <v>55</v>
      </c>
      <c r="C41" s="3" t="e">
        <f>C42</f>
        <v>#REF!</v>
      </c>
      <c r="D41" s="3" t="e">
        <f>D42</f>
        <v>#REF!</v>
      </c>
      <c r="E41" s="3" t="e">
        <f>E42</f>
        <v>#REF!</v>
      </c>
      <c r="F41" s="35">
        <f>F42</f>
        <v>57095</v>
      </c>
      <c r="G41" s="3">
        <f aca="true" t="shared" si="17" ref="G41:R41">G42</f>
        <v>0</v>
      </c>
      <c r="H41" s="3">
        <f t="shared" si="17"/>
        <v>0</v>
      </c>
      <c r="I41" s="3">
        <f t="shared" si="17"/>
        <v>0</v>
      </c>
      <c r="J41" s="3">
        <f t="shared" si="17"/>
        <v>38000</v>
      </c>
      <c r="K41" s="3">
        <f t="shared" si="17"/>
        <v>0</v>
      </c>
      <c r="L41" s="3">
        <f t="shared" si="17"/>
        <v>0</v>
      </c>
      <c r="M41" s="3">
        <f t="shared" si="17"/>
        <v>0</v>
      </c>
      <c r="N41" s="3">
        <f t="shared" si="17"/>
        <v>0</v>
      </c>
      <c r="O41" s="3">
        <f t="shared" si="17"/>
        <v>0</v>
      </c>
      <c r="P41" s="3">
        <f t="shared" si="17"/>
        <v>7095</v>
      </c>
      <c r="Q41" s="3">
        <f t="shared" si="17"/>
        <v>6000</v>
      </c>
      <c r="R41" s="22">
        <f t="shared" si="17"/>
        <v>6000</v>
      </c>
    </row>
    <row r="42" spans="1:18" ht="15">
      <c r="A42" s="60" t="s">
        <v>56</v>
      </c>
      <c r="B42" s="61" t="s">
        <v>57</v>
      </c>
      <c r="C42" s="10" t="e">
        <f>#REF!+#REF!</f>
        <v>#REF!</v>
      </c>
      <c r="D42" s="10" t="e">
        <f>#REF!+#REF!</f>
        <v>#REF!</v>
      </c>
      <c r="E42" s="10" t="e">
        <f>#REF!+#REF!</f>
        <v>#REF!</v>
      </c>
      <c r="F42" s="41">
        <f>SUM(F43:F45)</f>
        <v>57095</v>
      </c>
      <c r="G42" s="5">
        <f aca="true" t="shared" si="18" ref="G42:R42">SUM(G43:G45)</f>
        <v>0</v>
      </c>
      <c r="H42" s="5">
        <f t="shared" si="18"/>
        <v>0</v>
      </c>
      <c r="I42" s="5">
        <f t="shared" si="18"/>
        <v>0</v>
      </c>
      <c r="J42" s="5">
        <f t="shared" si="18"/>
        <v>38000</v>
      </c>
      <c r="K42" s="5">
        <f t="shared" si="18"/>
        <v>0</v>
      </c>
      <c r="L42" s="5">
        <f t="shared" si="18"/>
        <v>0</v>
      </c>
      <c r="M42" s="5">
        <f t="shared" si="18"/>
        <v>0</v>
      </c>
      <c r="N42" s="5">
        <f t="shared" si="18"/>
        <v>0</v>
      </c>
      <c r="O42" s="5">
        <f t="shared" si="18"/>
        <v>0</v>
      </c>
      <c r="P42" s="5">
        <f t="shared" si="18"/>
        <v>7095</v>
      </c>
      <c r="Q42" s="5">
        <f t="shared" si="18"/>
        <v>6000</v>
      </c>
      <c r="R42" s="23">
        <f t="shared" si="18"/>
        <v>6000</v>
      </c>
    </row>
    <row r="43" spans="1:18" s="4" customFormat="1" ht="15">
      <c r="A43" s="53" t="s">
        <v>58</v>
      </c>
      <c r="B43" s="58" t="s">
        <v>59</v>
      </c>
      <c r="C43" s="6">
        <v>20000</v>
      </c>
      <c r="D43" s="6">
        <f>C43*0.22</f>
        <v>4400</v>
      </c>
      <c r="E43" s="9">
        <f>C43+D43</f>
        <v>24400</v>
      </c>
      <c r="F43" s="37">
        <v>38000</v>
      </c>
      <c r="G43" s="6"/>
      <c r="H43" s="6"/>
      <c r="I43" s="6"/>
      <c r="J43" s="6">
        <f>F43</f>
        <v>38000</v>
      </c>
      <c r="K43" s="6"/>
      <c r="L43" s="6"/>
      <c r="M43" s="6"/>
      <c r="N43" s="6"/>
      <c r="O43" s="6"/>
      <c r="P43" s="6"/>
      <c r="Q43" s="6"/>
      <c r="R43" s="24"/>
    </row>
    <row r="44" spans="1:18" ht="15">
      <c r="A44" s="53" t="s">
        <v>60</v>
      </c>
      <c r="B44" s="54" t="s">
        <v>61</v>
      </c>
      <c r="C44" s="6">
        <v>252000</v>
      </c>
      <c r="D44" s="6">
        <f>C44*0.22</f>
        <v>55440</v>
      </c>
      <c r="E44" s="9">
        <f>C44+D44</f>
        <v>307440</v>
      </c>
      <c r="F44" s="37">
        <v>18000</v>
      </c>
      <c r="G44" s="6"/>
      <c r="H44" s="6"/>
      <c r="I44" s="6"/>
      <c r="J44" s="6"/>
      <c r="K44" s="6"/>
      <c r="L44" s="6"/>
      <c r="M44" s="6"/>
      <c r="N44" s="6"/>
      <c r="O44" s="6"/>
      <c r="P44" s="6">
        <f>$F$44/3</f>
        <v>6000</v>
      </c>
      <c r="Q44" s="6">
        <f>$F$44/3</f>
        <v>6000</v>
      </c>
      <c r="R44" s="26">
        <f>$F$44/3</f>
        <v>6000</v>
      </c>
    </row>
    <row r="45" spans="1:18" ht="15">
      <c r="A45" s="77" t="s">
        <v>161</v>
      </c>
      <c r="B45" s="76" t="s">
        <v>54</v>
      </c>
      <c r="C45" s="6"/>
      <c r="D45" s="6"/>
      <c r="E45" s="9"/>
      <c r="F45" s="37">
        <v>1095</v>
      </c>
      <c r="G45" s="6"/>
      <c r="H45" s="6"/>
      <c r="I45" s="6"/>
      <c r="J45" s="6"/>
      <c r="K45" s="6"/>
      <c r="L45" s="6"/>
      <c r="M45" s="6"/>
      <c r="N45" s="6"/>
      <c r="O45" s="6"/>
      <c r="P45" s="6">
        <f>F45</f>
        <v>1095</v>
      </c>
      <c r="Q45" s="6"/>
      <c r="R45" s="26"/>
    </row>
    <row r="46" spans="1:18" ht="24">
      <c r="A46" s="49">
        <v>2.3</v>
      </c>
      <c r="B46" s="59" t="s">
        <v>62</v>
      </c>
      <c r="C46" s="3" t="e">
        <f>C47</f>
        <v>#REF!</v>
      </c>
      <c r="D46" s="3" t="e">
        <f>D47</f>
        <v>#REF!</v>
      </c>
      <c r="E46" s="3" t="e">
        <f>E47</f>
        <v>#REF!</v>
      </c>
      <c r="F46" s="35">
        <f>F47</f>
        <v>34633</v>
      </c>
      <c r="G46" s="3">
        <f aca="true" t="shared" si="19" ref="G46:R46">G47</f>
        <v>0</v>
      </c>
      <c r="H46" s="3">
        <f t="shared" si="19"/>
        <v>0</v>
      </c>
      <c r="I46" s="3">
        <f t="shared" si="19"/>
        <v>0</v>
      </c>
      <c r="J46" s="3">
        <f t="shared" si="19"/>
        <v>0</v>
      </c>
      <c r="K46" s="3">
        <f t="shared" si="19"/>
        <v>8000</v>
      </c>
      <c r="L46" s="3">
        <f t="shared" si="19"/>
        <v>0</v>
      </c>
      <c r="M46" s="3">
        <f t="shared" si="19"/>
        <v>0</v>
      </c>
      <c r="N46" s="3">
        <f t="shared" si="19"/>
        <v>0</v>
      </c>
      <c r="O46" s="3">
        <f t="shared" si="19"/>
        <v>0</v>
      </c>
      <c r="P46" s="3">
        <f t="shared" si="19"/>
        <v>4877.666666666666</v>
      </c>
      <c r="Q46" s="3">
        <f t="shared" si="19"/>
        <v>16877.666666666668</v>
      </c>
      <c r="R46" s="22">
        <f t="shared" si="19"/>
        <v>4877.666666666666</v>
      </c>
    </row>
    <row r="47" spans="1:18" ht="24">
      <c r="A47" s="60" t="s">
        <v>63</v>
      </c>
      <c r="B47" s="61" t="s">
        <v>64</v>
      </c>
      <c r="C47" s="10" t="e">
        <f>#REF!+#REF!</f>
        <v>#REF!</v>
      </c>
      <c r="D47" s="10" t="e">
        <f>#REF!+#REF!</f>
        <v>#REF!</v>
      </c>
      <c r="E47" s="10" t="e">
        <f>#REF!+#REF!</f>
        <v>#REF!</v>
      </c>
      <c r="F47" s="41">
        <f>SUM(F48:F51)</f>
        <v>34633</v>
      </c>
      <c r="G47" s="5">
        <f aca="true" t="shared" si="20" ref="G47:R47">SUM(G48:G51)</f>
        <v>0</v>
      </c>
      <c r="H47" s="5">
        <f t="shared" si="20"/>
        <v>0</v>
      </c>
      <c r="I47" s="5">
        <f t="shared" si="20"/>
        <v>0</v>
      </c>
      <c r="J47" s="5">
        <f t="shared" si="20"/>
        <v>0</v>
      </c>
      <c r="K47" s="5">
        <f t="shared" si="20"/>
        <v>8000</v>
      </c>
      <c r="L47" s="5">
        <f t="shared" si="20"/>
        <v>0</v>
      </c>
      <c r="M47" s="5">
        <f t="shared" si="20"/>
        <v>0</v>
      </c>
      <c r="N47" s="5">
        <f t="shared" si="20"/>
        <v>0</v>
      </c>
      <c r="O47" s="5">
        <f t="shared" si="20"/>
        <v>0</v>
      </c>
      <c r="P47" s="5">
        <f t="shared" si="20"/>
        <v>4877.666666666666</v>
      </c>
      <c r="Q47" s="5">
        <f t="shared" si="20"/>
        <v>16877.666666666668</v>
      </c>
      <c r="R47" s="23">
        <f t="shared" si="20"/>
        <v>4877.666666666666</v>
      </c>
    </row>
    <row r="48" spans="1:18" ht="15">
      <c r="A48" s="53" t="s">
        <v>65</v>
      </c>
      <c r="B48" s="58" t="s">
        <v>66</v>
      </c>
      <c r="C48" s="6">
        <v>20000</v>
      </c>
      <c r="D48" s="6">
        <f>C48*0.22</f>
        <v>4400</v>
      </c>
      <c r="E48" s="9">
        <f>C48+D48</f>
        <v>24400</v>
      </c>
      <c r="F48" s="37">
        <v>20000</v>
      </c>
      <c r="G48" s="6"/>
      <c r="H48" s="6"/>
      <c r="I48" s="6"/>
      <c r="J48" s="6"/>
      <c r="K48" s="6">
        <f>20000*0.4</f>
        <v>8000</v>
      </c>
      <c r="L48" s="6"/>
      <c r="M48" s="6"/>
      <c r="N48" s="6"/>
      <c r="O48" s="6"/>
      <c r="P48" s="6"/>
      <c r="Q48" s="6">
        <f>20000*0.6</f>
        <v>12000</v>
      </c>
      <c r="R48" s="24"/>
    </row>
    <row r="49" spans="1:18" s="4" customFormat="1" ht="15">
      <c r="A49" s="53" t="s">
        <v>67</v>
      </c>
      <c r="B49" s="72" t="s">
        <v>68</v>
      </c>
      <c r="C49" s="11"/>
      <c r="D49" s="11"/>
      <c r="E49" s="11"/>
      <c r="F49" s="71">
        <v>4213</v>
      </c>
      <c r="G49" s="11"/>
      <c r="H49" s="11"/>
      <c r="I49" s="11"/>
      <c r="J49" s="11"/>
      <c r="K49" s="11"/>
      <c r="L49" s="11"/>
      <c r="M49" s="11"/>
      <c r="N49" s="11"/>
      <c r="O49" s="11"/>
      <c r="P49" s="73">
        <f>$F$49/3</f>
        <v>1404.3333333333333</v>
      </c>
      <c r="Q49" s="73">
        <f>$F$49/3</f>
        <v>1404.3333333333333</v>
      </c>
      <c r="R49" s="24">
        <f>$F$49/3</f>
        <v>1404.3333333333333</v>
      </c>
    </row>
    <row r="50" spans="1:18" s="4" customFormat="1" ht="15">
      <c r="A50" s="53" t="s">
        <v>162</v>
      </c>
      <c r="B50" s="54" t="s">
        <v>148</v>
      </c>
      <c r="C50" s="6">
        <v>270000</v>
      </c>
      <c r="D50" s="6">
        <f>C50*0.22</f>
        <v>59400</v>
      </c>
      <c r="E50" s="9">
        <f>C50+D50</f>
        <v>329400</v>
      </c>
      <c r="F50" s="37">
        <v>9600</v>
      </c>
      <c r="G50" s="6"/>
      <c r="H50" s="6"/>
      <c r="I50" s="6"/>
      <c r="J50" s="6"/>
      <c r="K50" s="6"/>
      <c r="L50" s="6"/>
      <c r="M50" s="6"/>
      <c r="N50" s="6"/>
      <c r="O50" s="6"/>
      <c r="P50" s="6">
        <f>$F$50/3</f>
        <v>3200</v>
      </c>
      <c r="Q50" s="6">
        <f>$F$50/3</f>
        <v>3200</v>
      </c>
      <c r="R50" s="24">
        <f>$F$50/3</f>
        <v>3200</v>
      </c>
    </row>
    <row r="51" spans="1:18" ht="15">
      <c r="A51" s="53" t="s">
        <v>163</v>
      </c>
      <c r="B51" s="54" t="s">
        <v>69</v>
      </c>
      <c r="C51" s="6">
        <f>15000/1.22</f>
        <v>12295.081967213115</v>
      </c>
      <c r="D51" s="6">
        <f>C51*0.22</f>
        <v>2704.9180327868853</v>
      </c>
      <c r="E51" s="9">
        <f>C51+D51</f>
        <v>15000</v>
      </c>
      <c r="F51" s="37">
        <v>820</v>
      </c>
      <c r="G51" s="6"/>
      <c r="H51" s="6"/>
      <c r="I51" s="6"/>
      <c r="J51" s="6"/>
      <c r="K51" s="6"/>
      <c r="L51" s="6"/>
      <c r="M51" s="6"/>
      <c r="N51" s="6"/>
      <c r="O51" s="6"/>
      <c r="P51" s="6">
        <f>$F$51/3</f>
        <v>273.3333333333333</v>
      </c>
      <c r="Q51" s="6">
        <f>$F$51/3</f>
        <v>273.3333333333333</v>
      </c>
      <c r="R51" s="24">
        <f>$F$51/3</f>
        <v>273.3333333333333</v>
      </c>
    </row>
    <row r="52" spans="1:18" ht="15">
      <c r="A52" s="49">
        <v>2.4</v>
      </c>
      <c r="B52" s="59" t="s">
        <v>70</v>
      </c>
      <c r="C52" s="3" t="e">
        <f>C53</f>
        <v>#REF!</v>
      </c>
      <c r="D52" s="3" t="e">
        <f>D53</f>
        <v>#REF!</v>
      </c>
      <c r="E52" s="3" t="e">
        <f>E53</f>
        <v>#REF!</v>
      </c>
      <c r="F52" s="35">
        <f>F53</f>
        <v>39654</v>
      </c>
      <c r="G52" s="3">
        <f aca="true" t="shared" si="21" ref="G52:R52">G53</f>
        <v>0</v>
      </c>
      <c r="H52" s="3">
        <f t="shared" si="21"/>
        <v>0</v>
      </c>
      <c r="I52" s="3">
        <f t="shared" si="21"/>
        <v>0</v>
      </c>
      <c r="J52" s="3">
        <f t="shared" si="21"/>
        <v>0</v>
      </c>
      <c r="K52" s="3">
        <f t="shared" si="21"/>
        <v>12218</v>
      </c>
      <c r="L52" s="3">
        <f t="shared" si="21"/>
        <v>0</v>
      </c>
      <c r="M52" s="3">
        <f t="shared" si="21"/>
        <v>0</v>
      </c>
      <c r="N52" s="3">
        <f t="shared" si="21"/>
        <v>12218</v>
      </c>
      <c r="O52" s="3">
        <f t="shared" si="21"/>
        <v>0</v>
      </c>
      <c r="P52" s="3">
        <f t="shared" si="21"/>
        <v>0</v>
      </c>
      <c r="Q52" s="3">
        <f t="shared" si="21"/>
        <v>15218</v>
      </c>
      <c r="R52" s="22">
        <f t="shared" si="21"/>
        <v>0</v>
      </c>
    </row>
    <row r="53" spans="1:18" ht="24">
      <c r="A53" s="60" t="s">
        <v>71</v>
      </c>
      <c r="B53" s="61" t="s">
        <v>72</v>
      </c>
      <c r="C53" s="10" t="e">
        <f>#REF!</f>
        <v>#REF!</v>
      </c>
      <c r="D53" s="10" t="e">
        <f>#REF!</f>
        <v>#REF!</v>
      </c>
      <c r="E53" s="10" t="e">
        <f>#REF!</f>
        <v>#REF!</v>
      </c>
      <c r="F53" s="41">
        <f>SUM(F54:F55)</f>
        <v>39654</v>
      </c>
      <c r="G53" s="5">
        <f aca="true" t="shared" si="22" ref="G53:R53">SUM(G54:G55)</f>
        <v>0</v>
      </c>
      <c r="H53" s="5">
        <f t="shared" si="22"/>
        <v>0</v>
      </c>
      <c r="I53" s="5">
        <f t="shared" si="22"/>
        <v>0</v>
      </c>
      <c r="J53" s="5">
        <f t="shared" si="22"/>
        <v>0</v>
      </c>
      <c r="K53" s="5">
        <f t="shared" si="22"/>
        <v>12218</v>
      </c>
      <c r="L53" s="5">
        <f t="shared" si="22"/>
        <v>0</v>
      </c>
      <c r="M53" s="5">
        <f t="shared" si="22"/>
        <v>0</v>
      </c>
      <c r="N53" s="5">
        <f t="shared" si="22"/>
        <v>12218</v>
      </c>
      <c r="O53" s="5">
        <f t="shared" si="22"/>
        <v>0</v>
      </c>
      <c r="P53" s="5">
        <f t="shared" si="22"/>
        <v>0</v>
      </c>
      <c r="Q53" s="5">
        <f t="shared" si="22"/>
        <v>15218</v>
      </c>
      <c r="R53" s="23">
        <f t="shared" si="22"/>
        <v>0</v>
      </c>
    </row>
    <row r="54" spans="1:18" ht="15">
      <c r="A54" s="53" t="s">
        <v>73</v>
      </c>
      <c r="B54" s="54" t="s">
        <v>74</v>
      </c>
      <c r="C54" s="6">
        <v>30000</v>
      </c>
      <c r="D54" s="6">
        <f>C54*0.22</f>
        <v>6600</v>
      </c>
      <c r="E54" s="9">
        <f>C54+D54</f>
        <v>36600</v>
      </c>
      <c r="F54" s="37">
        <f>C54</f>
        <v>30000</v>
      </c>
      <c r="G54" s="6"/>
      <c r="H54" s="6"/>
      <c r="I54" s="6"/>
      <c r="J54" s="6"/>
      <c r="K54" s="6">
        <f>+F54*0.3</f>
        <v>9000</v>
      </c>
      <c r="L54" s="6"/>
      <c r="M54" s="6"/>
      <c r="N54" s="6">
        <v>9000</v>
      </c>
      <c r="O54" s="6"/>
      <c r="P54" s="6"/>
      <c r="Q54" s="6">
        <v>12000</v>
      </c>
      <c r="R54" s="24"/>
    </row>
    <row r="55" spans="1:18" ht="15">
      <c r="A55" s="53" t="s">
        <v>164</v>
      </c>
      <c r="B55" s="54" t="s">
        <v>75</v>
      </c>
      <c r="C55" s="6">
        <v>40000</v>
      </c>
      <c r="D55" s="6">
        <f>C55*0.22</f>
        <v>8800</v>
      </c>
      <c r="E55" s="9">
        <f>C55+D55</f>
        <v>48800</v>
      </c>
      <c r="F55" s="37">
        <v>9654</v>
      </c>
      <c r="G55" s="6"/>
      <c r="H55" s="6"/>
      <c r="I55" s="6"/>
      <c r="J55" s="6"/>
      <c r="K55" s="6">
        <f>$F$55/3</f>
        <v>3218</v>
      </c>
      <c r="L55" s="6"/>
      <c r="M55" s="6"/>
      <c r="N55" s="6">
        <f>$F$55/3</f>
        <v>3218</v>
      </c>
      <c r="O55" s="6"/>
      <c r="P55" s="6"/>
      <c r="Q55" s="6">
        <f>$F$55/3</f>
        <v>3218</v>
      </c>
      <c r="R55" s="24"/>
    </row>
    <row r="56" spans="1:18" ht="15">
      <c r="A56" s="49">
        <v>2.5</v>
      </c>
      <c r="B56" s="59" t="s">
        <v>76</v>
      </c>
      <c r="C56" s="3" t="e">
        <f aca="true" t="shared" si="23" ref="C56:R56">C57</f>
        <v>#REF!</v>
      </c>
      <c r="D56" s="3" t="e">
        <f t="shared" si="23"/>
        <v>#REF!</v>
      </c>
      <c r="E56" s="3" t="e">
        <f t="shared" si="23"/>
        <v>#REF!</v>
      </c>
      <c r="F56" s="35">
        <f t="shared" si="23"/>
        <v>53559</v>
      </c>
      <c r="G56" s="3">
        <f t="shared" si="23"/>
        <v>0</v>
      </c>
      <c r="H56" s="3">
        <f t="shared" si="23"/>
        <v>0</v>
      </c>
      <c r="I56" s="3">
        <f t="shared" si="23"/>
        <v>0</v>
      </c>
      <c r="J56" s="3">
        <f t="shared" si="23"/>
        <v>0</v>
      </c>
      <c r="K56" s="3">
        <f t="shared" si="23"/>
        <v>0</v>
      </c>
      <c r="L56" s="3">
        <f t="shared" si="23"/>
        <v>53559</v>
      </c>
      <c r="M56" s="3">
        <f t="shared" si="23"/>
        <v>0</v>
      </c>
      <c r="N56" s="3">
        <f t="shared" si="23"/>
        <v>0</v>
      </c>
      <c r="O56" s="3">
        <f t="shared" si="23"/>
        <v>0</v>
      </c>
      <c r="P56" s="3">
        <f t="shared" si="23"/>
        <v>0</v>
      </c>
      <c r="Q56" s="3">
        <f t="shared" si="23"/>
        <v>0</v>
      </c>
      <c r="R56" s="22">
        <f t="shared" si="23"/>
        <v>0</v>
      </c>
    </row>
    <row r="57" spans="1:18" ht="24">
      <c r="A57" s="60" t="s">
        <v>77</v>
      </c>
      <c r="B57" s="61" t="s">
        <v>78</v>
      </c>
      <c r="C57" s="10" t="e">
        <f>#REF!</f>
        <v>#REF!</v>
      </c>
      <c r="D57" s="10" t="e">
        <f>#REF!</f>
        <v>#REF!</v>
      </c>
      <c r="E57" s="10" t="e">
        <f>#REF!</f>
        <v>#REF!</v>
      </c>
      <c r="F57" s="41">
        <f>SUM(F58:F59)</f>
        <v>53559</v>
      </c>
      <c r="G57" s="10">
        <f aca="true" t="shared" si="24" ref="G57:R57">SUM(G58:G59)</f>
        <v>0</v>
      </c>
      <c r="H57" s="10">
        <f t="shared" si="24"/>
        <v>0</v>
      </c>
      <c r="I57" s="10">
        <f t="shared" si="24"/>
        <v>0</v>
      </c>
      <c r="J57" s="10">
        <f t="shared" si="24"/>
        <v>0</v>
      </c>
      <c r="K57" s="10">
        <f t="shared" si="24"/>
        <v>0</v>
      </c>
      <c r="L57" s="10">
        <f t="shared" si="24"/>
        <v>53559</v>
      </c>
      <c r="M57" s="10">
        <f t="shared" si="24"/>
        <v>0</v>
      </c>
      <c r="N57" s="10">
        <f t="shared" si="24"/>
        <v>0</v>
      </c>
      <c r="O57" s="10">
        <f t="shared" si="24"/>
        <v>0</v>
      </c>
      <c r="P57" s="10">
        <f t="shared" si="24"/>
        <v>0</v>
      </c>
      <c r="Q57" s="10">
        <f t="shared" si="24"/>
        <v>0</v>
      </c>
      <c r="R57" s="62">
        <f t="shared" si="24"/>
        <v>0</v>
      </c>
    </row>
    <row r="58" spans="1:18" ht="15">
      <c r="A58" s="53" t="s">
        <v>79</v>
      </c>
      <c r="B58" s="63" t="s">
        <v>119</v>
      </c>
      <c r="C58" s="6">
        <v>150000</v>
      </c>
      <c r="D58" s="6">
        <f>C58*0.22</f>
        <v>33000</v>
      </c>
      <c r="E58" s="9">
        <f>C58+D58</f>
        <v>183000</v>
      </c>
      <c r="F58" s="37">
        <v>20772</v>
      </c>
      <c r="G58" s="6"/>
      <c r="H58" s="6"/>
      <c r="I58" s="6"/>
      <c r="J58" s="6"/>
      <c r="K58" s="6"/>
      <c r="L58" s="6">
        <f>F58</f>
        <v>20772</v>
      </c>
      <c r="M58" s="6"/>
      <c r="N58" s="6"/>
      <c r="O58" s="6"/>
      <c r="P58" s="6"/>
      <c r="Q58" s="6"/>
      <c r="R58" s="24"/>
    </row>
    <row r="59" spans="1:18" ht="15">
      <c r="A59" s="53" t="s">
        <v>165</v>
      </c>
      <c r="B59" s="63" t="s">
        <v>80</v>
      </c>
      <c r="C59" s="6">
        <v>150000</v>
      </c>
      <c r="D59" s="6">
        <f>C59*0.22</f>
        <v>33000</v>
      </c>
      <c r="E59" s="9">
        <f>C59+D59</f>
        <v>183000</v>
      </c>
      <c r="F59" s="37">
        <v>32787</v>
      </c>
      <c r="G59" s="6"/>
      <c r="H59" s="6"/>
      <c r="I59" s="6"/>
      <c r="J59" s="6"/>
      <c r="K59" s="6"/>
      <c r="L59" s="6">
        <f>F59</f>
        <v>32787</v>
      </c>
      <c r="M59" s="6"/>
      <c r="N59" s="6"/>
      <c r="O59" s="6"/>
      <c r="P59" s="6"/>
      <c r="Q59" s="6"/>
      <c r="R59" s="24"/>
    </row>
    <row r="60" spans="1:18" ht="15">
      <c r="A60" s="55"/>
      <c r="B60" s="56" t="s">
        <v>81</v>
      </c>
      <c r="C60" s="27" t="e">
        <f aca="true" t="shared" si="25" ref="C60:R60">C56+C52+C46+C41+C36</f>
        <v>#REF!</v>
      </c>
      <c r="D60" s="27" t="e">
        <f t="shared" si="25"/>
        <v>#REF!</v>
      </c>
      <c r="E60" s="27" t="e">
        <f t="shared" si="25"/>
        <v>#REF!</v>
      </c>
      <c r="F60" s="40">
        <f t="shared" si="25"/>
        <v>238441</v>
      </c>
      <c r="G60" s="27">
        <f t="shared" si="25"/>
        <v>0</v>
      </c>
      <c r="H60" s="27">
        <f t="shared" si="25"/>
        <v>0</v>
      </c>
      <c r="I60" s="27">
        <f t="shared" si="25"/>
        <v>0</v>
      </c>
      <c r="J60" s="27">
        <f t="shared" si="25"/>
        <v>45700</v>
      </c>
      <c r="K60" s="27">
        <f t="shared" si="25"/>
        <v>20218</v>
      </c>
      <c r="L60" s="27">
        <f t="shared" si="25"/>
        <v>68959</v>
      </c>
      <c r="M60" s="27">
        <f t="shared" si="25"/>
        <v>0</v>
      </c>
      <c r="N60" s="27">
        <f t="shared" si="25"/>
        <v>19918</v>
      </c>
      <c r="O60" s="27">
        <f t="shared" si="25"/>
        <v>0</v>
      </c>
      <c r="P60" s="27">
        <f t="shared" si="25"/>
        <v>24672.666666666664</v>
      </c>
      <c r="Q60" s="27">
        <f t="shared" si="25"/>
        <v>43095.66666666667</v>
      </c>
      <c r="R60" s="28">
        <f t="shared" si="25"/>
        <v>15877.666666666666</v>
      </c>
    </row>
    <row r="61" spans="1:18" ht="24">
      <c r="A61" s="47">
        <v>3</v>
      </c>
      <c r="B61" s="48" t="s">
        <v>82</v>
      </c>
      <c r="C61" s="2" t="e">
        <f>C62+C83</f>
        <v>#REF!</v>
      </c>
      <c r="D61" s="2" t="e">
        <f>D62+D83</f>
        <v>#REF!</v>
      </c>
      <c r="E61" s="2" t="e">
        <f>E62+E83</f>
        <v>#REF!</v>
      </c>
      <c r="F61" s="34">
        <f>F62+F83+F87</f>
        <v>351295</v>
      </c>
      <c r="G61" s="2">
        <f aca="true" t="shared" si="26" ref="G61:R61">G62+G83+G87</f>
        <v>1366.0833333333333</v>
      </c>
      <c r="H61" s="2">
        <f t="shared" si="26"/>
        <v>12295.083333333334</v>
      </c>
      <c r="I61" s="2">
        <f t="shared" si="26"/>
        <v>1366.0833333333333</v>
      </c>
      <c r="J61" s="2">
        <f t="shared" si="26"/>
        <v>37295.083333333336</v>
      </c>
      <c r="K61" s="2">
        <f t="shared" si="26"/>
        <v>1366.0833333333333</v>
      </c>
      <c r="L61" s="2">
        <f t="shared" si="26"/>
        <v>15495.083333333334</v>
      </c>
      <c r="M61" s="2">
        <f t="shared" si="26"/>
        <v>37426.083333333336</v>
      </c>
      <c r="N61" s="2">
        <f t="shared" si="26"/>
        <v>70796.28333333334</v>
      </c>
      <c r="O61" s="2">
        <f t="shared" si="26"/>
        <v>56722.28333333333</v>
      </c>
      <c r="P61" s="2">
        <f t="shared" si="26"/>
        <v>48722.28333333334</v>
      </c>
      <c r="Q61" s="2">
        <f t="shared" si="26"/>
        <v>36722.28333333333</v>
      </c>
      <c r="R61" s="21">
        <f t="shared" si="26"/>
        <v>31722.283333333333</v>
      </c>
    </row>
    <row r="62" spans="1:18" ht="24">
      <c r="A62" s="49">
        <v>3.1</v>
      </c>
      <c r="B62" s="50" t="s">
        <v>166</v>
      </c>
      <c r="C62" s="3">
        <f>C63+C69</f>
        <v>963600</v>
      </c>
      <c r="D62" s="3">
        <f>D63+D69</f>
        <v>211992</v>
      </c>
      <c r="E62" s="3">
        <f>E63+E69</f>
        <v>1175592</v>
      </c>
      <c r="F62" s="35">
        <f>F63+F69+F73+F76+F80</f>
        <v>242114</v>
      </c>
      <c r="G62" s="3">
        <f aca="true" t="shared" si="27" ref="G62:R62">G63+G69+G73+G76+G80</f>
        <v>1366.0833333333333</v>
      </c>
      <c r="H62" s="3">
        <f t="shared" si="27"/>
        <v>12295.083333333334</v>
      </c>
      <c r="I62" s="3">
        <f t="shared" si="27"/>
        <v>1366.0833333333333</v>
      </c>
      <c r="J62" s="3">
        <f t="shared" si="27"/>
        <v>12295.083333333334</v>
      </c>
      <c r="K62" s="3">
        <f t="shared" si="27"/>
        <v>1366.0833333333333</v>
      </c>
      <c r="L62" s="3">
        <f t="shared" si="27"/>
        <v>12295.083333333334</v>
      </c>
      <c r="M62" s="3">
        <f t="shared" si="27"/>
        <v>34226.083333333336</v>
      </c>
      <c r="N62" s="3">
        <f t="shared" si="27"/>
        <v>60240.083333333336</v>
      </c>
      <c r="O62" s="3">
        <f t="shared" si="27"/>
        <v>21166.083333333332</v>
      </c>
      <c r="P62" s="3">
        <f t="shared" si="27"/>
        <v>38166.083333333336</v>
      </c>
      <c r="Q62" s="3">
        <f t="shared" si="27"/>
        <v>26166.083333333332</v>
      </c>
      <c r="R62" s="22">
        <f t="shared" si="27"/>
        <v>21166.083333333332</v>
      </c>
    </row>
    <row r="63" spans="1:18" ht="15">
      <c r="A63" s="51" t="s">
        <v>83</v>
      </c>
      <c r="B63" s="52" t="s">
        <v>84</v>
      </c>
      <c r="C63" s="5">
        <f>SUM(C64:C68)</f>
        <v>854400</v>
      </c>
      <c r="D63" s="5">
        <f>SUM(D64:D68)</f>
        <v>187968</v>
      </c>
      <c r="E63" s="5">
        <f>SUM(E64:E68)</f>
        <v>1042368</v>
      </c>
      <c r="F63" s="36">
        <f>SUM(F64:F68)</f>
        <v>106800</v>
      </c>
      <c r="G63" s="5">
        <f aca="true" t="shared" si="28" ref="G63:R63">SUM(G64:G68)</f>
        <v>0</v>
      </c>
      <c r="H63" s="5">
        <f t="shared" si="28"/>
        <v>0</v>
      </c>
      <c r="I63" s="5">
        <f t="shared" si="28"/>
        <v>0</v>
      </c>
      <c r="J63" s="5">
        <f t="shared" si="28"/>
        <v>0</v>
      </c>
      <c r="K63" s="5">
        <f t="shared" si="28"/>
        <v>0</v>
      </c>
      <c r="L63" s="5">
        <f t="shared" si="28"/>
        <v>0</v>
      </c>
      <c r="M63" s="5">
        <f t="shared" si="28"/>
        <v>17800</v>
      </c>
      <c r="N63" s="5">
        <f t="shared" si="28"/>
        <v>17800</v>
      </c>
      <c r="O63" s="5">
        <f t="shared" si="28"/>
        <v>17800</v>
      </c>
      <c r="P63" s="5">
        <f t="shared" si="28"/>
        <v>17800</v>
      </c>
      <c r="Q63" s="5">
        <f t="shared" si="28"/>
        <v>17800</v>
      </c>
      <c r="R63" s="23">
        <f t="shared" si="28"/>
        <v>17800</v>
      </c>
    </row>
    <row r="64" spans="1:18" ht="15">
      <c r="A64" s="64" t="s">
        <v>85</v>
      </c>
      <c r="B64" s="65" t="s">
        <v>86</v>
      </c>
      <c r="C64" s="6">
        <f>2800*48</f>
        <v>134400</v>
      </c>
      <c r="D64" s="6">
        <f>(2800*0.22)*48</f>
        <v>29568</v>
      </c>
      <c r="E64" s="6">
        <f>C64+D64</f>
        <v>163968</v>
      </c>
      <c r="F64" s="37">
        <v>16800</v>
      </c>
      <c r="G64" s="6"/>
      <c r="H64" s="6"/>
      <c r="I64" s="6"/>
      <c r="J64" s="6"/>
      <c r="K64" s="6"/>
      <c r="L64" s="6"/>
      <c r="M64" s="6">
        <f aca="true" t="shared" si="29" ref="M64:R64">$F$64/6</f>
        <v>2800</v>
      </c>
      <c r="N64" s="6">
        <f t="shared" si="29"/>
        <v>2800</v>
      </c>
      <c r="O64" s="6">
        <f t="shared" si="29"/>
        <v>2800</v>
      </c>
      <c r="P64" s="6">
        <f t="shared" si="29"/>
        <v>2800</v>
      </c>
      <c r="Q64" s="6">
        <f t="shared" si="29"/>
        <v>2800</v>
      </c>
      <c r="R64" s="24">
        <f t="shared" si="29"/>
        <v>2800</v>
      </c>
    </row>
    <row r="65" spans="1:18" ht="15">
      <c r="A65" s="64" t="s">
        <v>87</v>
      </c>
      <c r="B65" s="65" t="s">
        <v>88</v>
      </c>
      <c r="C65" s="6">
        <f>2800*48</f>
        <v>134400</v>
      </c>
      <c r="D65" s="6">
        <f>(2800*0.22)*48</f>
        <v>29568</v>
      </c>
      <c r="E65" s="6">
        <f>C65+D65</f>
        <v>163968</v>
      </c>
      <c r="F65" s="37">
        <v>16800</v>
      </c>
      <c r="G65" s="6"/>
      <c r="H65" s="6"/>
      <c r="I65" s="6"/>
      <c r="J65" s="6"/>
      <c r="K65" s="6"/>
      <c r="L65" s="6"/>
      <c r="M65" s="6">
        <v>2800</v>
      </c>
      <c r="N65" s="6">
        <v>2800</v>
      </c>
      <c r="O65" s="6">
        <v>2800</v>
      </c>
      <c r="P65" s="6">
        <v>2800</v>
      </c>
      <c r="Q65" s="6">
        <v>2800</v>
      </c>
      <c r="R65" s="24">
        <v>2800</v>
      </c>
    </row>
    <row r="66" spans="1:18" ht="15">
      <c r="A66" s="64" t="s">
        <v>89</v>
      </c>
      <c r="B66" s="65" t="s">
        <v>90</v>
      </c>
      <c r="C66" s="6">
        <f>2200*48</f>
        <v>105600</v>
      </c>
      <c r="D66" s="6">
        <f>(2200*0.22)*48</f>
        <v>23232</v>
      </c>
      <c r="E66" s="6">
        <f>C66+D66</f>
        <v>128832</v>
      </c>
      <c r="F66" s="37">
        <v>13200</v>
      </c>
      <c r="G66" s="6"/>
      <c r="H66" s="6"/>
      <c r="I66" s="6"/>
      <c r="J66" s="6"/>
      <c r="K66" s="6"/>
      <c r="L66" s="6"/>
      <c r="M66" s="6">
        <f aca="true" t="shared" si="30" ref="M66:R66">$F$66/6</f>
        <v>2200</v>
      </c>
      <c r="N66" s="6">
        <f t="shared" si="30"/>
        <v>2200</v>
      </c>
      <c r="O66" s="6">
        <f t="shared" si="30"/>
        <v>2200</v>
      </c>
      <c r="P66" s="6">
        <f t="shared" si="30"/>
        <v>2200</v>
      </c>
      <c r="Q66" s="6">
        <f t="shared" si="30"/>
        <v>2200</v>
      </c>
      <c r="R66" s="24">
        <f t="shared" si="30"/>
        <v>2200</v>
      </c>
    </row>
    <row r="67" spans="1:18" ht="15">
      <c r="A67" s="64" t="s">
        <v>91</v>
      </c>
      <c r="B67" s="65" t="s">
        <v>92</v>
      </c>
      <c r="C67" s="6">
        <f>2000*4*48</f>
        <v>384000</v>
      </c>
      <c r="D67" s="6">
        <f>(2000*0.22)*4*48</f>
        <v>84480</v>
      </c>
      <c r="E67" s="6">
        <f>C67+D67</f>
        <v>468480</v>
      </c>
      <c r="F67" s="37">
        <v>48000</v>
      </c>
      <c r="G67" s="6"/>
      <c r="H67" s="6"/>
      <c r="I67" s="6"/>
      <c r="J67" s="6"/>
      <c r="K67" s="6"/>
      <c r="L67" s="6"/>
      <c r="M67" s="6">
        <f aca="true" t="shared" si="31" ref="M67:R67">$F$67/6</f>
        <v>8000</v>
      </c>
      <c r="N67" s="6">
        <f t="shared" si="31"/>
        <v>8000</v>
      </c>
      <c r="O67" s="6">
        <f t="shared" si="31"/>
        <v>8000</v>
      </c>
      <c r="P67" s="6">
        <f t="shared" si="31"/>
        <v>8000</v>
      </c>
      <c r="Q67" s="6">
        <f t="shared" si="31"/>
        <v>8000</v>
      </c>
      <c r="R67" s="24">
        <f t="shared" si="31"/>
        <v>8000</v>
      </c>
    </row>
    <row r="68" spans="1:18" ht="15">
      <c r="A68" s="64" t="s">
        <v>93</v>
      </c>
      <c r="B68" s="65" t="s">
        <v>94</v>
      </c>
      <c r="C68" s="6">
        <f>2000*48</f>
        <v>96000</v>
      </c>
      <c r="D68" s="6">
        <f>(2000*0.22)*48</f>
        <v>21120</v>
      </c>
      <c r="E68" s="6">
        <f>C68+D68</f>
        <v>117120</v>
      </c>
      <c r="F68" s="37">
        <v>12000</v>
      </c>
      <c r="G68" s="6"/>
      <c r="H68" s="6"/>
      <c r="I68" s="6"/>
      <c r="J68" s="6"/>
      <c r="K68" s="6"/>
      <c r="L68" s="6"/>
      <c r="M68" s="6">
        <f aca="true" t="shared" si="32" ref="M68:R68">$F$68/6</f>
        <v>2000</v>
      </c>
      <c r="N68" s="6">
        <f t="shared" si="32"/>
        <v>2000</v>
      </c>
      <c r="O68" s="6">
        <f t="shared" si="32"/>
        <v>2000</v>
      </c>
      <c r="P68" s="6">
        <f t="shared" si="32"/>
        <v>2000</v>
      </c>
      <c r="Q68" s="6">
        <f t="shared" si="32"/>
        <v>2000</v>
      </c>
      <c r="R68" s="24">
        <f t="shared" si="32"/>
        <v>2000</v>
      </c>
    </row>
    <row r="69" spans="1:18" ht="15">
      <c r="A69" s="51" t="s">
        <v>95</v>
      </c>
      <c r="B69" s="52" t="s">
        <v>96</v>
      </c>
      <c r="C69" s="5">
        <f>SUM(C70:C72)</f>
        <v>109200</v>
      </c>
      <c r="D69" s="5">
        <f>SUM(D70:D72)</f>
        <v>24024</v>
      </c>
      <c r="E69" s="5">
        <f>SUM(E70:E72)</f>
        <v>133224</v>
      </c>
      <c r="F69" s="36">
        <f>SUM(F70:F72)</f>
        <v>29060</v>
      </c>
      <c r="G69" s="5">
        <f aca="true" t="shared" si="33" ref="G69:R69">SUM(G70:G72)</f>
        <v>0</v>
      </c>
      <c r="H69" s="5">
        <f t="shared" si="33"/>
        <v>0</v>
      </c>
      <c r="I69" s="5">
        <f t="shared" si="33"/>
        <v>0</v>
      </c>
      <c r="J69" s="5">
        <f t="shared" si="33"/>
        <v>0</v>
      </c>
      <c r="K69" s="5">
        <f t="shared" si="33"/>
        <v>0</v>
      </c>
      <c r="L69" s="5">
        <f t="shared" si="33"/>
        <v>0</v>
      </c>
      <c r="M69" s="5">
        <f t="shared" si="33"/>
        <v>15060</v>
      </c>
      <c r="N69" s="5">
        <f>SUM(N70:N72)</f>
        <v>4000</v>
      </c>
      <c r="O69" s="5">
        <f t="shared" si="33"/>
        <v>2000</v>
      </c>
      <c r="P69" s="5">
        <f t="shared" si="33"/>
        <v>4000</v>
      </c>
      <c r="Q69" s="5">
        <f t="shared" si="33"/>
        <v>2000</v>
      </c>
      <c r="R69" s="23">
        <f t="shared" si="33"/>
        <v>2000</v>
      </c>
    </row>
    <row r="70" spans="1:18" ht="15">
      <c r="A70" s="64" t="s">
        <v>97</v>
      </c>
      <c r="B70" s="65" t="s">
        <v>98</v>
      </c>
      <c r="C70" s="6">
        <v>10000</v>
      </c>
      <c r="D70" s="6">
        <f>C70*0.22</f>
        <v>2200</v>
      </c>
      <c r="E70" s="6">
        <f>C70+D70</f>
        <v>12200</v>
      </c>
      <c r="F70" s="37">
        <v>10000</v>
      </c>
      <c r="G70" s="6"/>
      <c r="H70" s="6"/>
      <c r="I70" s="6"/>
      <c r="J70" s="6"/>
      <c r="K70" s="6"/>
      <c r="L70" s="6"/>
      <c r="N70" s="6">
        <f>$F$70*0.2</f>
        <v>2000</v>
      </c>
      <c r="O70" s="6">
        <f>$F$70*0.2</f>
        <v>2000</v>
      </c>
      <c r="P70" s="6">
        <f>$F$70*0.2</f>
        <v>2000</v>
      </c>
      <c r="Q70" s="6">
        <f>$F$70*0.2</f>
        <v>2000</v>
      </c>
      <c r="R70" s="24">
        <f>$F$70*0.2</f>
        <v>2000</v>
      </c>
    </row>
    <row r="71" spans="1:18" ht="15">
      <c r="A71" s="64" t="s">
        <v>99</v>
      </c>
      <c r="B71" s="65" t="s">
        <v>100</v>
      </c>
      <c r="C71" s="6">
        <v>79200</v>
      </c>
      <c r="D71" s="6">
        <f>C71*0.22</f>
        <v>17424</v>
      </c>
      <c r="E71" s="6">
        <f>C71+D71</f>
        <v>96624</v>
      </c>
      <c r="F71" s="37">
        <v>15060</v>
      </c>
      <c r="G71" s="6"/>
      <c r="H71" s="6"/>
      <c r="I71" s="6"/>
      <c r="J71" s="6"/>
      <c r="K71" s="6"/>
      <c r="L71" s="6"/>
      <c r="M71" s="6">
        <f>F71</f>
        <v>15060</v>
      </c>
      <c r="N71" s="6"/>
      <c r="O71" s="6"/>
      <c r="P71" s="6"/>
      <c r="Q71" s="6"/>
      <c r="R71" s="24"/>
    </row>
    <row r="72" spans="1:18" ht="15">
      <c r="A72" s="64" t="s">
        <v>101</v>
      </c>
      <c r="B72" s="65" t="s">
        <v>102</v>
      </c>
      <c r="C72" s="6">
        <v>20000</v>
      </c>
      <c r="D72" s="6">
        <f>C72*0.22</f>
        <v>4400</v>
      </c>
      <c r="E72" s="6">
        <f>C72+D72</f>
        <v>24400</v>
      </c>
      <c r="F72" s="37">
        <v>4000</v>
      </c>
      <c r="G72" s="6"/>
      <c r="H72" s="6"/>
      <c r="I72" s="6"/>
      <c r="J72" s="6"/>
      <c r="K72" s="6"/>
      <c r="L72" s="6"/>
      <c r="M72" s="6"/>
      <c r="N72" s="6">
        <v>2000</v>
      </c>
      <c r="O72" s="6"/>
      <c r="P72" s="6">
        <v>2000</v>
      </c>
      <c r="Q72" s="6"/>
      <c r="R72" s="24"/>
    </row>
    <row r="73" spans="1:18" ht="15">
      <c r="A73" s="51" t="s">
        <v>167</v>
      </c>
      <c r="B73" s="52" t="s">
        <v>168</v>
      </c>
      <c r="C73" s="5">
        <f>SUM(C74:C75)</f>
        <v>130000</v>
      </c>
      <c r="D73" s="5">
        <f>SUM(D74:D75)</f>
        <v>28600</v>
      </c>
      <c r="E73" s="5">
        <f>SUM(E74:E75)</f>
        <v>158600</v>
      </c>
      <c r="F73" s="36">
        <f>SUM(F74:F75)</f>
        <v>25000</v>
      </c>
      <c r="G73" s="5">
        <f aca="true" t="shared" si="34" ref="G73:R73">SUM(G74:G75)</f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5000</v>
      </c>
      <c r="O73" s="5">
        <f t="shared" si="34"/>
        <v>0</v>
      </c>
      <c r="P73" s="5">
        <f t="shared" si="34"/>
        <v>15000</v>
      </c>
      <c r="Q73" s="5">
        <f t="shared" si="34"/>
        <v>5000</v>
      </c>
      <c r="R73" s="23">
        <f t="shared" si="34"/>
        <v>0</v>
      </c>
    </row>
    <row r="74" spans="1:18" ht="15">
      <c r="A74" s="64" t="s">
        <v>169</v>
      </c>
      <c r="B74" s="65" t="s">
        <v>105</v>
      </c>
      <c r="C74" s="6">
        <f>30000*4</f>
        <v>120000</v>
      </c>
      <c r="D74" s="6">
        <f>C74*0.22</f>
        <v>26400</v>
      </c>
      <c r="E74" s="6">
        <f>C74+D74</f>
        <v>146400</v>
      </c>
      <c r="F74" s="37">
        <v>15000</v>
      </c>
      <c r="G74" s="6"/>
      <c r="H74" s="6"/>
      <c r="I74" s="6"/>
      <c r="J74" s="6"/>
      <c r="K74" s="6"/>
      <c r="L74" s="6"/>
      <c r="M74" s="6"/>
      <c r="N74" s="6"/>
      <c r="O74" s="6"/>
      <c r="P74" s="6">
        <v>15000</v>
      </c>
      <c r="Q74" s="6"/>
      <c r="R74" s="24"/>
    </row>
    <row r="75" spans="1:18" ht="15">
      <c r="A75" s="64" t="s">
        <v>170</v>
      </c>
      <c r="B75" s="65" t="s">
        <v>107</v>
      </c>
      <c r="C75" s="6">
        <v>10000</v>
      </c>
      <c r="D75" s="6">
        <f>C75*0.22</f>
        <v>2200</v>
      </c>
      <c r="E75" s="6">
        <f>C75+D75</f>
        <v>12200</v>
      </c>
      <c r="F75" s="37">
        <v>10000</v>
      </c>
      <c r="G75" s="6"/>
      <c r="H75" s="6"/>
      <c r="I75" s="6"/>
      <c r="J75" s="6"/>
      <c r="K75" s="6"/>
      <c r="L75" s="6"/>
      <c r="M75" s="6"/>
      <c r="N75" s="6">
        <v>5000</v>
      </c>
      <c r="O75" s="6"/>
      <c r="P75" s="6"/>
      <c r="Q75" s="6">
        <v>5000</v>
      </c>
      <c r="R75" s="24"/>
    </row>
    <row r="76" spans="1:18" ht="15">
      <c r="A76" s="51" t="s">
        <v>171</v>
      </c>
      <c r="B76" s="78" t="s">
        <v>174</v>
      </c>
      <c r="C76" s="5">
        <f>SUM(C77:C78)</f>
        <v>60369</v>
      </c>
      <c r="D76" s="5">
        <f>SUM(D77:D78)</f>
        <v>13281.18</v>
      </c>
      <c r="E76" s="5">
        <f>SUM(E77:E78)</f>
        <v>74400</v>
      </c>
      <c r="F76" s="36">
        <f>SUM(F77:F79)</f>
        <v>32074</v>
      </c>
      <c r="G76" s="5">
        <f aca="true" t="shared" si="35" ref="G76:R76">SUM(G77:G79)</f>
        <v>0</v>
      </c>
      <c r="H76" s="5">
        <f t="shared" si="35"/>
        <v>0</v>
      </c>
      <c r="I76" s="5">
        <f t="shared" si="35"/>
        <v>0</v>
      </c>
      <c r="J76" s="5">
        <f t="shared" si="35"/>
        <v>0</v>
      </c>
      <c r="K76" s="5">
        <f t="shared" si="35"/>
        <v>0</v>
      </c>
      <c r="L76" s="5">
        <f t="shared" si="35"/>
        <v>0</v>
      </c>
      <c r="M76" s="5">
        <f t="shared" si="35"/>
        <v>0</v>
      </c>
      <c r="N76" s="5">
        <f t="shared" si="35"/>
        <v>32074</v>
      </c>
      <c r="O76" s="5">
        <f t="shared" si="35"/>
        <v>0</v>
      </c>
      <c r="P76" s="5">
        <f t="shared" si="35"/>
        <v>0</v>
      </c>
      <c r="Q76" s="5">
        <f t="shared" si="35"/>
        <v>0</v>
      </c>
      <c r="R76" s="23">
        <f t="shared" si="35"/>
        <v>0</v>
      </c>
    </row>
    <row r="77" spans="1:18" ht="24">
      <c r="A77" s="80" t="s">
        <v>172</v>
      </c>
      <c r="B77" s="76" t="s">
        <v>175</v>
      </c>
      <c r="C77" s="6">
        <f>40984-615</f>
        <v>40369</v>
      </c>
      <c r="D77" s="6">
        <f>C77*0.22</f>
        <v>8881.18</v>
      </c>
      <c r="E77" s="6">
        <v>50000</v>
      </c>
      <c r="F77" s="37">
        <v>20000</v>
      </c>
      <c r="G77" s="6"/>
      <c r="H77" s="6"/>
      <c r="I77" s="6"/>
      <c r="J77" s="6"/>
      <c r="K77" s="6"/>
      <c r="L77" s="6"/>
      <c r="M77" s="6"/>
      <c r="N77" s="6">
        <f>F77</f>
        <v>20000</v>
      </c>
      <c r="P77" s="6"/>
      <c r="Q77" s="6"/>
      <c r="R77" s="24"/>
    </row>
    <row r="78" spans="1:18" ht="24">
      <c r="A78" s="80" t="s">
        <v>173</v>
      </c>
      <c r="B78" s="76" t="s">
        <v>176</v>
      </c>
      <c r="C78" s="6">
        <v>20000</v>
      </c>
      <c r="D78" s="6">
        <f>C78*0.22</f>
        <v>4400</v>
      </c>
      <c r="E78" s="6">
        <f>C78+D78</f>
        <v>24400</v>
      </c>
      <c r="F78" s="37">
        <v>8074</v>
      </c>
      <c r="G78" s="6"/>
      <c r="H78" s="6"/>
      <c r="I78" s="6"/>
      <c r="J78" s="6"/>
      <c r="K78" s="6"/>
      <c r="L78" s="6"/>
      <c r="M78" s="6"/>
      <c r="N78" s="6">
        <f>F78</f>
        <v>8074</v>
      </c>
      <c r="O78" s="6"/>
      <c r="P78" s="6"/>
      <c r="Q78" s="6"/>
      <c r="R78" s="24"/>
    </row>
    <row r="79" spans="1:18" ht="15">
      <c r="A79" s="80" t="s">
        <v>177</v>
      </c>
      <c r="B79" s="79" t="s">
        <v>108</v>
      </c>
      <c r="C79" s="6"/>
      <c r="D79" s="6"/>
      <c r="E79" s="6"/>
      <c r="F79" s="37">
        <v>4000</v>
      </c>
      <c r="G79" s="6"/>
      <c r="H79" s="6"/>
      <c r="I79" s="6"/>
      <c r="J79" s="6"/>
      <c r="K79" s="6"/>
      <c r="L79" s="6"/>
      <c r="M79" s="6"/>
      <c r="N79" s="6">
        <f>F79</f>
        <v>4000</v>
      </c>
      <c r="O79" s="6"/>
      <c r="P79" s="6"/>
      <c r="Q79" s="6"/>
      <c r="R79" s="24"/>
    </row>
    <row r="80" spans="1:18" ht="15">
      <c r="A80" s="81" t="s">
        <v>178</v>
      </c>
      <c r="B80" s="78" t="s">
        <v>179</v>
      </c>
      <c r="C80" s="5" t="e">
        <f aca="true" t="shared" si="36" ref="C80:R80">SUM(C81:C82)</f>
        <v>#REF!</v>
      </c>
      <c r="D80" s="5" t="e">
        <f t="shared" si="36"/>
        <v>#REF!</v>
      </c>
      <c r="E80" s="5">
        <f t="shared" si="36"/>
        <v>121376</v>
      </c>
      <c r="F80" s="36">
        <f t="shared" si="36"/>
        <v>49180</v>
      </c>
      <c r="G80" s="5">
        <f t="shared" si="36"/>
        <v>1366.0833333333333</v>
      </c>
      <c r="H80" s="5">
        <f t="shared" si="36"/>
        <v>12295.083333333334</v>
      </c>
      <c r="I80" s="5">
        <f t="shared" si="36"/>
        <v>1366.0833333333333</v>
      </c>
      <c r="J80" s="5">
        <f t="shared" si="36"/>
        <v>12295.083333333334</v>
      </c>
      <c r="K80" s="5">
        <f t="shared" si="36"/>
        <v>1366.0833333333333</v>
      </c>
      <c r="L80" s="5">
        <f t="shared" si="36"/>
        <v>12295.083333333334</v>
      </c>
      <c r="M80" s="5">
        <f t="shared" si="36"/>
        <v>1366.0833333333333</v>
      </c>
      <c r="N80" s="5">
        <f t="shared" si="36"/>
        <v>1366.0833333333333</v>
      </c>
      <c r="O80" s="5">
        <f t="shared" si="36"/>
        <v>1366.0833333333333</v>
      </c>
      <c r="P80" s="5">
        <f t="shared" si="36"/>
        <v>1366.0833333333333</v>
      </c>
      <c r="Q80" s="5">
        <f t="shared" si="36"/>
        <v>1366.0833333333333</v>
      </c>
      <c r="R80" s="23">
        <f t="shared" si="36"/>
        <v>1366.0833333333333</v>
      </c>
    </row>
    <row r="81" spans="1:18" ht="15">
      <c r="A81" s="80" t="s">
        <v>180</v>
      </c>
      <c r="B81" s="79" t="s">
        <v>112</v>
      </c>
      <c r="C81" s="6">
        <f>1731*48</f>
        <v>83088</v>
      </c>
      <c r="D81" s="6">
        <f>381*48</f>
        <v>18288</v>
      </c>
      <c r="E81" s="6">
        <f>C81+D81</f>
        <v>101376</v>
      </c>
      <c r="F81" s="37">
        <v>16393</v>
      </c>
      <c r="G81" s="6">
        <f aca="true" t="shared" si="37" ref="G81:R81">$F$81/12</f>
        <v>1366.0833333333333</v>
      </c>
      <c r="H81" s="6">
        <f t="shared" si="37"/>
        <v>1366.0833333333333</v>
      </c>
      <c r="I81" s="6">
        <f t="shared" si="37"/>
        <v>1366.0833333333333</v>
      </c>
      <c r="J81" s="6">
        <f t="shared" si="37"/>
        <v>1366.0833333333333</v>
      </c>
      <c r="K81" s="6">
        <f t="shared" si="37"/>
        <v>1366.0833333333333</v>
      </c>
      <c r="L81" s="6">
        <f t="shared" si="37"/>
        <v>1366.0833333333333</v>
      </c>
      <c r="M81" s="6">
        <f t="shared" si="37"/>
        <v>1366.0833333333333</v>
      </c>
      <c r="N81" s="6">
        <f t="shared" si="37"/>
        <v>1366.0833333333333</v>
      </c>
      <c r="O81" s="6">
        <f t="shared" si="37"/>
        <v>1366.0833333333333</v>
      </c>
      <c r="P81" s="6">
        <f t="shared" si="37"/>
        <v>1366.0833333333333</v>
      </c>
      <c r="Q81" s="6">
        <f t="shared" si="37"/>
        <v>1366.0833333333333</v>
      </c>
      <c r="R81" s="24">
        <f t="shared" si="37"/>
        <v>1366.0833333333333</v>
      </c>
    </row>
    <row r="82" spans="1:18" ht="15">
      <c r="A82" s="80" t="s">
        <v>181</v>
      </c>
      <c r="B82" s="79" t="s">
        <v>182</v>
      </c>
      <c r="C82" s="6" t="e">
        <f>E82*#REF!</f>
        <v>#REF!</v>
      </c>
      <c r="D82" s="6" t="e">
        <f>E82*#REF!</f>
        <v>#REF!</v>
      </c>
      <c r="E82" s="6">
        <v>20000</v>
      </c>
      <c r="F82" s="37">
        <v>32787</v>
      </c>
      <c r="G82" s="6"/>
      <c r="H82" s="6">
        <f>$F$82/3</f>
        <v>10929</v>
      </c>
      <c r="I82" s="6"/>
      <c r="J82" s="6">
        <f>$F$82/3</f>
        <v>10929</v>
      </c>
      <c r="K82" s="6"/>
      <c r="L82" s="6">
        <f>$F$82/3</f>
        <v>10929</v>
      </c>
      <c r="M82" s="6"/>
      <c r="O82" s="6"/>
      <c r="P82" s="6"/>
      <c r="Q82" s="6"/>
      <c r="R82" s="24"/>
    </row>
    <row r="83" spans="1:18" ht="15">
      <c r="A83" s="49">
        <v>3.2</v>
      </c>
      <c r="B83" s="82" t="s">
        <v>183</v>
      </c>
      <c r="C83" s="3" t="e">
        <f>C73+C76+#REF!+C84+#REF!+C80</f>
        <v>#REF!</v>
      </c>
      <c r="D83" s="3" t="e">
        <f>D73+D76+#REF!+D84+#REF!+D80</f>
        <v>#REF!</v>
      </c>
      <c r="E83" s="3" t="e">
        <f>E73+E76+#REF!+E84+#REF!+E80</f>
        <v>#REF!</v>
      </c>
      <c r="F83" s="35">
        <f>F84</f>
        <v>59181</v>
      </c>
      <c r="G83" s="3">
        <f aca="true" t="shared" si="38" ref="G83:R83">G84</f>
        <v>0</v>
      </c>
      <c r="H83" s="3">
        <f t="shared" si="38"/>
        <v>0</v>
      </c>
      <c r="I83" s="3">
        <f t="shared" si="38"/>
        <v>0</v>
      </c>
      <c r="J83" s="3">
        <f t="shared" si="38"/>
        <v>0</v>
      </c>
      <c r="K83" s="3">
        <f t="shared" si="38"/>
        <v>0</v>
      </c>
      <c r="L83" s="3">
        <f t="shared" si="38"/>
        <v>3200</v>
      </c>
      <c r="M83" s="3">
        <f t="shared" si="38"/>
        <v>3200</v>
      </c>
      <c r="N83" s="3">
        <f t="shared" si="38"/>
        <v>10556.2</v>
      </c>
      <c r="O83" s="3">
        <f t="shared" si="38"/>
        <v>10556.2</v>
      </c>
      <c r="P83" s="3">
        <f t="shared" si="38"/>
        <v>10556.2</v>
      </c>
      <c r="Q83" s="3">
        <f t="shared" si="38"/>
        <v>10556.2</v>
      </c>
      <c r="R83" s="22">
        <f t="shared" si="38"/>
        <v>10556.2</v>
      </c>
    </row>
    <row r="84" spans="1:18" ht="15">
      <c r="A84" s="51" t="s">
        <v>103</v>
      </c>
      <c r="B84" s="52" t="s">
        <v>184</v>
      </c>
      <c r="C84" s="5">
        <f aca="true" t="shared" si="39" ref="C84:R84">SUM(C85:C86)</f>
        <v>632000</v>
      </c>
      <c r="D84" s="5">
        <f t="shared" si="39"/>
        <v>139040</v>
      </c>
      <c r="E84" s="5">
        <f t="shared" si="39"/>
        <v>771040</v>
      </c>
      <c r="F84" s="36">
        <f t="shared" si="39"/>
        <v>59181</v>
      </c>
      <c r="G84" s="5">
        <f t="shared" si="39"/>
        <v>0</v>
      </c>
      <c r="H84" s="5">
        <f t="shared" si="39"/>
        <v>0</v>
      </c>
      <c r="I84" s="5">
        <f t="shared" si="39"/>
        <v>0</v>
      </c>
      <c r="J84" s="5">
        <f t="shared" si="39"/>
        <v>0</v>
      </c>
      <c r="K84" s="5">
        <f t="shared" si="39"/>
        <v>0</v>
      </c>
      <c r="L84" s="5">
        <f t="shared" si="39"/>
        <v>3200</v>
      </c>
      <c r="M84" s="5">
        <f t="shared" si="39"/>
        <v>3200</v>
      </c>
      <c r="N84" s="5">
        <f t="shared" si="39"/>
        <v>10556.2</v>
      </c>
      <c r="O84" s="5">
        <f t="shared" si="39"/>
        <v>10556.2</v>
      </c>
      <c r="P84" s="5">
        <f t="shared" si="39"/>
        <v>10556.2</v>
      </c>
      <c r="Q84" s="5">
        <f t="shared" si="39"/>
        <v>10556.2</v>
      </c>
      <c r="R84" s="23">
        <f t="shared" si="39"/>
        <v>10556.2</v>
      </c>
    </row>
    <row r="85" spans="1:18" ht="24">
      <c r="A85" s="64" t="s">
        <v>104</v>
      </c>
      <c r="B85" s="54" t="s">
        <v>109</v>
      </c>
      <c r="C85" s="6">
        <f>8000*4</f>
        <v>32000</v>
      </c>
      <c r="D85" s="6">
        <f>C85*0.22</f>
        <v>7040</v>
      </c>
      <c r="E85" s="6">
        <f>C85+D85</f>
        <v>39040</v>
      </c>
      <c r="F85" s="37">
        <v>6400</v>
      </c>
      <c r="G85" s="6"/>
      <c r="H85" s="6"/>
      <c r="I85" s="6"/>
      <c r="J85" s="6"/>
      <c r="K85" s="6"/>
      <c r="L85" s="6">
        <f>$F$85/2</f>
        <v>3200</v>
      </c>
      <c r="M85" s="6">
        <f>$F$85/2</f>
        <v>3200</v>
      </c>
      <c r="N85" s="6"/>
      <c r="O85" s="6"/>
      <c r="P85" s="6"/>
      <c r="Q85" s="6"/>
      <c r="R85" s="24"/>
    </row>
    <row r="86" spans="1:18" ht="15">
      <c r="A86" s="64" t="s">
        <v>106</v>
      </c>
      <c r="B86" s="65" t="s">
        <v>110</v>
      </c>
      <c r="C86" s="6">
        <v>600000</v>
      </c>
      <c r="D86" s="6">
        <f>C86*0.22</f>
        <v>132000</v>
      </c>
      <c r="E86" s="6">
        <f>C86+D86</f>
        <v>732000</v>
      </c>
      <c r="F86" s="37">
        <v>52781</v>
      </c>
      <c r="G86" s="6"/>
      <c r="H86" s="6"/>
      <c r="I86" s="6"/>
      <c r="J86" s="6"/>
      <c r="K86" s="6"/>
      <c r="L86" s="6"/>
      <c r="M86" s="6"/>
      <c r="N86" s="6">
        <f>$F$86/5</f>
        <v>10556.2</v>
      </c>
      <c r="O86" s="6">
        <f>$F$86/5</f>
        <v>10556.2</v>
      </c>
      <c r="P86" s="6">
        <f>$F$86/5</f>
        <v>10556.2</v>
      </c>
      <c r="Q86" s="6">
        <f>$F$86/5</f>
        <v>10556.2</v>
      </c>
      <c r="R86" s="24">
        <f>$F$86/5</f>
        <v>10556.2</v>
      </c>
    </row>
    <row r="87" spans="1:18" ht="15">
      <c r="A87" s="83">
        <v>3.3</v>
      </c>
      <c r="B87" s="82" t="s">
        <v>185</v>
      </c>
      <c r="F87" s="35">
        <f>F88</f>
        <v>50000</v>
      </c>
      <c r="G87" s="3">
        <f aca="true" t="shared" si="40" ref="G87:R87">G88</f>
        <v>0</v>
      </c>
      <c r="H87" s="3">
        <f t="shared" si="40"/>
        <v>0</v>
      </c>
      <c r="I87" s="3">
        <f t="shared" si="40"/>
        <v>0</v>
      </c>
      <c r="J87" s="3">
        <f t="shared" si="40"/>
        <v>25000</v>
      </c>
      <c r="K87" s="3">
        <f t="shared" si="40"/>
        <v>0</v>
      </c>
      <c r="L87" s="3">
        <f t="shared" si="40"/>
        <v>0</v>
      </c>
      <c r="M87" s="3">
        <f t="shared" si="40"/>
        <v>0</v>
      </c>
      <c r="N87" s="3">
        <f t="shared" si="40"/>
        <v>0</v>
      </c>
      <c r="O87" s="3">
        <f t="shared" si="40"/>
        <v>25000</v>
      </c>
      <c r="P87" s="3">
        <f t="shared" si="40"/>
        <v>0</v>
      </c>
      <c r="Q87" s="3">
        <f t="shared" si="40"/>
        <v>0</v>
      </c>
      <c r="R87" s="22">
        <f t="shared" si="40"/>
        <v>0</v>
      </c>
    </row>
    <row r="88" spans="1:18" ht="24">
      <c r="A88" s="81" t="s">
        <v>186</v>
      </c>
      <c r="B88" s="78" t="s">
        <v>187</v>
      </c>
      <c r="F88" s="36">
        <f>SUM(F89)</f>
        <v>50000</v>
      </c>
      <c r="G88" s="5">
        <f aca="true" t="shared" si="41" ref="G88:R88">SUM(G89)</f>
        <v>0</v>
      </c>
      <c r="H88" s="5">
        <f t="shared" si="41"/>
        <v>0</v>
      </c>
      <c r="I88" s="5">
        <f t="shared" si="41"/>
        <v>0</v>
      </c>
      <c r="J88" s="5">
        <f t="shared" si="41"/>
        <v>25000</v>
      </c>
      <c r="K88" s="5">
        <f t="shared" si="41"/>
        <v>0</v>
      </c>
      <c r="L88" s="5">
        <f t="shared" si="41"/>
        <v>0</v>
      </c>
      <c r="M88" s="5">
        <f t="shared" si="41"/>
        <v>0</v>
      </c>
      <c r="N88" s="5">
        <f t="shared" si="41"/>
        <v>0</v>
      </c>
      <c r="O88" s="5">
        <f t="shared" si="41"/>
        <v>25000</v>
      </c>
      <c r="P88" s="5">
        <f t="shared" si="41"/>
        <v>0</v>
      </c>
      <c r="Q88" s="5">
        <f t="shared" si="41"/>
        <v>0</v>
      </c>
      <c r="R88" s="23">
        <f t="shared" si="41"/>
        <v>0</v>
      </c>
    </row>
    <row r="89" spans="1:18" ht="15">
      <c r="A89" s="80" t="s">
        <v>188</v>
      </c>
      <c r="B89" s="79" t="s">
        <v>111</v>
      </c>
      <c r="F89" s="37">
        <v>50000</v>
      </c>
      <c r="J89" s="6">
        <f>$F$89/2</f>
        <v>25000</v>
      </c>
      <c r="K89" s="6"/>
      <c r="L89" s="6"/>
      <c r="M89" s="6"/>
      <c r="N89" s="6"/>
      <c r="O89" s="6">
        <f>$F$89/2</f>
        <v>25000</v>
      </c>
      <c r="R89" s="24"/>
    </row>
    <row r="90" spans="1:20" ht="15">
      <c r="A90" s="55"/>
      <c r="B90" s="56" t="s">
        <v>113</v>
      </c>
      <c r="C90" s="27"/>
      <c r="D90" s="27"/>
      <c r="E90" s="27"/>
      <c r="F90" s="40">
        <f>F87+F83+F62</f>
        <v>351295</v>
      </c>
      <c r="G90" s="27">
        <f aca="true" t="shared" si="42" ref="G90:R90">G87+G83+G62</f>
        <v>1366.0833333333333</v>
      </c>
      <c r="H90" s="27">
        <f t="shared" si="42"/>
        <v>12295.083333333334</v>
      </c>
      <c r="I90" s="27">
        <f t="shared" si="42"/>
        <v>1366.0833333333333</v>
      </c>
      <c r="J90" s="27">
        <f t="shared" si="42"/>
        <v>37295.083333333336</v>
      </c>
      <c r="K90" s="27">
        <f t="shared" si="42"/>
        <v>1366.0833333333333</v>
      </c>
      <c r="L90" s="27">
        <f t="shared" si="42"/>
        <v>15495.083333333334</v>
      </c>
      <c r="M90" s="27">
        <f t="shared" si="42"/>
        <v>37426.083333333336</v>
      </c>
      <c r="N90" s="27">
        <f t="shared" si="42"/>
        <v>70796.28333333334</v>
      </c>
      <c r="O90" s="27">
        <f t="shared" si="42"/>
        <v>56722.283333333326</v>
      </c>
      <c r="P90" s="27">
        <f t="shared" si="42"/>
        <v>48722.28333333334</v>
      </c>
      <c r="Q90" s="27">
        <f t="shared" si="42"/>
        <v>36722.28333333333</v>
      </c>
      <c r="R90" s="28">
        <f t="shared" si="42"/>
        <v>31722.283333333333</v>
      </c>
      <c r="T90" s="11"/>
    </row>
    <row r="91" spans="1:20" ht="15">
      <c r="A91" s="47">
        <v>4</v>
      </c>
      <c r="B91" s="48" t="s">
        <v>114</v>
      </c>
      <c r="C91" s="2">
        <f aca="true" t="shared" si="43" ref="C91:R91">C92+C97</f>
        <v>496864</v>
      </c>
      <c r="D91" s="2">
        <f t="shared" si="43"/>
        <v>100531.2</v>
      </c>
      <c r="E91" s="2">
        <f t="shared" si="43"/>
        <v>597395.2</v>
      </c>
      <c r="F91" s="34">
        <f t="shared" si="43"/>
        <v>67108</v>
      </c>
      <c r="G91" s="2">
        <f t="shared" si="43"/>
        <v>0</v>
      </c>
      <c r="H91" s="2">
        <f t="shared" si="43"/>
        <v>0</v>
      </c>
      <c r="I91" s="2">
        <f t="shared" si="43"/>
        <v>0</v>
      </c>
      <c r="J91" s="2">
        <f t="shared" si="43"/>
        <v>0</v>
      </c>
      <c r="K91" s="2">
        <f t="shared" si="43"/>
        <v>0</v>
      </c>
      <c r="L91" s="2">
        <f t="shared" si="43"/>
        <v>0</v>
      </c>
      <c r="M91" s="2">
        <f t="shared" si="43"/>
        <v>9518</v>
      </c>
      <c r="N91" s="2">
        <f t="shared" si="43"/>
        <v>9518</v>
      </c>
      <c r="O91" s="2">
        <f t="shared" si="43"/>
        <v>9518</v>
      </c>
      <c r="P91" s="2">
        <f t="shared" si="43"/>
        <v>9518</v>
      </c>
      <c r="Q91" s="2">
        <f t="shared" si="43"/>
        <v>9518</v>
      </c>
      <c r="R91" s="21">
        <f t="shared" si="43"/>
        <v>19518</v>
      </c>
      <c r="T91" s="11"/>
    </row>
    <row r="92" spans="1:18" ht="15">
      <c r="A92" s="49">
        <v>4.1</v>
      </c>
      <c r="B92" s="50" t="s">
        <v>115</v>
      </c>
      <c r="C92" s="3">
        <f aca="true" t="shared" si="44" ref="C92:R92">SUM(C93:C96)</f>
        <v>456864</v>
      </c>
      <c r="D92" s="3">
        <f t="shared" si="44"/>
        <v>100531.2</v>
      </c>
      <c r="E92" s="3">
        <f t="shared" si="44"/>
        <v>557395.2</v>
      </c>
      <c r="F92" s="35">
        <f t="shared" si="44"/>
        <v>57108</v>
      </c>
      <c r="G92" s="3">
        <f t="shared" si="44"/>
        <v>0</v>
      </c>
      <c r="H92" s="3">
        <f t="shared" si="44"/>
        <v>0</v>
      </c>
      <c r="I92" s="3">
        <f t="shared" si="44"/>
        <v>0</v>
      </c>
      <c r="J92" s="3">
        <f t="shared" si="44"/>
        <v>0</v>
      </c>
      <c r="K92" s="3">
        <f t="shared" si="44"/>
        <v>0</v>
      </c>
      <c r="L92" s="3">
        <f t="shared" si="44"/>
        <v>0</v>
      </c>
      <c r="M92" s="3">
        <f t="shared" si="44"/>
        <v>9518</v>
      </c>
      <c r="N92" s="3">
        <f t="shared" si="44"/>
        <v>9518</v>
      </c>
      <c r="O92" s="3">
        <f t="shared" si="44"/>
        <v>9518</v>
      </c>
      <c r="P92" s="3">
        <f t="shared" si="44"/>
        <v>9518</v>
      </c>
      <c r="Q92" s="3">
        <f t="shared" si="44"/>
        <v>9518</v>
      </c>
      <c r="R92" s="22">
        <f t="shared" si="44"/>
        <v>9518</v>
      </c>
    </row>
    <row r="93" spans="1:18" ht="15">
      <c r="A93" s="64" t="s">
        <v>116</v>
      </c>
      <c r="B93" s="65" t="s">
        <v>117</v>
      </c>
      <c r="C93" s="6">
        <f>3461*48</f>
        <v>166128</v>
      </c>
      <c r="D93" s="6">
        <f>761.4*48</f>
        <v>36547.2</v>
      </c>
      <c r="E93" s="6">
        <f>C93+D93</f>
        <v>202675.2</v>
      </c>
      <c r="F93" s="37">
        <v>20766</v>
      </c>
      <c r="G93" s="6"/>
      <c r="H93" s="6"/>
      <c r="I93" s="6"/>
      <c r="J93" s="6"/>
      <c r="K93" s="6"/>
      <c r="L93" s="6"/>
      <c r="M93" s="6">
        <f aca="true" t="shared" si="45" ref="M93:R93">$F$93/6</f>
        <v>3461</v>
      </c>
      <c r="N93" s="6">
        <f t="shared" si="45"/>
        <v>3461</v>
      </c>
      <c r="O93" s="6">
        <f t="shared" si="45"/>
        <v>3461</v>
      </c>
      <c r="P93" s="6">
        <f t="shared" si="45"/>
        <v>3461</v>
      </c>
      <c r="Q93" s="6">
        <f t="shared" si="45"/>
        <v>3461</v>
      </c>
      <c r="R93" s="24">
        <f t="shared" si="45"/>
        <v>3461</v>
      </c>
    </row>
    <row r="94" spans="1:18" ht="15">
      <c r="A94" s="64" t="s">
        <v>118</v>
      </c>
      <c r="B94" s="65" t="s">
        <v>121</v>
      </c>
      <c r="C94" s="6">
        <f>2769*48</f>
        <v>132912</v>
      </c>
      <c r="D94" s="6">
        <f>609*48</f>
        <v>29232</v>
      </c>
      <c r="E94" s="6">
        <f>C94+D94</f>
        <v>162144</v>
      </c>
      <c r="F94" s="37">
        <v>16614</v>
      </c>
      <c r="G94" s="6"/>
      <c r="H94" s="6"/>
      <c r="I94" s="6"/>
      <c r="J94" s="6"/>
      <c r="K94" s="6"/>
      <c r="L94" s="6"/>
      <c r="M94" s="6">
        <f aca="true" t="shared" si="46" ref="M94:R94">$F$94/6</f>
        <v>2769</v>
      </c>
      <c r="N94" s="6">
        <f t="shared" si="46"/>
        <v>2769</v>
      </c>
      <c r="O94" s="6">
        <f t="shared" si="46"/>
        <v>2769</v>
      </c>
      <c r="P94" s="6">
        <f t="shared" si="46"/>
        <v>2769</v>
      </c>
      <c r="Q94" s="6">
        <f t="shared" si="46"/>
        <v>2769</v>
      </c>
      <c r="R94" s="24">
        <f t="shared" si="46"/>
        <v>2769</v>
      </c>
    </row>
    <row r="95" spans="1:18" ht="15">
      <c r="A95" s="64" t="s">
        <v>120</v>
      </c>
      <c r="B95" s="65" t="s">
        <v>123</v>
      </c>
      <c r="C95" s="6">
        <f>1731*48</f>
        <v>83088</v>
      </c>
      <c r="D95" s="6">
        <f>381*48</f>
        <v>18288</v>
      </c>
      <c r="E95" s="6">
        <f>C95+D95</f>
        <v>101376</v>
      </c>
      <c r="F95" s="37">
        <v>10386</v>
      </c>
      <c r="G95" s="6"/>
      <c r="H95" s="6"/>
      <c r="I95" s="6"/>
      <c r="J95" s="6"/>
      <c r="K95" s="6"/>
      <c r="L95" s="6"/>
      <c r="M95" s="6">
        <f aca="true" t="shared" si="47" ref="M95:R95">$F$95/6</f>
        <v>1731</v>
      </c>
      <c r="N95" s="6">
        <f t="shared" si="47"/>
        <v>1731</v>
      </c>
      <c r="O95" s="6">
        <f t="shared" si="47"/>
        <v>1731</v>
      </c>
      <c r="P95" s="6">
        <f t="shared" si="47"/>
        <v>1731</v>
      </c>
      <c r="Q95" s="6">
        <f t="shared" si="47"/>
        <v>1731</v>
      </c>
      <c r="R95" s="24">
        <f t="shared" si="47"/>
        <v>1731</v>
      </c>
    </row>
    <row r="96" spans="1:18" ht="15">
      <c r="A96" s="64" t="s">
        <v>122</v>
      </c>
      <c r="B96" s="65" t="s">
        <v>124</v>
      </c>
      <c r="C96" s="6">
        <f>1557*48</f>
        <v>74736</v>
      </c>
      <c r="D96" s="6">
        <f>343*48</f>
        <v>16464</v>
      </c>
      <c r="E96" s="6">
        <f>C96+D96</f>
        <v>91200</v>
      </c>
      <c r="F96" s="37">
        <v>9342</v>
      </c>
      <c r="G96" s="6"/>
      <c r="H96" s="6"/>
      <c r="I96" s="6"/>
      <c r="J96" s="6"/>
      <c r="K96" s="6"/>
      <c r="L96" s="6"/>
      <c r="M96" s="6">
        <f aca="true" t="shared" si="48" ref="M96:R96">$F$96/6</f>
        <v>1557</v>
      </c>
      <c r="N96" s="6">
        <f t="shared" si="48"/>
        <v>1557</v>
      </c>
      <c r="O96" s="6">
        <f t="shared" si="48"/>
        <v>1557</v>
      </c>
      <c r="P96" s="6">
        <f t="shared" si="48"/>
        <v>1557</v>
      </c>
      <c r="Q96" s="6">
        <f t="shared" si="48"/>
        <v>1557</v>
      </c>
      <c r="R96" s="24">
        <f t="shared" si="48"/>
        <v>1557</v>
      </c>
    </row>
    <row r="97" spans="1:18" ht="15">
      <c r="A97" s="49">
        <v>4.2</v>
      </c>
      <c r="B97" s="50" t="s">
        <v>125</v>
      </c>
      <c r="C97" s="3">
        <f>C98</f>
        <v>40000</v>
      </c>
      <c r="D97" s="3">
        <f>D98</f>
        <v>0</v>
      </c>
      <c r="E97" s="3">
        <f>E98</f>
        <v>40000</v>
      </c>
      <c r="F97" s="35">
        <f>F98</f>
        <v>10000</v>
      </c>
      <c r="G97" s="3">
        <f aca="true" t="shared" si="49" ref="G97:R97">G98</f>
        <v>0</v>
      </c>
      <c r="H97" s="3">
        <f t="shared" si="49"/>
        <v>0</v>
      </c>
      <c r="I97" s="3">
        <f t="shared" si="49"/>
        <v>0</v>
      </c>
      <c r="J97" s="3">
        <f t="shared" si="49"/>
        <v>0</v>
      </c>
      <c r="K97" s="3">
        <f t="shared" si="49"/>
        <v>0</v>
      </c>
      <c r="L97" s="3">
        <f t="shared" si="49"/>
        <v>0</v>
      </c>
      <c r="M97" s="3">
        <f t="shared" si="49"/>
        <v>0</v>
      </c>
      <c r="N97" s="3">
        <f t="shared" si="49"/>
        <v>0</v>
      </c>
      <c r="O97" s="3">
        <f t="shared" si="49"/>
        <v>0</v>
      </c>
      <c r="P97" s="3">
        <f t="shared" si="49"/>
        <v>0</v>
      </c>
      <c r="Q97" s="3">
        <f t="shared" si="49"/>
        <v>0</v>
      </c>
      <c r="R97" s="22">
        <f t="shared" si="49"/>
        <v>10000</v>
      </c>
    </row>
    <row r="98" spans="1:18" ht="15">
      <c r="A98" s="64" t="s">
        <v>126</v>
      </c>
      <c r="B98" s="65" t="s">
        <v>127</v>
      </c>
      <c r="C98" s="6">
        <v>40000</v>
      </c>
      <c r="D98" s="6">
        <v>0</v>
      </c>
      <c r="E98" s="6">
        <v>40000</v>
      </c>
      <c r="F98" s="37">
        <f>$C$98/4</f>
        <v>10000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/>
      <c r="P98" s="6">
        <v>0</v>
      </c>
      <c r="Q98" s="6">
        <v>0</v>
      </c>
      <c r="R98" s="24">
        <v>10000</v>
      </c>
    </row>
    <row r="99" spans="1:20" ht="15">
      <c r="A99" s="55"/>
      <c r="B99" s="56" t="s">
        <v>128</v>
      </c>
      <c r="C99" s="27">
        <f aca="true" t="shared" si="50" ref="C99:R99">C91</f>
        <v>496864</v>
      </c>
      <c r="D99" s="27">
        <f t="shared" si="50"/>
        <v>100531.2</v>
      </c>
      <c r="E99" s="27">
        <f t="shared" si="50"/>
        <v>597395.2</v>
      </c>
      <c r="F99" s="40">
        <f t="shared" si="50"/>
        <v>67108</v>
      </c>
      <c r="G99" s="27">
        <f t="shared" si="50"/>
        <v>0</v>
      </c>
      <c r="H99" s="27">
        <f t="shared" si="50"/>
        <v>0</v>
      </c>
      <c r="I99" s="27">
        <f t="shared" si="50"/>
        <v>0</v>
      </c>
      <c r="J99" s="27">
        <f t="shared" si="50"/>
        <v>0</v>
      </c>
      <c r="K99" s="27">
        <f t="shared" si="50"/>
        <v>0</v>
      </c>
      <c r="L99" s="27">
        <f t="shared" si="50"/>
        <v>0</v>
      </c>
      <c r="M99" s="27">
        <f t="shared" si="50"/>
        <v>9518</v>
      </c>
      <c r="N99" s="27">
        <f t="shared" si="50"/>
        <v>9518</v>
      </c>
      <c r="O99" s="27">
        <f t="shared" si="50"/>
        <v>9518</v>
      </c>
      <c r="P99" s="27">
        <f t="shared" si="50"/>
        <v>9518</v>
      </c>
      <c r="Q99" s="27">
        <f t="shared" si="50"/>
        <v>9518</v>
      </c>
      <c r="R99" s="28">
        <f t="shared" si="50"/>
        <v>19518</v>
      </c>
      <c r="T99" s="11"/>
    </row>
    <row r="100" spans="1:18" ht="15">
      <c r="A100" s="64"/>
      <c r="B100" s="65" t="s">
        <v>129</v>
      </c>
      <c r="C100" s="6">
        <v>0</v>
      </c>
      <c r="D100" s="6">
        <f>C100*0.22</f>
        <v>0</v>
      </c>
      <c r="E100" s="6">
        <f>C100+D100</f>
        <v>0</v>
      </c>
      <c r="F100" s="37">
        <f>$C$100/4</f>
        <v>0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24"/>
    </row>
    <row r="101" spans="1:20" ht="15">
      <c r="A101" s="66"/>
      <c r="B101" s="67" t="s">
        <v>130</v>
      </c>
      <c r="C101" s="29" t="e">
        <f aca="true" t="shared" si="51" ref="C101:R101">C99+C61+C35+C7+C100</f>
        <v>#REF!</v>
      </c>
      <c r="D101" s="29" t="e">
        <f t="shared" si="51"/>
        <v>#REF!</v>
      </c>
      <c r="E101" s="29" t="e">
        <f t="shared" si="51"/>
        <v>#REF!</v>
      </c>
      <c r="F101" s="42">
        <f t="shared" si="51"/>
        <v>1078429.5</v>
      </c>
      <c r="G101" s="29">
        <f t="shared" si="51"/>
        <v>1366.0833333333333</v>
      </c>
      <c r="H101" s="29">
        <f t="shared" si="51"/>
        <v>12295.083333333334</v>
      </c>
      <c r="I101" s="29">
        <f t="shared" si="51"/>
        <v>1366.0833333333333</v>
      </c>
      <c r="J101" s="29">
        <f t="shared" si="51"/>
        <v>87913.08333333334</v>
      </c>
      <c r="K101" s="29">
        <f t="shared" si="51"/>
        <v>28961.083333333332</v>
      </c>
      <c r="L101" s="29">
        <f t="shared" si="51"/>
        <v>116749.08333333333</v>
      </c>
      <c r="M101" s="29">
        <f t="shared" si="51"/>
        <v>293666.3833333333</v>
      </c>
      <c r="N101" s="29">
        <f t="shared" si="51"/>
        <v>100232.28333333334</v>
      </c>
      <c r="O101" s="29">
        <f t="shared" si="51"/>
        <v>66240.28333333333</v>
      </c>
      <c r="P101" s="29">
        <f t="shared" si="51"/>
        <v>82912.95000000001</v>
      </c>
      <c r="Q101" s="29">
        <f t="shared" si="51"/>
        <v>219609.15000000002</v>
      </c>
      <c r="R101" s="30">
        <f t="shared" si="51"/>
        <v>67117.95</v>
      </c>
      <c r="T101" s="11"/>
    </row>
    <row r="102" spans="2:5" ht="15">
      <c r="B102" s="12"/>
      <c r="C102" s="6">
        <v>6000000</v>
      </c>
      <c r="D102" s="6">
        <v>2000000</v>
      </c>
      <c r="E102" s="6">
        <f>C102+D102</f>
        <v>8000000</v>
      </c>
    </row>
    <row r="103" spans="3:4" ht="15">
      <c r="C103" s="6" t="e">
        <f>C102-C101</f>
        <v>#REF!</v>
      </c>
      <c r="D103" s="6" t="e">
        <f>D102-D101</f>
        <v>#REF!</v>
      </c>
    </row>
    <row r="104" ht="15">
      <c r="B104" s="13"/>
    </row>
    <row r="105" ht="15">
      <c r="B105" s="13"/>
    </row>
    <row r="106" ht="15">
      <c r="B106" s="13"/>
    </row>
  </sheetData>
  <sheetProtection selectLockedCells="1" selectUnlockedCells="1"/>
  <mergeCells count="1">
    <mergeCell ref="G4:R4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r:id="rId1"/>
  <ignoredErrors>
    <ignoredError sqref="G46:R46 G52:R52 F53:R58 F52 G7:R7 F6:R6 F8:R8 F7 F14:R22 F24:R33 F35:R36 R38:R39 F41:R42 R44 F46:F47 P49:Q49 F83:R83 F61:R62 F87 F91:R92 F97:R97 G87:R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Operativo Anual (POA)</dc:title>
  <dc:subject/>
  <dc:creator>IADB</dc:creator>
  <cp:keywords/>
  <dc:description/>
  <cp:lastModifiedBy>Melissa Gonzalez</cp:lastModifiedBy>
  <cp:lastPrinted>2016-08-10T18:17:12Z</cp:lastPrinted>
  <dcterms:created xsi:type="dcterms:W3CDTF">2016-08-03T18:22:36Z</dcterms:created>
  <dcterms:modified xsi:type="dcterms:W3CDTF">2016-08-29T21:38:25Z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Inter-American Development Bank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TaxKeywordTaxHTField">
    <vt:lpwstr/>
  </property>
  <property fmtid="{D5CDD505-2E9C-101B-9397-08002B2CF9AE}" pid="10" name="TaxKeyword">
    <vt:lpwstr/>
  </property>
  <property fmtid="{D5CDD505-2E9C-101B-9397-08002B2CF9AE}" pid="11" name="TaxCatchAll">
    <vt:lpwstr/>
  </property>
  <property fmtid="{D5CDD505-2E9C-101B-9397-08002B2CF9AE}" pid="12" name="display_urn:schemas-microsoft-com:office:office#Editor">
    <vt:lpwstr>Serrano Berthet, Rodrigo</vt:lpwstr>
  </property>
  <property fmtid="{D5CDD505-2E9C-101B-9397-08002B2CF9AE}" pid="13" name="Access to Information Policy">
    <vt:lpwstr>Public</vt:lpwstr>
  </property>
  <property fmtid="{D5CDD505-2E9C-101B-9397-08002B2CF9AE}" pid="14" name="Other Author">
    <vt:lpwstr/>
  </property>
  <property fmtid="{D5CDD505-2E9C-101B-9397-08002B2CF9AE}" pid="15" name="Division or Unit">
    <vt:lpwstr>IFD/ICS</vt:lpwstr>
  </property>
  <property fmtid="{D5CDD505-2E9C-101B-9397-08002B2CF9AE}" pid="16" name="Business Area">
    <vt:lpwstr/>
  </property>
  <property fmtid="{D5CDD505-2E9C-101B-9397-08002B2CF9AE}" pid="17" name="Webtopic">
    <vt:lpwstr>RM-GIP</vt:lpwstr>
  </property>
  <property fmtid="{D5CDD505-2E9C-101B-9397-08002B2CF9AE}" pid="18" name="display_urn:schemas-microsoft-com:office:office#Author">
    <vt:lpwstr>Serrano Berthet, Rodrigo</vt:lpwstr>
  </property>
  <property fmtid="{D5CDD505-2E9C-101B-9397-08002B2CF9AE}" pid="19" name="Project Number">
    <vt:lpwstr>UR-L1112</vt:lpwstr>
  </property>
  <property fmtid="{D5CDD505-2E9C-101B-9397-08002B2CF9AE}" pid="20" name="From:">
    <vt:lpwstr/>
  </property>
  <property fmtid="{D5CDD505-2E9C-101B-9397-08002B2CF9AE}" pid="21" name="To:">
    <vt:lpwstr/>
  </property>
  <property fmtid="{D5CDD505-2E9C-101B-9397-08002B2CF9AE}" pid="22" name="Identifier">
    <vt:lpwstr> TECFILE</vt:lpwstr>
  </property>
  <property fmtid="{D5CDD505-2E9C-101B-9397-08002B2CF9AE}" pid="23" name="Project Document Type">
    <vt:lpwstr/>
  </property>
  <property fmtid="{D5CDD505-2E9C-101B-9397-08002B2CF9AE}" pid="24" name="IDBDocs Number">
    <vt:lpwstr>40565158</vt:lpwstr>
  </property>
  <property fmtid="{D5CDD505-2E9C-101B-9397-08002B2CF9AE}" pid="25" name="Migration Info">
    <vt:lpwstr>&lt;Data&gt;&lt;APPLICATION&gt;MS EXCEL&lt;/APPLICATION&gt;&lt;USER_STAGE&gt;Loan Proposal&lt;/USER_STAGE&gt;&lt;PD_OBJ_TYPE&gt;0&lt;/PD_OBJ_TYPE&gt;&lt;MAKERECORD&gt;N&lt;/MAKERECORD&gt;&lt;/Data&gt;</vt:lpwstr>
  </property>
  <property fmtid="{D5CDD505-2E9C-101B-9397-08002B2CF9AE}" pid="26" name="Document Author">
    <vt:lpwstr>Serrano Berthet, Rodrigo</vt:lpwstr>
  </property>
  <property fmtid="{D5CDD505-2E9C-101B-9397-08002B2CF9AE}" pid="27" name="Approval Number">
    <vt:lpwstr/>
  </property>
  <property fmtid="{D5CDD505-2E9C-101B-9397-08002B2CF9AE}" pid="28" name="Document Language IDB">
    <vt:lpwstr>Spanish</vt:lpwstr>
  </property>
  <property fmtid="{D5CDD505-2E9C-101B-9397-08002B2CF9AE}" pid="29" name="Fiscal Year IDB">
    <vt:lpwstr>2016</vt:lpwstr>
  </property>
  <property fmtid="{D5CDD505-2E9C-101B-9397-08002B2CF9AE}" pid="30" name="Disclosure Activity">
    <vt:lpwstr>Loan Proposal</vt:lpwstr>
  </property>
</Properties>
</file>