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eiotu-my.sharepoint.com/personal/gerley_hernandez_aeiotu_org/Documents/Documentos/BID/Bid Soacha 2020/2023/Solicitud de desembolso 4/"/>
    </mc:Choice>
  </mc:AlternateContent>
  <xr:revisionPtr revIDLastSave="18" documentId="8_{05A22476-FA8E-4975-BD36-46510DBC4A7A}" xr6:coauthVersionLast="47" xr6:coauthVersionMax="47" xr10:uidLastSave="{44164B7D-D473-4C89-A8E7-3FE838BC959D}"/>
  <bookViews>
    <workbookView xWindow="-120" yWindow="-120" windowWidth="20730" windowHeight="11160" activeTab="1" xr2:uid="{00000000-000D-0000-FFFF-FFFF00000000}"/>
  </bookViews>
  <sheets>
    <sheet name="PA Mayo 2023" sheetId="1" r:id="rId1"/>
    <sheet name="Plan Financiero Total Ajustado" sheetId="4" r:id="rId2"/>
    <sheet name="Leidy" sheetId="5" state="hidden" r:id="rId3"/>
    <sheet name="Plan Financiero Total" sheetId="3" state="hidden" r:id="rId4"/>
    <sheet name="Hoja1" sheetId="2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ct_ct">'[1]Relación pagos Contrapartida'!#REF!</definedName>
    <definedName name="Actividad_Ejecucion">#REF!</definedName>
    <definedName name="Actividad_ejecutada">'[2]Relación pagos OIM'!#REF!</definedName>
    <definedName name="Actividades_Contrapartida">#REF!</definedName>
    <definedName name="_xlnm.Print_Area" localSheetId="2">Leidy!$A$4:$L$27</definedName>
    <definedName name="_xlnm.Print_Area" localSheetId="0">'PA Mayo 2023'!$A$4:$N$35</definedName>
    <definedName name="cta_cont">#REF!</definedName>
    <definedName name="cta_ct">#REF!</definedName>
    <definedName name="cta_ejec">#REF!</definedName>
    <definedName name="Curso_Ejecutado">'[3]Relación pagos OIM'!$K$17:$K$104</definedName>
    <definedName name="Cursos">#REF!</definedName>
    <definedName name="feccont">#REF!</definedName>
    <definedName name="FecEjec">#REF!</definedName>
    <definedName name="INFORMES">'[4]Corte Informes'!$A$3:$C$17</definedName>
    <definedName name="LAAATEcont">#REF!</definedName>
    <definedName name="LAAATEEJE">#REF!</definedName>
    <definedName name="Llacap">#REF!</definedName>
    <definedName name="llacapcont">#REF!</definedName>
    <definedName name="llavecont">#REF!</definedName>
    <definedName name="M">'[5]Ejecución Rubros OIM'!$A$31:$A$39</definedName>
    <definedName name="neto_ct">#REF!</definedName>
    <definedName name="OIM">'[6]Ejecución Rubros OIM'!$B$32:$B$37</definedName>
    <definedName name="Procurement">[7]List!$E$4:$E$9</definedName>
    <definedName name="rete_ct">#REF!</definedName>
    <definedName name="rev_cont">#REF!</definedName>
    <definedName name="rev_ejec">#REF!</definedName>
    <definedName name="rub_cont">#REF!</definedName>
    <definedName name="rub_ct">#REF!</definedName>
    <definedName name="rubcont">#REF!</definedName>
    <definedName name="rubejecon">#REF!</definedName>
    <definedName name="Rubro">#REF!</definedName>
    <definedName name="Rubro_ejecutado">#REF!</definedName>
    <definedName name="rubrocontrapartida">#REF!</definedName>
    <definedName name="Rubros_Contrapartida">#REF!</definedName>
    <definedName name="Rubros_Eje_Muestra">#REF!</definedName>
    <definedName name="Rubros_Ejecucion">#REF!</definedName>
    <definedName name="_xlnm.Print_Titles" localSheetId="2">Leidy!$10:$11</definedName>
    <definedName name="_xlnm.Print_Titles" localSheetId="0">'PA Mayo 2023'!$10:$11</definedName>
    <definedName name="x">[8]List!$E$4:$E$9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5" l="1"/>
  <c r="E16" i="5"/>
  <c r="E14" i="5"/>
  <c r="E17" i="5"/>
  <c r="E15" i="5"/>
  <c r="E19" i="5"/>
  <c r="E12" i="5"/>
  <c r="E23" i="4"/>
  <c r="F32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E30" i="4"/>
  <c r="E29" i="4"/>
  <c r="E28" i="4"/>
  <c r="E27" i="4"/>
  <c r="E26" i="4"/>
  <c r="E25" i="4"/>
  <c r="E24" i="4"/>
  <c r="E22" i="4"/>
  <c r="E21" i="4"/>
  <c r="E20" i="4"/>
  <c r="E19" i="4"/>
  <c r="E18" i="4"/>
  <c r="D33" i="4"/>
  <c r="D43" i="4" s="1"/>
  <c r="C33" i="4"/>
  <c r="C43" i="4" s="1"/>
  <c r="D29" i="4"/>
  <c r="D28" i="4"/>
  <c r="D27" i="4"/>
  <c r="D26" i="4"/>
  <c r="D25" i="4"/>
  <c r="D24" i="4"/>
  <c r="D23" i="4"/>
  <c r="D22" i="4"/>
  <c r="D21" i="4"/>
  <c r="D20" i="4"/>
  <c r="D19" i="4"/>
  <c r="D18" i="4"/>
  <c r="C25" i="4"/>
  <c r="C31" i="4"/>
  <c r="C30" i="4"/>
  <c r="C29" i="4"/>
  <c r="C28" i="4"/>
  <c r="C27" i="4"/>
  <c r="C26" i="4"/>
  <c r="C24" i="4"/>
  <c r="C23" i="4"/>
  <c r="C22" i="4"/>
  <c r="C21" i="4"/>
  <c r="C20" i="4"/>
  <c r="C19" i="4"/>
  <c r="C18" i="4"/>
  <c r="F43" i="4"/>
  <c r="E43" i="4"/>
  <c r="D13" i="4"/>
  <c r="E13" i="4"/>
  <c r="F13" i="4"/>
  <c r="E26" i="1"/>
  <c r="O26" i="1" s="1"/>
  <c r="E18" i="1"/>
  <c r="E25" i="1"/>
  <c r="O25" i="1"/>
  <c r="E24" i="1"/>
  <c r="O24" i="1" s="1"/>
  <c r="E22" i="1"/>
  <c r="O22" i="1" s="1"/>
  <c r="E21" i="1"/>
  <c r="O21" i="1" s="1"/>
  <c r="E19" i="1"/>
  <c r="O19" i="1" s="1"/>
  <c r="E16" i="1"/>
  <c r="O16" i="1" s="1"/>
  <c r="E15" i="1"/>
  <c r="O15" i="1" s="1"/>
  <c r="E14" i="1"/>
  <c r="O14" i="1" s="1"/>
  <c r="E13" i="1"/>
  <c r="O13" i="1" s="1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32" i="3"/>
  <c r="C42" i="3"/>
  <c r="AF31" i="3"/>
  <c r="AF30" i="3"/>
  <c r="AB30" i="3"/>
  <c r="T30" i="3"/>
  <c r="T29" i="3"/>
  <c r="U29" i="3"/>
  <c r="V29" i="3"/>
  <c r="W29" i="3"/>
  <c r="X29" i="3"/>
  <c r="Y29" i="3"/>
  <c r="Z29" i="3"/>
  <c r="AA29" i="3"/>
  <c r="AC29" i="3"/>
  <c r="S29" i="3"/>
  <c r="R29" i="3"/>
  <c r="Q29" i="3"/>
  <c r="O29" i="3"/>
  <c r="P28" i="3"/>
  <c r="O28" i="3"/>
  <c r="N28" i="3"/>
  <c r="R27" i="3"/>
  <c r="T27" i="3"/>
  <c r="U27" i="3"/>
  <c r="V27" i="3"/>
  <c r="W27" i="3"/>
  <c r="X27" i="3"/>
  <c r="Y27" i="3"/>
  <c r="Z27" i="3"/>
  <c r="AA27" i="3"/>
  <c r="AC27" i="3"/>
  <c r="Q27" i="3"/>
  <c r="S27" i="3"/>
  <c r="P27" i="3"/>
  <c r="AB27" i="3"/>
  <c r="O27" i="3"/>
  <c r="P26" i="3"/>
  <c r="Q26" i="3"/>
  <c r="O26" i="3"/>
  <c r="L26" i="3"/>
  <c r="AC25" i="3"/>
  <c r="AA25" i="3"/>
  <c r="R25" i="3"/>
  <c r="S25" i="3"/>
  <c r="T25" i="3"/>
  <c r="U25" i="3"/>
  <c r="V25" i="3"/>
  <c r="W25" i="3"/>
  <c r="X25" i="3"/>
  <c r="Q25" i="3"/>
  <c r="O25" i="3"/>
  <c r="AA24" i="3"/>
  <c r="AC24" i="3"/>
  <c r="Q24" i="3"/>
  <c r="R24" i="3"/>
  <c r="S24" i="3"/>
  <c r="T24" i="3"/>
  <c r="U24" i="3"/>
  <c r="V24" i="3"/>
  <c r="W24" i="3"/>
  <c r="X24" i="3"/>
  <c r="P24" i="3"/>
  <c r="AB24" i="3"/>
  <c r="O24" i="3"/>
  <c r="R23" i="3"/>
  <c r="S23" i="3"/>
  <c r="T23" i="3"/>
  <c r="U23" i="3"/>
  <c r="V23" i="3"/>
  <c r="W23" i="3"/>
  <c r="X23" i="3"/>
  <c r="Y23" i="3"/>
  <c r="Z23" i="3"/>
  <c r="AA23" i="3"/>
  <c r="AC23" i="3"/>
  <c r="P23" i="3"/>
  <c r="O23" i="3"/>
  <c r="AC22" i="3"/>
  <c r="AF22" i="3"/>
  <c r="Y22" i="3"/>
  <c r="AB22" i="3"/>
  <c r="O22" i="3"/>
  <c r="S21" i="3"/>
  <c r="T21" i="3"/>
  <c r="U21" i="3"/>
  <c r="V21" i="3"/>
  <c r="W21" i="3"/>
  <c r="R21" i="3"/>
  <c r="P21" i="3"/>
  <c r="O21" i="3"/>
  <c r="S20" i="3"/>
  <c r="T20" i="3"/>
  <c r="U20" i="3"/>
  <c r="V20" i="3"/>
  <c r="W20" i="3"/>
  <c r="R20" i="3"/>
  <c r="P20" i="3"/>
  <c r="O20" i="3"/>
  <c r="P19" i="3"/>
  <c r="O19" i="3"/>
  <c r="P18" i="3"/>
  <c r="Q18" i="3"/>
  <c r="O18" i="3"/>
  <c r="O17" i="3"/>
  <c r="O16" i="3"/>
  <c r="O34" i="3"/>
  <c r="N17" i="3"/>
  <c r="M17" i="3"/>
  <c r="L17" i="3"/>
  <c r="K17" i="3"/>
  <c r="K16" i="3"/>
  <c r="J17" i="3"/>
  <c r="I17" i="3"/>
  <c r="H17" i="3"/>
  <c r="G17" i="3"/>
  <c r="G16" i="3"/>
  <c r="F17" i="3"/>
  <c r="E17" i="3"/>
  <c r="D17" i="3"/>
  <c r="C17" i="3"/>
  <c r="C16" i="3"/>
  <c r="N16" i="3"/>
  <c r="M16" i="3"/>
  <c r="L16" i="3"/>
  <c r="J16" i="3"/>
  <c r="I16" i="3"/>
  <c r="H16" i="3"/>
  <c r="F16" i="3"/>
  <c r="E16" i="3"/>
  <c r="D16" i="3"/>
  <c r="D14" i="3"/>
  <c r="E14" i="3"/>
  <c r="F14" i="3"/>
  <c r="G14" i="3"/>
  <c r="H14" i="3"/>
  <c r="I14" i="3"/>
  <c r="J14" i="3"/>
  <c r="K14" i="3"/>
  <c r="L14" i="3"/>
  <c r="M14" i="3"/>
  <c r="N14" i="3"/>
  <c r="P14" i="3"/>
  <c r="Q14" i="3"/>
  <c r="R14" i="3"/>
  <c r="S14" i="3"/>
  <c r="T14" i="3"/>
  <c r="U14" i="3"/>
  <c r="V14" i="3"/>
  <c r="W14" i="3"/>
  <c r="X14" i="3"/>
  <c r="Y14" i="3"/>
  <c r="Z14" i="3"/>
  <c r="AA14" i="3"/>
  <c r="AC14" i="3"/>
  <c r="AD14" i="3"/>
  <c r="AE14" i="3"/>
  <c r="AD13" i="3"/>
  <c r="AE13" i="3"/>
  <c r="AC13" i="3"/>
  <c r="R13" i="3"/>
  <c r="S13" i="3"/>
  <c r="T13" i="3"/>
  <c r="U13" i="3"/>
  <c r="V13" i="3"/>
  <c r="W13" i="3"/>
  <c r="X13" i="3"/>
  <c r="Y13" i="3"/>
  <c r="Z13" i="3"/>
  <c r="AA13" i="3"/>
  <c r="Q13" i="3"/>
  <c r="K13" i="3"/>
  <c r="L13" i="3"/>
  <c r="M13" i="3"/>
  <c r="N13" i="3"/>
  <c r="D13" i="3"/>
  <c r="E13" i="3"/>
  <c r="F13" i="3"/>
  <c r="G13" i="3"/>
  <c r="H13" i="3"/>
  <c r="I13" i="3"/>
  <c r="C34" i="3"/>
  <c r="D15" i="3"/>
  <c r="D34" i="3"/>
  <c r="E15" i="3"/>
  <c r="E34" i="3"/>
  <c r="F15" i="3"/>
  <c r="F34" i="3"/>
  <c r="G15" i="3"/>
  <c r="G34" i="3"/>
  <c r="H15" i="3"/>
  <c r="H34" i="3"/>
  <c r="I15" i="3"/>
  <c r="I34" i="3"/>
  <c r="J15" i="3"/>
  <c r="J34" i="3"/>
  <c r="K15" i="3"/>
  <c r="K34" i="3"/>
  <c r="L15" i="3"/>
  <c r="L34" i="3"/>
  <c r="M15" i="3"/>
  <c r="M34" i="3"/>
  <c r="N15" i="3"/>
  <c r="N34" i="3"/>
  <c r="P15" i="3"/>
  <c r="X21" i="3"/>
  <c r="Y21" i="3"/>
  <c r="Z21" i="3"/>
  <c r="AA21" i="3"/>
  <c r="AC21" i="3"/>
  <c r="AB23" i="3"/>
  <c r="AB29" i="3"/>
  <c r="Z20" i="3"/>
  <c r="AA20" i="3"/>
  <c r="AC20" i="3"/>
  <c r="X20" i="3"/>
  <c r="Y20" i="3"/>
  <c r="R18" i="3"/>
  <c r="AD23" i="3"/>
  <c r="AE23" i="3"/>
  <c r="AD24" i="3"/>
  <c r="AF24" i="3"/>
  <c r="S26" i="3"/>
  <c r="U26" i="3"/>
  <c r="W26" i="3"/>
  <c r="X26" i="3"/>
  <c r="Y26" i="3"/>
  <c r="Z26" i="3"/>
  <c r="AA26" i="3"/>
  <c r="AC26" i="3"/>
  <c r="R26" i="3"/>
  <c r="T26" i="3"/>
  <c r="V26" i="3"/>
  <c r="AD27" i="3"/>
  <c r="AF27" i="3"/>
  <c r="AF29" i="3"/>
  <c r="AD29" i="3"/>
  <c r="AE29" i="3"/>
  <c r="P17" i="3"/>
  <c r="P16" i="3"/>
  <c r="Q19" i="3"/>
  <c r="R19" i="3"/>
  <c r="S19" i="3"/>
  <c r="T19" i="3"/>
  <c r="U19" i="3"/>
  <c r="V19" i="3"/>
  <c r="W19" i="3"/>
  <c r="X19" i="3"/>
  <c r="Y19" i="3"/>
  <c r="Z19" i="3"/>
  <c r="AA19" i="3"/>
  <c r="AC19" i="3"/>
  <c r="AD25" i="3"/>
  <c r="AF25" i="3"/>
  <c r="Q28" i="3"/>
  <c r="R28" i="3"/>
  <c r="S28" i="3"/>
  <c r="T28" i="3"/>
  <c r="U28" i="3"/>
  <c r="V28" i="3"/>
  <c r="W28" i="3"/>
  <c r="X28" i="3"/>
  <c r="Y28" i="3"/>
  <c r="Z28" i="3"/>
  <c r="AA28" i="3"/>
  <c r="AC28" i="3"/>
  <c r="AB20" i="3"/>
  <c r="AB21" i="3"/>
  <c r="AB25" i="3"/>
  <c r="P34" i="3"/>
  <c r="Q15" i="3"/>
  <c r="AD19" i="3"/>
  <c r="AE19" i="3"/>
  <c r="Q17" i="3"/>
  <c r="Q16" i="3"/>
  <c r="Q34" i="3"/>
  <c r="R15" i="3"/>
  <c r="R34" i="3"/>
  <c r="S15" i="3"/>
  <c r="AD28" i="3"/>
  <c r="AF28" i="3"/>
  <c r="AB26" i="3"/>
  <c r="R17" i="3"/>
  <c r="R16" i="3"/>
  <c r="S18" i="3"/>
  <c r="AB28" i="3"/>
  <c r="AB19" i="3"/>
  <c r="AF23" i="3"/>
  <c r="AD26" i="3"/>
  <c r="AF26" i="3"/>
  <c r="AD20" i="3"/>
  <c r="AF20" i="3"/>
  <c r="AD21" i="3"/>
  <c r="AF21" i="3"/>
  <c r="AF19" i="3"/>
  <c r="T18" i="3"/>
  <c r="S17" i="3"/>
  <c r="S16" i="3"/>
  <c r="S34" i="3"/>
  <c r="T15" i="3"/>
  <c r="U18" i="3"/>
  <c r="T17" i="3"/>
  <c r="T16" i="3"/>
  <c r="T34" i="3"/>
  <c r="U15" i="3"/>
  <c r="V18" i="3"/>
  <c r="U17" i="3"/>
  <c r="U16" i="3"/>
  <c r="U34" i="3"/>
  <c r="V15" i="3"/>
  <c r="V17" i="3"/>
  <c r="V16" i="3"/>
  <c r="V34" i="3"/>
  <c r="W15" i="3"/>
  <c r="W18" i="3"/>
  <c r="X18" i="3"/>
  <c r="W17" i="3"/>
  <c r="W16" i="3"/>
  <c r="W34" i="3"/>
  <c r="X15" i="3"/>
  <c r="X17" i="3"/>
  <c r="X16" i="3"/>
  <c r="X34" i="3"/>
  <c r="Y15" i="3"/>
  <c r="Y18" i="3"/>
  <c r="Z18" i="3"/>
  <c r="Y17" i="3"/>
  <c r="Y16" i="3"/>
  <c r="Y34" i="3"/>
  <c r="Z15" i="3"/>
  <c r="AA18" i="3"/>
  <c r="Z17" i="3"/>
  <c r="Z16" i="3"/>
  <c r="Z34" i="3"/>
  <c r="AA15" i="3"/>
  <c r="AB15" i="3"/>
  <c r="AC18" i="3"/>
  <c r="AA17" i="3"/>
  <c r="AA16" i="3"/>
  <c r="AA34" i="3"/>
  <c r="AB18" i="3"/>
  <c r="AB17" i="3"/>
  <c r="AB16" i="3"/>
  <c r="AD18" i="3"/>
  <c r="AC17" i="3"/>
  <c r="AC16" i="3"/>
  <c r="AB34" i="3"/>
  <c r="AC15" i="3"/>
  <c r="AC34" i="3"/>
  <c r="AD15" i="3"/>
  <c r="AD17" i="3"/>
  <c r="AD16" i="3"/>
  <c r="AD34" i="3"/>
  <c r="AE15" i="3"/>
  <c r="AE18" i="3"/>
  <c r="AE17" i="3"/>
  <c r="AE16" i="3"/>
  <c r="AE34" i="3"/>
  <c r="AF18" i="3"/>
  <c r="AF32" i="3"/>
  <c r="F17" i="4" l="1"/>
  <c r="F16" i="4" s="1"/>
  <c r="O20" i="1"/>
  <c r="C17" i="4"/>
  <c r="C16" i="4" s="1"/>
  <c r="C35" i="4" s="1"/>
  <c r="D15" i="4" s="1"/>
  <c r="D17" i="4"/>
  <c r="D16" i="4" s="1"/>
  <c r="E17" i="4"/>
  <c r="E16" i="4" s="1"/>
  <c r="E20" i="1"/>
  <c r="E23" i="1"/>
  <c r="O23" i="1"/>
  <c r="E17" i="1"/>
  <c r="O12" i="1"/>
  <c r="E12" i="1"/>
  <c r="O18" i="1"/>
  <c r="O17" i="1" s="1"/>
  <c r="D35" i="4" l="1"/>
  <c r="E15" i="4" s="1"/>
  <c r="E35" i="4" s="1"/>
  <c r="F15" i="4" s="1"/>
  <c r="F35" i="4" s="1"/>
  <c r="O27" i="1"/>
  <c r="E27" i="1"/>
</calcChain>
</file>

<file path=xl/sharedStrings.xml><?xml version="1.0" encoding="utf-8"?>
<sst xmlns="http://schemas.openxmlformats.org/spreadsheetml/2006/main" count="245" uniqueCount="133">
  <si>
    <t xml:space="preserve">Banco Interamericano de Desarrollo </t>
  </si>
  <si>
    <t>VPC/FMP</t>
  </si>
  <si>
    <t>PLAN DE ADQUISICIONES  DE COOPERACIONES TECNICAS NO REEMBOLSABLES</t>
  </si>
  <si>
    <t xml:space="preserve"> </t>
  </si>
  <si>
    <r>
      <t xml:space="preserve">Agencia Ejecutora (AE): </t>
    </r>
    <r>
      <rPr>
        <sz val="10"/>
        <rFont val="Calibri"/>
        <family val="2"/>
        <scheme val="minor"/>
      </rPr>
      <t>aeio-TU Fundación Carulla</t>
    </r>
  </si>
  <si>
    <r>
      <t xml:space="preserve">Sector Público: o Privado: </t>
    </r>
    <r>
      <rPr>
        <sz val="10"/>
        <rFont val="Calibri"/>
        <family val="2"/>
        <scheme val="minor"/>
      </rPr>
      <t>Privado</t>
    </r>
  </si>
  <si>
    <r>
      <t xml:space="preserve">Número del Proyecto: </t>
    </r>
    <r>
      <rPr>
        <sz val="10"/>
        <rFont val="Calibri"/>
        <family val="2"/>
        <scheme val="minor"/>
      </rPr>
      <t>ATN/JO-17989-CO</t>
    </r>
  </si>
  <si>
    <r>
      <t xml:space="preserve">Nombre del Proyecto: </t>
    </r>
    <r>
      <rPr>
        <sz val="10"/>
        <rFont val="Calibri"/>
        <family val="2"/>
        <scheme val="minor"/>
      </rPr>
      <t>Formación en Industrias Creativas: Una Oportunidad para la Inclusión Emocional, Social y Económica en Comunidades Receptoras de Migrantes</t>
    </r>
  </si>
  <si>
    <r>
      <t>Período del Plan: 24</t>
    </r>
    <r>
      <rPr>
        <sz val="10"/>
        <rFont val="Calibri"/>
        <family val="2"/>
        <scheme val="minor"/>
      </rPr>
      <t xml:space="preserve"> meses</t>
    </r>
  </si>
  <si>
    <t>LP</t>
  </si>
  <si>
    <t>Monto límite para revisión ex post de adquisiciones:</t>
  </si>
  <si>
    <r>
      <t xml:space="preserve">Bienes y servicios (monto en U$S): </t>
    </r>
    <r>
      <rPr>
        <sz val="10"/>
        <rFont val="Calibri"/>
        <family val="2"/>
        <scheme val="minor"/>
      </rPr>
      <t>100,000</t>
    </r>
  </si>
  <si>
    <r>
      <t xml:space="preserve">Consultorias (monto en U$S): </t>
    </r>
    <r>
      <rPr>
        <sz val="10"/>
        <rFont val="Calibri"/>
        <family val="2"/>
        <scheme val="minor"/>
      </rPr>
      <t>30,000</t>
    </r>
  </si>
  <si>
    <t>CP</t>
  </si>
  <si>
    <t>CD</t>
  </si>
  <si>
    <t>Nº Item</t>
  </si>
  <si>
    <t>Ref. POA</t>
  </si>
  <si>
    <t>Descripción de las adquisiciones 
(1)</t>
  </si>
  <si>
    <t>Costo estimado del Contrato</t>
  </si>
  <si>
    <t>Método de Adquisición
(2)</t>
  </si>
  <si>
    <t>Revisión  de adquisiciones 
 (3)</t>
  </si>
  <si>
    <t>Fuente de Financiamiento y porcentaje</t>
  </si>
  <si>
    <t xml:space="preserve">Fecha estimada del Anuncio de Adquisición o
 del Inicio de la contratación </t>
  </si>
  <si>
    <t>Revisión técnica del JEP
(4)</t>
  </si>
  <si>
    <t>Comentarios</t>
  </si>
  <si>
    <t>SCC</t>
  </si>
  <si>
    <t>BID/MIF %</t>
  </si>
  <si>
    <t>Local / Otro %</t>
  </si>
  <si>
    <t>SBCC</t>
  </si>
  <si>
    <t>Consultores Individuales</t>
  </si>
  <si>
    <t>Coordinador Financiero y Administrativo del componente (María Camila Franco)</t>
  </si>
  <si>
    <t>Convocatoria Interna</t>
  </si>
  <si>
    <t>Expost</t>
  </si>
  <si>
    <t>3.3</t>
  </si>
  <si>
    <t>Coordinador de proyecto (Ruby Guzmán)</t>
  </si>
  <si>
    <t>3.2</t>
  </si>
  <si>
    <t>Profesional Pedagógico Junior Profesional Licenciado
(Natalia Márquez)</t>
  </si>
  <si>
    <t>Profesional Pedagógico Junior Profesional Técnico
(Karen Marían)</t>
  </si>
  <si>
    <t>Bienes y obras</t>
  </si>
  <si>
    <t>Dotacion aula y equipos de computo y comunicación, material didactico, material para aseo</t>
  </si>
  <si>
    <t>Abastecimiento. Solicitud de Cotizaciones</t>
  </si>
  <si>
    <t xml:space="preserve">Esta actividad está relacionada con el COMPONENTE 3 (Producto 3.2).  Categoria Crítico y Estratégico. Mayor de 15 y menor de 500 SML (4 Invitaciones y minimo 3 ofertas) establecido en la Política de Abastecimiento de la Fundacion Carulla (GR-PO-02).  </t>
  </si>
  <si>
    <t>Refrigerios y complementos nutricionales</t>
  </si>
  <si>
    <t>Esta actividad está relacionada con el COMPONENTE 3 (Producto 3.2). Se usará la Política de Abastecimiento DE LA Fundación Carulla (GR-PO-02).</t>
  </si>
  <si>
    <t>Servicios de No Consultoría</t>
  </si>
  <si>
    <t>Arrendamiento inmueble</t>
  </si>
  <si>
    <t xml:space="preserve">Esta actividad está relacionada con el COMPONENTE 3 (Producto 3.2). Se usará la Política de Abastecimiento de la Fundación Carulla (GR-PO-02). </t>
  </si>
  <si>
    <t>Ex Ante</t>
  </si>
  <si>
    <t>Servicio de aseo</t>
  </si>
  <si>
    <t>Esta actividad está relacionada con el COMPONENTE 3 (Producto 3.2). Se usará la Política de Abastecimiento de la Fundación Carulla (GR-PO-02). Se contrata un servicio por horas durante la prestación del servicio con los niños y las niñas del Programa. El proveedor factura de manera mensual.</t>
  </si>
  <si>
    <t>Otros gastos en trabajo de campo</t>
  </si>
  <si>
    <t>SN</t>
  </si>
  <si>
    <t>Caja Menor</t>
  </si>
  <si>
    <t>Politica de caja menor</t>
  </si>
  <si>
    <t>Esta actividad está relacionada con el COMPONENTE 3 (Producto 3.3). Se usará la Politica de Caja Menor de la Fundacion Carulla (GR-PO-11). Se refiere a lo pagos por movilización del personal de campo y los costos de las formaciones como refrigerios, salones, papelería y otros gastos imprevistos que pueda incurrir la actividad</t>
  </si>
  <si>
    <t>Salidas Pedagógicas niños/gestores culturales</t>
  </si>
  <si>
    <t>Esta actividad está relacionada con el COMPONENTE 3 (Producto 3.3). Se usará la Política de Abastecimiento de la Fundación Carulla (GR-PO-02). - Movilización, refrigerio, gastos de entrada entre otros.</t>
  </si>
  <si>
    <t>Total</t>
  </si>
  <si>
    <t>Preparado por: Luisa Ardila</t>
  </si>
  <si>
    <t>Fecha: 5 de abril 2022</t>
  </si>
  <si>
    <r>
      <rPr>
        <b/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distintos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</si>
  <si>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rPr>
        <b/>
        <vertAlign val="superscript"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Bienes y Obras</t>
    </r>
    <r>
      <rPr>
        <sz val="10"/>
        <rFont val="Calibri"/>
        <family val="2"/>
        <scheme val="minor"/>
      </rPr>
      <t xml:space="preserve">:  </t>
    </r>
    <r>
      <rPr>
        <b/>
        <sz val="10"/>
        <rFont val="Calibri"/>
        <family val="2"/>
        <scheme val="minor"/>
      </rPr>
      <t>LP</t>
    </r>
    <r>
      <rPr>
        <sz val="10"/>
        <rFont val="Calibri"/>
        <family val="2"/>
        <scheme val="minor"/>
      </rPr>
      <t xml:space="preserve">: Licitación Pública;  </t>
    </r>
    <r>
      <rPr>
        <b/>
        <sz val="10"/>
        <rFont val="Calibri"/>
        <family val="2"/>
        <scheme val="minor"/>
      </rPr>
      <t>CP</t>
    </r>
    <r>
      <rPr>
        <sz val="10"/>
        <rFont val="Calibri"/>
        <family val="2"/>
        <scheme val="minor"/>
      </rPr>
      <t xml:space="preserve">: Comparación de Precios;  </t>
    </r>
    <r>
      <rPr>
        <b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 xml:space="preserve">: Contratación Directa.    </t>
    </r>
  </si>
  <si>
    <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Firmas de consultoria</t>
    </r>
    <r>
      <rPr>
        <sz val="10"/>
        <rFont val="Calibri"/>
        <family val="2"/>
        <scheme val="minor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</si>
  <si>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Consultores Individuales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>CCIN</t>
    </r>
    <r>
      <rPr>
        <sz val="10"/>
        <rFont val="Calibri"/>
        <family val="2"/>
        <scheme val="minor"/>
      </rPr>
      <t xml:space="preserve">: Selección basada en la Comparación de Calificaciones Consultor Individual ; SD: Selección Directa. </t>
    </r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</si>
  <si>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Sistema nacional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 xml:space="preserve">SN: </t>
    </r>
    <r>
      <rPr>
        <sz val="10"/>
        <rFont val="Calibri"/>
        <family val="2"/>
        <scheme val="minor"/>
      </rPr>
      <t>Para CTNR del Sector Público cuando el sistema nacional esté aprobado para el método asociado con la adqisicion.</t>
    </r>
  </si>
  <si>
    <r>
      <t>(3)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 xml:space="preserve"> Revisión ex-ante/ ex-post / SN</t>
    </r>
    <r>
      <rPr>
        <sz val="10"/>
        <rFont val="Calibri"/>
        <family val="2"/>
        <scheme val="minor"/>
      </rPr>
      <t>. En general, dependiendo de la capacidad institucional y el nivel de riesgo asociados a las adquisiciones la modalidad estándar es revisión ex-post. Para procesos críticos o complejos podrá establecerse la revisión ex-ante. En casos que el sistema nacional esté aprobado para el método asociado con la adqisicion, la supervision es por sistema nacional</t>
    </r>
  </si>
  <si>
    <r>
      <t>(4)</t>
    </r>
    <r>
      <rPr>
        <sz val="10"/>
        <rFont val="Calibri"/>
        <family val="2"/>
        <scheme val="minor"/>
      </rPr>
      <t xml:space="preserve">  </t>
    </r>
    <r>
      <rPr>
        <b/>
        <u/>
        <sz val="10"/>
        <rFont val="Calibri"/>
        <family val="2"/>
        <scheme val="minor"/>
      </rPr>
      <t>Revisión técnica</t>
    </r>
    <r>
      <rPr>
        <sz val="10"/>
        <rFont val="Calibri"/>
        <family val="2"/>
        <scheme val="minor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</si>
  <si>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t>Programación de Flujos de Efectivo y Desembolsos</t>
  </si>
  <si>
    <t>Nombre del Organismo Ejecutor: Fundación Carulla</t>
  </si>
  <si>
    <t>Nombre del Proyecto: Programa de Apoyo para la Sostenibilidad Urbana, Económica y Social de Pescaito – Santa Marta.</t>
  </si>
  <si>
    <t>No. de Contrato de Préstamo o Convenio de Cooperación Técnica: ATN/JO-17850-CO</t>
  </si>
  <si>
    <t>No. de proyecto: CO-T1539</t>
  </si>
  <si>
    <t>Fecha de preparación: 03 de junio 2021</t>
  </si>
  <si>
    <t>Mes</t>
  </si>
  <si>
    <t>Período</t>
  </si>
  <si>
    <t>Año 1</t>
  </si>
  <si>
    <t>Año 2</t>
  </si>
  <si>
    <t>Saldo de caja disponible inicial - Fondos BID</t>
  </si>
  <si>
    <t>Total egreso de efectivo del período por categorías de inversión :</t>
  </si>
  <si>
    <t xml:space="preserve">Egresos Componente 3. Atención de calidad para la primera infancia. </t>
  </si>
  <si>
    <t xml:space="preserve">3.1 Coordinador del componente Atención integral de calidad (educación, nutrición y cuidado) para la primera infancia (niños de 0-5) priorizando hijos de los artistas </t>
  </si>
  <si>
    <t>3.2 Profesional Pedagógico Senior</t>
  </si>
  <si>
    <t>3.3 Profesional Pedagógico Junior Profesional Licenciado</t>
  </si>
  <si>
    <t>3.4 Profesional Pedagógico Junior Profesional Técnico</t>
  </si>
  <si>
    <t>3.5.1 Dotación aula</t>
  </si>
  <si>
    <t>3.5.2 Equipos de computo y comunicación</t>
  </si>
  <si>
    <t>3.6.1 Material didáctico de consumo</t>
  </si>
  <si>
    <t>3.6.2 Dotación de aseo</t>
  </si>
  <si>
    <t>3.7 Refrigerios y complementos nutricionales</t>
  </si>
  <si>
    <t>3.8 Arrendamiento inmueble</t>
  </si>
  <si>
    <t>3.8.1 Servicio de aseo</t>
  </si>
  <si>
    <t>3.9 Caja Menor</t>
  </si>
  <si>
    <t>3.9.1 Salidas Pedagógicas niños/gestores</t>
  </si>
  <si>
    <t>3.10 Atención directa aeioTU El Altico Soacha</t>
  </si>
  <si>
    <t>Anticipos de fondos préstamo BID</t>
  </si>
  <si>
    <t>Saldo de Caja Disponible Final</t>
  </si>
  <si>
    <t>Otros ingresos que no fluyen por la cuenta bancaria designada:</t>
  </si>
  <si>
    <t>Por Reembolso de pagos efectuados:</t>
  </si>
  <si>
    <t>Por Pagos directos a proveedor o contratista:</t>
  </si>
  <si>
    <t>Total desembolsos proyectados del BID:</t>
  </si>
  <si>
    <t>Total a recibir del BID con cargo al préstamo:</t>
  </si>
  <si>
    <t>Firma Designada</t>
  </si>
  <si>
    <t>Luisa Fernanda Ardila Cuéllar</t>
  </si>
  <si>
    <t>Coordinadora del Programa</t>
  </si>
  <si>
    <t>Evento de Incidencia</t>
  </si>
  <si>
    <t>Variacion PA Ultimo aprobado</t>
  </si>
  <si>
    <t>Acumulado a Marzo 2023</t>
  </si>
  <si>
    <t>Abril</t>
  </si>
  <si>
    <t xml:space="preserve">Mayo </t>
  </si>
  <si>
    <t>Junio</t>
  </si>
  <si>
    <t>3.11 Evento de Incidencia</t>
  </si>
  <si>
    <t>Evento incidencia - Rubro nuevo</t>
  </si>
  <si>
    <t>Preparado por: Gerley Hernández</t>
  </si>
  <si>
    <t>Fecha: 23 de mayo de 2023</t>
  </si>
  <si>
    <t xml:space="preserve">Dotación y mantenimiento de Centro el Altico, revisión y mejora de red de agua potable del centro, mantenimiento iluminación del centro, calibración equipos de tamizaje nutricional, extintores,  equipos de computo, menaje para comedor de niños y niñas, material didactico, elementos de kit de emergencia, organizadores, insumos de  lencería para espacios de descanso de niños y niñas. 
Plataformas y repisas para aulas. </t>
  </si>
  <si>
    <t xml:space="preserve">Refrigerios y complementos nutricionales. Se entregará un complemento nutricional en el mes de junio por valor aproximado de $188.000 para cada niño con el fin de brindar seguridad alimentaria. </t>
  </si>
  <si>
    <t xml:space="preserve">Salidas Pedagógicas niños/gestores culturales - transporte, kits para niños con material didáctico. Kit gestores (agenda, camisetas, botón) </t>
  </si>
  <si>
    <t xml:space="preserve">Evento incidencia - 40 personas - Salón de eventos, equipos audivisuales, transporte, catering, kit de evento (agenda, escarapela, onepager, pendones) </t>
  </si>
  <si>
    <t>Fecha de terminación</t>
  </si>
  <si>
    <t>Estado actual (previsto, terminado, en ejecución,  cancelado)</t>
  </si>
  <si>
    <t>En ejecucion</t>
  </si>
  <si>
    <r>
      <t xml:space="preserve">Esta actividad está relacionada con el COMPONENTE 3 Producto 3.3. Se usará la politica de selección interna de la Fundacion Carulla (GH-PR-04).  </t>
    </r>
    <r>
      <rPr>
        <sz val="10"/>
        <color rgb="FFFF0000"/>
        <rFont val="Calibri"/>
        <family val="2"/>
        <scheme val="minor"/>
      </rPr>
      <t>El Contrato va originalmente hasta Junio 30</t>
    </r>
    <r>
      <rPr>
        <sz val="10"/>
        <rFont val="Calibri"/>
        <family val="2"/>
        <scheme val="minor"/>
      </rPr>
      <t xml:space="preserve">
</t>
    </r>
  </si>
  <si>
    <r>
      <t xml:space="preserve">Esta actividad está relacionada con el COMPONENTE 3 Productos 3.2  Se usará la politica de selección interna de la Fundacion Carulla (GH-PR-04). </t>
    </r>
    <r>
      <rPr>
        <sz val="10"/>
        <color rgb="FFFF0000"/>
        <rFont val="Calibri"/>
        <family val="2"/>
        <scheme val="minor"/>
      </rPr>
      <t>El Contrato va originalmente hasta Junio 30</t>
    </r>
  </si>
  <si>
    <r>
      <t xml:space="preserve">Esta actividad está relacionada con el COMPONENTE 3 (Producto 3.2). Se usará la politica de selección interna de la Fundacion Carulla (GH-PR-04). Perfil: Profesional licenciado. </t>
    </r>
    <r>
      <rPr>
        <sz val="10"/>
        <color rgb="FFFF0000"/>
        <rFont val="Calibri"/>
        <family val="2"/>
        <scheme val="minor"/>
      </rPr>
      <t>Extension de contrato por un mes, hasra Junio 30</t>
    </r>
  </si>
  <si>
    <r>
      <t xml:space="preserve">Esta actividad está relacionada con el COMPONENTE 3 (Producto 3.2). Se usará la politica de selección interna de la Fundacion Carulla (GH-PR-04). Perfil: Profesional técnico. </t>
    </r>
    <r>
      <rPr>
        <sz val="10"/>
        <color rgb="FFFF0000"/>
        <rFont val="Calibri"/>
        <family val="2"/>
        <scheme val="minor"/>
      </rPr>
      <t>Extension de contrato por un mes, hasra Junio 30</t>
    </r>
  </si>
  <si>
    <t>Previsto</t>
  </si>
  <si>
    <r>
      <t xml:space="preserve">Esta actividad está relacionada con el COMPONENTE 3 (Producto 3.2). Se usará la Política de Abastecimiento DE LA Fundación Carulla (GR-PO-02). </t>
    </r>
    <r>
      <rPr>
        <sz val="10"/>
        <color rgb="FFFF0000"/>
        <rFont val="Calibri"/>
        <family val="2"/>
        <scheme val="minor"/>
      </rPr>
      <t>Se prevee adicionar y comprar el equivalente a USD 1,001,25 en refrigerios para los niños en el mes de junio, usando la politica de abastecimiento de la Fundacion Carulla.</t>
    </r>
  </si>
  <si>
    <r>
      <t xml:space="preserve">Esta actividad está relacionada con el COMPONENTE 3 (Producto 3.3). Se usará la Política de Abastecimiento de la Fundación Carulla (GR-PO-02). - Movilización, refrigerio, gastos de entrada entre otros. </t>
    </r>
    <r>
      <rPr>
        <sz val="10"/>
        <color rgb="FFFF0000"/>
        <rFont val="Calibri"/>
        <family val="2"/>
        <scheme val="minor"/>
      </rPr>
      <t>Se tiene previsto realizar una salida pedagogica adicional para el mes de junio con un costo equivalente a USD790,70, usando la politica de abastecimiento de la Fundacion Carulla.</t>
    </r>
  </si>
  <si>
    <t>Se tiene previsto realizar un evento de incidencia el mes de junio,  con un costo equivalente a USD1,395,35, usando la politica de abastecimiento de la Fundacion Carulla.</t>
  </si>
  <si>
    <r>
      <t>Esta actividad está relacionada con el COMPONENTE 3 (Producto 3.2).  Categoria Crítico y Estratégico. Mayor de 15 y menor de 500 SML (4 Invitaciones y minimo 3 ofertas) establecido en la Política de Abastecimiento de la Fundacion Carulla (GR-PO-02).</t>
    </r>
    <r>
      <rPr>
        <sz val="10"/>
        <color rgb="FFFF0000"/>
        <rFont val="Calibri"/>
        <family val="2"/>
        <scheme val="minor"/>
      </rPr>
      <t xml:space="preserve">  Se prevee comprar adicionalmente en el mes de junio en Dotacion el equivalente a USD 5,255,81, usando la plitcia de abastecimiento de la Fundacion Carulla.</t>
    </r>
  </si>
  <si>
    <t>Gerley Hernandez sosa</t>
  </si>
  <si>
    <t>Director Financiero y Administrativo</t>
  </si>
  <si>
    <t>Fundacion Carulla aeioTU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</si>
</sst>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&quot; &quot;&quot;$&quot;#,##0.00&quot; &quot;;&quot; &quot;&quot;$&quot;&quot;(&quot;#,##0.00&quot;)&quot;;&quot; &quot;&quot;$&quot;&quot;-&quot;00&quot; &quot;;&quot; &quot;@&quot; &quot;"/>
    <numFmt numFmtId="168" formatCode="&quot; &quot;&quot;$&quot;#,##0&quot; &quot;;&quot; &quot;&quot;$&quot;&quot;(&quot;#,##0&quot;)&quot;;&quot; &quot;&quot;$&quot;&quot;-&quot;00&quot; &quot;;&quot; &quot;@&quot; &quot;"/>
    <numFmt numFmtId="169" formatCode="&quot;$&quot;#,##0.00"/>
    <numFmt numFmtId="170" formatCode="&quot;$&quot;#,##0"/>
    <numFmt numFmtId="171" formatCode="&quot; &quot;&quot;$&quot;#,##0.00&quot; &quot;;&quot; &quot;&quot;$&quot;&quot;(&quot;#,##0.00&quot;)&quot;;&quot; &quot;&quot;$&quot;&quot;-&quot;00.00&quot; &quot;;&quot; &quot;@&quot; &quot;"/>
    <numFmt numFmtId="172" formatCode="_(* #,##0.0_);_(* \(#,##0.0\);_(* &quot;-&quot;??_);_(@_)"/>
    <numFmt numFmtId="173" formatCode="[$-409]mmm\-yy;@"/>
  </numFmts>
  <fonts count="24" x14ac:knownFonts="1">
    <font>
      <sz val="10"/>
      <name val="Arial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</font>
    <font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sz val="12"/>
      <color indexed="8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Trellis">
        <bgColor theme="4" tint="0.79995117038483843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medium">
        <color theme="0" tint="-0.3499862666707357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double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double">
        <color indexed="64"/>
      </bottom>
      <diagonal/>
    </border>
  </borders>
  <cellStyleXfs count="12">
    <xf numFmtId="0" fontId="0" fillId="0" borderId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41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2" fillId="0" borderId="0"/>
    <xf numFmtId="165" fontId="9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9" fontId="2" fillId="0" borderId="0" xfId="0" applyNumberFormat="1" applyFont="1"/>
    <xf numFmtId="0" fontId="2" fillId="0" borderId="0" xfId="0" applyFont="1" applyAlignment="1">
      <alignment horizontal="center" vertical="top" wrapText="1"/>
    </xf>
    <xf numFmtId="169" fontId="2" fillId="0" borderId="0" xfId="0" applyNumberFormat="1" applyFont="1" applyAlignment="1">
      <alignment horizontal="center" vertical="top" wrapText="1"/>
    </xf>
    <xf numFmtId="165" fontId="2" fillId="0" borderId="0" xfId="3" applyFont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3" borderId="17" xfId="0" applyFont="1" applyFill="1" applyBorder="1"/>
    <xf numFmtId="0" fontId="2" fillId="3" borderId="4" xfId="0" applyFont="1" applyFill="1" applyBorder="1"/>
    <xf numFmtId="0" fontId="2" fillId="3" borderId="18" xfId="0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16" xfId="0" applyFont="1" applyBorder="1"/>
    <xf numFmtId="168" fontId="2" fillId="0" borderId="0" xfId="0" applyNumberFormat="1" applyFont="1"/>
    <xf numFmtId="170" fontId="2" fillId="0" borderId="0" xfId="0" applyNumberFormat="1" applyFont="1" applyAlignment="1">
      <alignment vertical="center"/>
    </xf>
    <xf numFmtId="170" fontId="13" fillId="0" borderId="0" xfId="0" applyNumberFormat="1" applyFont="1"/>
    <xf numFmtId="165" fontId="2" fillId="0" borderId="0" xfId="3" applyFont="1"/>
    <xf numFmtId="43" fontId="2" fillId="0" borderId="0" xfId="0" applyNumberFormat="1" applyFont="1"/>
    <xf numFmtId="0" fontId="6" fillId="2" borderId="1" xfId="0" applyFont="1" applyFill="1" applyBorder="1" applyAlignment="1">
      <alignment horizontal="center" vertical="center" wrapText="1"/>
    </xf>
    <xf numFmtId="172" fontId="2" fillId="0" borderId="0" xfId="3" applyNumberFormat="1" applyFont="1"/>
    <xf numFmtId="0" fontId="2" fillId="4" borderId="1" xfId="0" applyFont="1" applyFill="1" applyBorder="1"/>
    <xf numFmtId="1" fontId="10" fillId="0" borderId="1" xfId="4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0" fontId="2" fillId="0" borderId="1" xfId="0" applyNumberFormat="1" applyFont="1" applyBorder="1" applyAlignment="1">
      <alignment vertical="center"/>
    </xf>
    <xf numFmtId="17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10" fontId="2" fillId="0" borderId="1" xfId="2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/>
    <xf numFmtId="0" fontId="8" fillId="0" borderId="1" xfId="0" applyFont="1" applyBorder="1" applyAlignment="1">
      <alignment horizontal="justify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10" fontId="2" fillId="4" borderId="1" xfId="2" applyNumberFormat="1" applyFont="1" applyFill="1" applyBorder="1" applyAlignment="1">
      <alignment vertical="center"/>
    </xf>
    <xf numFmtId="17" fontId="2" fillId="4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9" fillId="0" borderId="0" xfId="5" applyAlignment="1">
      <alignment vertical="center"/>
    </xf>
    <xf numFmtId="0" fontId="14" fillId="0" borderId="0" xfId="5" applyFont="1" applyAlignment="1">
      <alignment horizontal="center" vertical="center"/>
    </xf>
    <xf numFmtId="0" fontId="16" fillId="0" borderId="0" xfId="5" applyFont="1" applyAlignment="1">
      <alignment horizontal="left" vertical="center"/>
    </xf>
    <xf numFmtId="0" fontId="16" fillId="0" borderId="0" xfId="5" applyFont="1" applyAlignment="1">
      <alignment vertical="center"/>
    </xf>
    <xf numFmtId="0" fontId="9" fillId="0" borderId="27" xfId="5" applyBorder="1" applyAlignment="1">
      <alignment vertical="center"/>
    </xf>
    <xf numFmtId="0" fontId="14" fillId="0" borderId="0" xfId="5" applyFont="1" applyAlignment="1">
      <alignment horizontal="right" vertical="center"/>
    </xf>
    <xf numFmtId="0" fontId="14" fillId="0" borderId="28" xfId="5" applyFont="1" applyBorder="1" applyAlignment="1">
      <alignment horizontal="center" vertical="center"/>
    </xf>
    <xf numFmtId="0" fontId="17" fillId="5" borderId="29" xfId="5" applyFont="1" applyFill="1" applyBorder="1" applyAlignment="1">
      <alignment horizontal="right" vertical="center" wrapText="1"/>
    </xf>
    <xf numFmtId="173" fontId="17" fillId="5" borderId="30" xfId="5" applyNumberFormat="1" applyFont="1" applyFill="1" applyBorder="1" applyAlignment="1">
      <alignment horizontal="center" vertical="center" wrapText="1"/>
    </xf>
    <xf numFmtId="0" fontId="17" fillId="5" borderId="29" xfId="5" applyFont="1" applyFill="1" applyBorder="1" applyAlignment="1">
      <alignment horizontal="left" vertical="center" wrapText="1"/>
    </xf>
    <xf numFmtId="165" fontId="14" fillId="0" borderId="30" xfId="3" applyFont="1" applyFill="1" applyBorder="1" applyAlignment="1">
      <alignment horizontal="center" vertical="center" wrapText="1"/>
    </xf>
    <xf numFmtId="165" fontId="14" fillId="6" borderId="30" xfId="3" applyFont="1" applyFill="1" applyBorder="1" applyAlignment="1">
      <alignment horizontal="center" vertical="center" wrapText="1"/>
    </xf>
    <xf numFmtId="165" fontId="14" fillId="7" borderId="30" xfId="3" applyFont="1" applyFill="1" applyBorder="1" applyAlignment="1">
      <alignment horizontal="center" vertical="center" wrapText="1"/>
    </xf>
    <xf numFmtId="0" fontId="17" fillId="5" borderId="29" xfId="5" applyFont="1" applyFill="1" applyBorder="1" applyAlignment="1">
      <alignment vertical="center" wrapText="1"/>
    </xf>
    <xf numFmtId="165" fontId="14" fillId="6" borderId="30" xfId="3" applyFont="1" applyFill="1" applyBorder="1" applyAlignment="1">
      <alignment vertical="center" wrapText="1"/>
    </xf>
    <xf numFmtId="1" fontId="9" fillId="0" borderId="31" xfId="6" applyNumberFormat="1" applyBorder="1" applyAlignment="1">
      <alignment vertical="center" wrapText="1"/>
    </xf>
    <xf numFmtId="165" fontId="18" fillId="0" borderId="30" xfId="3" applyFont="1" applyBorder="1" applyAlignment="1">
      <alignment vertical="center" wrapText="1"/>
    </xf>
    <xf numFmtId="165" fontId="18" fillId="6" borderId="30" xfId="3" applyFont="1" applyFill="1" applyBorder="1" applyAlignment="1">
      <alignment vertical="center" wrapText="1"/>
    </xf>
    <xf numFmtId="43" fontId="9" fillId="0" borderId="0" xfId="5" applyNumberFormat="1" applyAlignment="1">
      <alignment vertical="center"/>
    </xf>
    <xf numFmtId="0" fontId="9" fillId="0" borderId="31" xfId="6" applyBorder="1" applyAlignment="1">
      <alignment vertical="center" wrapText="1"/>
    </xf>
    <xf numFmtId="0" fontId="9" fillId="0" borderId="31" xfId="6" applyBorder="1" applyAlignment="1">
      <alignment vertical="center"/>
    </xf>
    <xf numFmtId="165" fontId="14" fillId="0" borderId="29" xfId="3" applyFont="1" applyFill="1" applyBorder="1" applyAlignment="1">
      <alignment horizontal="right" vertical="center"/>
    </xf>
    <xf numFmtId="0" fontId="19" fillId="0" borderId="0" xfId="5" applyFont="1" applyAlignment="1">
      <alignment vertical="center"/>
    </xf>
    <xf numFmtId="0" fontId="20" fillId="8" borderId="0" xfId="5" applyFont="1" applyFill="1" applyAlignment="1">
      <alignment vertical="center"/>
    </xf>
    <xf numFmtId="165" fontId="9" fillId="8" borderId="0" xfId="3" applyFont="1" applyFill="1" applyAlignment="1">
      <alignment vertical="center"/>
    </xf>
    <xf numFmtId="0" fontId="17" fillId="5" borderId="32" xfId="5" applyFont="1" applyFill="1" applyBorder="1" applyAlignment="1">
      <alignment horizontal="left" vertical="center"/>
    </xf>
    <xf numFmtId="165" fontId="14" fillId="6" borderId="32" xfId="3" applyFont="1" applyFill="1" applyBorder="1" applyAlignment="1">
      <alignment vertical="center"/>
    </xf>
    <xf numFmtId="0" fontId="20" fillId="0" borderId="0" xfId="5" applyFont="1" applyAlignment="1">
      <alignment horizontal="left" vertical="center"/>
    </xf>
    <xf numFmtId="41" fontId="9" fillId="0" borderId="0" xfId="7" applyFont="1" applyAlignment="1">
      <alignment vertical="center"/>
    </xf>
    <xf numFmtId="165" fontId="9" fillId="0" borderId="0" xfId="5" applyNumberFormat="1" applyAlignment="1">
      <alignment vertical="center"/>
    </xf>
    <xf numFmtId="0" fontId="21" fillId="0" borderId="0" xfId="5" applyFont="1" applyAlignment="1">
      <alignment vertical="center"/>
    </xf>
    <xf numFmtId="41" fontId="9" fillId="0" borderId="0" xfId="7" applyFont="1" applyBorder="1" applyAlignment="1">
      <alignment vertical="center"/>
    </xf>
    <xf numFmtId="166" fontId="9" fillId="0" borderId="0" xfId="5" applyNumberFormat="1" applyAlignment="1">
      <alignment vertical="center"/>
    </xf>
    <xf numFmtId="0" fontId="9" fillId="8" borderId="29" xfId="5" applyFill="1" applyBorder="1" applyAlignment="1">
      <alignment horizontal="right" vertical="center"/>
    </xf>
    <xf numFmtId="164" fontId="20" fillId="8" borderId="29" xfId="8" applyFont="1" applyFill="1" applyBorder="1" applyAlignment="1">
      <alignment vertical="center"/>
    </xf>
    <xf numFmtId="41" fontId="20" fillId="8" borderId="29" xfId="7" applyFont="1" applyFill="1" applyBorder="1" applyAlignment="1">
      <alignment vertical="center"/>
    </xf>
    <xf numFmtId="0" fontId="9" fillId="8" borderId="33" xfId="5" applyFill="1" applyBorder="1" applyAlignment="1">
      <alignment horizontal="right" vertical="center"/>
    </xf>
    <xf numFmtId="164" fontId="20" fillId="8" borderId="33" xfId="8" applyFont="1" applyFill="1" applyBorder="1" applyAlignment="1">
      <alignment vertical="center"/>
    </xf>
    <xf numFmtId="41" fontId="20" fillId="8" borderId="33" xfId="7" applyFont="1" applyFill="1" applyBorder="1" applyAlignment="1">
      <alignment vertical="center"/>
    </xf>
    <xf numFmtId="0" fontId="20" fillId="0" borderId="0" xfId="5" applyFont="1" applyAlignment="1">
      <alignment vertical="center"/>
    </xf>
    <xf numFmtId="41" fontId="20" fillId="0" borderId="0" xfId="7" applyFont="1" applyAlignment="1">
      <alignment vertical="center"/>
    </xf>
    <xf numFmtId="41" fontId="0" fillId="0" borderId="0" xfId="7" applyFont="1" applyAlignment="1">
      <alignment vertical="center"/>
    </xf>
    <xf numFmtId="165" fontId="3" fillId="0" borderId="0" xfId="3" applyFont="1"/>
    <xf numFmtId="165" fontId="2" fillId="3" borderId="4" xfId="3" applyFont="1" applyFill="1" applyBorder="1"/>
    <xf numFmtId="165" fontId="3" fillId="4" borderId="1" xfId="3" applyFont="1" applyFill="1" applyBorder="1" applyAlignment="1">
      <alignment vertical="center"/>
    </xf>
    <xf numFmtId="165" fontId="2" fillId="0" borderId="1" xfId="3" applyFont="1" applyBorder="1" applyAlignment="1">
      <alignment vertical="center"/>
    </xf>
    <xf numFmtId="165" fontId="3" fillId="0" borderId="1" xfId="3" applyFont="1" applyBorder="1" applyAlignment="1">
      <alignment vertical="center"/>
    </xf>
    <xf numFmtId="165" fontId="2" fillId="0" borderId="0" xfId="3" applyFont="1" applyAlignment="1">
      <alignment horizontal="center"/>
    </xf>
    <xf numFmtId="165" fontId="2" fillId="0" borderId="0" xfId="3" applyFont="1" applyAlignment="1">
      <alignment horizontal="center" vertical="top" wrapText="1"/>
    </xf>
    <xf numFmtId="165" fontId="2" fillId="9" borderId="0" xfId="3" applyFont="1" applyFill="1" applyAlignment="1">
      <alignment horizontal="center" vertical="top" wrapText="1"/>
    </xf>
    <xf numFmtId="0" fontId="2" fillId="0" borderId="0" xfId="9" applyFont="1"/>
    <xf numFmtId="171" fontId="2" fillId="0" borderId="0" xfId="9" applyNumberFormat="1" applyFont="1"/>
    <xf numFmtId="169" fontId="2" fillId="0" borderId="0" xfId="9" applyNumberFormat="1" applyFont="1"/>
    <xf numFmtId="0" fontId="2" fillId="0" borderId="0" xfId="9" applyFont="1" applyAlignment="1">
      <alignment horizontal="center"/>
    </xf>
    <xf numFmtId="0" fontId="3" fillId="0" borderId="15" xfId="9" applyFont="1" applyBorder="1" applyAlignment="1">
      <alignment horizontal="left"/>
    </xf>
    <xf numFmtId="0" fontId="3" fillId="0" borderId="0" xfId="9" applyFont="1" applyAlignment="1">
      <alignment horizontal="left"/>
    </xf>
    <xf numFmtId="0" fontId="3" fillId="0" borderId="0" xfId="9" applyFont="1"/>
    <xf numFmtId="171" fontId="3" fillId="0" borderId="0" xfId="9" applyNumberFormat="1" applyFont="1"/>
    <xf numFmtId="0" fontId="2" fillId="0" borderId="16" xfId="9" applyFont="1" applyBorder="1"/>
    <xf numFmtId="0" fontId="2" fillId="3" borderId="17" xfId="9" applyFont="1" applyFill="1" applyBorder="1"/>
    <xf numFmtId="0" fontId="2" fillId="3" borderId="4" xfId="9" applyFont="1" applyFill="1" applyBorder="1"/>
    <xf numFmtId="171" fontId="2" fillId="3" borderId="4" xfId="9" applyNumberFormat="1" applyFont="1" applyFill="1" applyBorder="1"/>
    <xf numFmtId="0" fontId="2" fillId="3" borderId="18" xfId="9" applyFont="1" applyFill="1" applyBorder="1"/>
    <xf numFmtId="0" fontId="6" fillId="2" borderId="1" xfId="9" applyFont="1" applyFill="1" applyBorder="1" applyAlignment="1">
      <alignment horizontal="center" vertical="center" wrapText="1"/>
    </xf>
    <xf numFmtId="0" fontId="2" fillId="0" borderId="0" xfId="9" applyFont="1" applyAlignment="1">
      <alignment horizontal="center" vertical="top" wrapText="1"/>
    </xf>
    <xf numFmtId="169" fontId="2" fillId="0" borderId="0" xfId="9" applyNumberFormat="1" applyFont="1" applyAlignment="1">
      <alignment horizontal="center" vertical="top" wrapText="1"/>
    </xf>
    <xf numFmtId="0" fontId="2" fillId="0" borderId="0" xfId="9" applyFont="1" applyAlignment="1">
      <alignment vertical="top" wrapText="1"/>
    </xf>
    <xf numFmtId="165" fontId="2" fillId="0" borderId="0" xfId="10" applyFont="1" applyAlignment="1">
      <alignment vertical="top" wrapText="1"/>
    </xf>
    <xf numFmtId="0" fontId="3" fillId="4" borderId="1" xfId="9" applyFont="1" applyFill="1" applyBorder="1"/>
    <xf numFmtId="171" fontId="3" fillId="4" borderId="1" xfId="9" applyNumberFormat="1" applyFont="1" applyFill="1" applyBorder="1" applyAlignment="1">
      <alignment vertical="center"/>
    </xf>
    <xf numFmtId="0" fontId="2" fillId="4" borderId="1" xfId="9" applyFont="1" applyFill="1" applyBorder="1"/>
    <xf numFmtId="0" fontId="2" fillId="0" borderId="1" xfId="9" applyFont="1" applyBorder="1" applyAlignment="1">
      <alignment vertical="center"/>
    </xf>
    <xf numFmtId="0" fontId="2" fillId="0" borderId="1" xfId="9" applyFont="1" applyBorder="1"/>
    <xf numFmtId="0" fontId="2" fillId="0" borderId="1" xfId="9" applyFont="1" applyBorder="1" applyAlignment="1">
      <alignment vertical="center" wrapText="1"/>
    </xf>
    <xf numFmtId="0" fontId="2" fillId="0" borderId="1" xfId="9" applyFont="1" applyBorder="1" applyAlignment="1">
      <alignment horizontal="left" vertical="center" wrapText="1"/>
    </xf>
    <xf numFmtId="10" fontId="2" fillId="0" borderId="1" xfId="9" applyNumberFormat="1" applyFont="1" applyBorder="1" applyAlignment="1">
      <alignment vertical="center"/>
    </xf>
    <xf numFmtId="17" fontId="2" fillId="0" borderId="1" xfId="9" applyNumberFormat="1" applyFont="1" applyBorder="1" applyAlignment="1">
      <alignment vertical="center"/>
    </xf>
    <xf numFmtId="0" fontId="12" fillId="0" borderId="1" xfId="9" applyFont="1" applyBorder="1"/>
    <xf numFmtId="0" fontId="8" fillId="0" borderId="1" xfId="9" applyFont="1" applyBorder="1" applyAlignment="1">
      <alignment horizontal="justify" vertical="center" wrapText="1"/>
    </xf>
    <xf numFmtId="168" fontId="2" fillId="0" borderId="0" xfId="9" applyNumberFormat="1" applyFont="1"/>
    <xf numFmtId="0" fontId="2" fillId="0" borderId="1" xfId="9" applyFont="1" applyBorder="1" applyAlignment="1">
      <alignment horizontal="justify" vertical="center" wrapText="1"/>
    </xf>
    <xf numFmtId="0" fontId="2" fillId="0" borderId="0" xfId="9" applyFont="1" applyAlignment="1">
      <alignment vertical="center"/>
    </xf>
    <xf numFmtId="0" fontId="3" fillId="4" borderId="1" xfId="9" applyFont="1" applyFill="1" applyBorder="1" applyAlignment="1">
      <alignment vertical="center"/>
    </xf>
    <xf numFmtId="0" fontId="2" fillId="4" borderId="1" xfId="9" applyFont="1" applyFill="1" applyBorder="1" applyAlignment="1">
      <alignment vertical="center" wrapText="1"/>
    </xf>
    <xf numFmtId="0" fontId="2" fillId="4" borderId="1" xfId="9" applyFont="1" applyFill="1" applyBorder="1" applyAlignment="1">
      <alignment vertical="center"/>
    </xf>
    <xf numFmtId="10" fontId="2" fillId="4" borderId="1" xfId="11" applyNumberFormat="1" applyFont="1" applyFill="1" applyBorder="1" applyAlignment="1">
      <alignment vertical="center"/>
    </xf>
    <xf numFmtId="17" fontId="2" fillId="4" borderId="1" xfId="9" applyNumberFormat="1" applyFont="1" applyFill="1" applyBorder="1" applyAlignment="1">
      <alignment vertical="center"/>
    </xf>
    <xf numFmtId="169" fontId="2" fillId="0" borderId="0" xfId="9" applyNumberFormat="1" applyFont="1" applyAlignment="1">
      <alignment vertical="center"/>
    </xf>
    <xf numFmtId="0" fontId="2" fillId="0" borderId="0" xfId="9" applyFont="1" applyAlignment="1">
      <alignment horizontal="center" vertical="center"/>
    </xf>
    <xf numFmtId="0" fontId="2" fillId="0" borderId="1" xfId="9" applyFont="1" applyBorder="1" applyAlignment="1">
      <alignment horizontal="center" vertical="center"/>
    </xf>
    <xf numFmtId="0" fontId="2" fillId="0" borderId="1" xfId="9" applyFont="1" applyBorder="1" applyAlignment="1">
      <alignment horizontal="center"/>
    </xf>
    <xf numFmtId="171" fontId="2" fillId="0" borderId="1" xfId="9" applyNumberFormat="1" applyFont="1" applyBorder="1" applyAlignment="1">
      <alignment vertical="center"/>
    </xf>
    <xf numFmtId="171" fontId="3" fillId="0" borderId="1" xfId="9" applyNumberFormat="1" applyFont="1" applyBorder="1" applyAlignment="1">
      <alignment vertical="center"/>
    </xf>
    <xf numFmtId="170" fontId="2" fillId="0" borderId="0" xfId="9" applyNumberFormat="1" applyFont="1" applyAlignment="1">
      <alignment vertical="center"/>
    </xf>
    <xf numFmtId="171" fontId="2" fillId="0" borderId="0" xfId="9" applyNumberFormat="1" applyFont="1" applyAlignment="1">
      <alignment horizontal="center"/>
    </xf>
    <xf numFmtId="0" fontId="2" fillId="0" borderId="5" xfId="0" applyFont="1" applyBorder="1" applyAlignment="1">
      <alignment wrapText="1"/>
    </xf>
    <xf numFmtId="171" fontId="2" fillId="3" borderId="1" xfId="9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justify" vertical="center"/>
    </xf>
    <xf numFmtId="165" fontId="14" fillId="9" borderId="30" xfId="3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3" xfId="0" applyFont="1" applyBorder="1"/>
    <xf numFmtId="0" fontId="3" fillId="0" borderId="13" xfId="0" applyFont="1" applyBorder="1"/>
    <xf numFmtId="0" fontId="3" fillId="0" borderId="5" xfId="0" applyFont="1" applyBorder="1"/>
    <xf numFmtId="0" fontId="2" fillId="0" borderId="5" xfId="0" applyFont="1" applyBorder="1"/>
    <xf numFmtId="0" fontId="2" fillId="0" borderId="14" xfId="0" applyFont="1" applyBorder="1"/>
    <xf numFmtId="165" fontId="6" fillId="2" borderId="1" xfId="3" applyFont="1" applyFill="1" applyBorder="1" applyAlignment="1">
      <alignment horizontal="center" vertical="center" wrapText="1"/>
    </xf>
    <xf numFmtId="0" fontId="14" fillId="0" borderId="0" xfId="5" applyFont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4" fillId="0" borderId="27" xfId="5" applyFont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/>
    </xf>
    <xf numFmtId="0" fontId="11" fillId="2" borderId="8" xfId="9" applyFont="1" applyFill="1" applyBorder="1" applyAlignment="1">
      <alignment horizontal="center" vertical="center"/>
    </xf>
    <xf numFmtId="0" fontId="6" fillId="2" borderId="9" xfId="9" applyFont="1" applyFill="1" applyBorder="1" applyAlignment="1">
      <alignment horizontal="center" vertical="center"/>
    </xf>
    <xf numFmtId="0" fontId="3" fillId="0" borderId="10" xfId="9" applyFont="1" applyBorder="1" applyAlignment="1">
      <alignment horizontal="left"/>
    </xf>
    <xf numFmtId="0" fontId="3" fillId="0" borderId="20" xfId="9" applyFont="1" applyBorder="1" applyAlignment="1">
      <alignment horizontal="left"/>
    </xf>
    <xf numFmtId="0" fontId="2" fillId="0" borderId="3" xfId="9" applyFont="1" applyBorder="1"/>
    <xf numFmtId="0" fontId="3" fillId="0" borderId="23" xfId="9" applyFont="1" applyBorder="1" applyAlignment="1">
      <alignment horizontal="left" wrapText="1"/>
    </xf>
    <xf numFmtId="0" fontId="2" fillId="0" borderId="5" xfId="9" applyFont="1" applyBorder="1" applyAlignment="1">
      <alignment wrapText="1"/>
    </xf>
    <xf numFmtId="0" fontId="3" fillId="0" borderId="5" xfId="9" applyFont="1" applyBorder="1" applyAlignment="1">
      <alignment wrapText="1"/>
    </xf>
    <xf numFmtId="0" fontId="3" fillId="0" borderId="14" xfId="9" applyFont="1" applyBorder="1" applyAlignment="1">
      <alignment wrapText="1"/>
    </xf>
    <xf numFmtId="0" fontId="3" fillId="0" borderId="11" xfId="9" applyFont="1" applyBorder="1" applyAlignment="1">
      <alignment horizontal="left"/>
    </xf>
    <xf numFmtId="0" fontId="3" fillId="0" borderId="21" xfId="9" applyFont="1" applyBorder="1" applyAlignment="1">
      <alignment horizontal="left"/>
    </xf>
    <xf numFmtId="0" fontId="2" fillId="0" borderId="2" xfId="9" applyFont="1" applyBorder="1" applyAlignment="1">
      <alignment horizontal="left"/>
    </xf>
    <xf numFmtId="0" fontId="3" fillId="0" borderId="2" xfId="9" applyFont="1" applyBorder="1" applyAlignment="1">
      <alignment horizontal="left"/>
    </xf>
    <xf numFmtId="0" fontId="2" fillId="0" borderId="12" xfId="9" applyFont="1" applyBorder="1" applyAlignment="1">
      <alignment horizontal="left"/>
    </xf>
    <xf numFmtId="0" fontId="1" fillId="0" borderId="15" xfId="9" applyFont="1" applyBorder="1" applyAlignment="1">
      <alignment horizontal="left" vertical="top" wrapText="1"/>
    </xf>
    <xf numFmtId="0" fontId="1" fillId="0" borderId="0" xfId="9" applyFont="1" applyAlignment="1">
      <alignment horizontal="left" vertical="top" wrapText="1"/>
    </xf>
    <xf numFmtId="0" fontId="1" fillId="0" borderId="16" xfId="9" applyFont="1" applyBorder="1" applyAlignment="1">
      <alignment horizontal="left" vertical="top" wrapText="1"/>
    </xf>
    <xf numFmtId="0" fontId="3" fillId="0" borderId="13" xfId="9" applyFont="1" applyBorder="1"/>
    <xf numFmtId="0" fontId="3" fillId="0" borderId="5" xfId="9" applyFont="1" applyBorder="1"/>
    <xf numFmtId="0" fontId="2" fillId="0" borderId="5" xfId="9" applyFont="1" applyBorder="1"/>
    <xf numFmtId="0" fontId="2" fillId="0" borderId="14" xfId="9" applyFont="1" applyBorder="1"/>
    <xf numFmtId="0" fontId="6" fillId="2" borderId="1" xfId="9" applyFont="1" applyFill="1" applyBorder="1" applyAlignment="1">
      <alignment horizontal="center" vertical="center" wrapText="1"/>
    </xf>
    <xf numFmtId="171" fontId="6" fillId="2" borderId="1" xfId="9" applyNumberFormat="1" applyFont="1" applyFill="1" applyBorder="1" applyAlignment="1">
      <alignment horizontal="center" vertical="center" wrapText="1"/>
    </xf>
    <xf numFmtId="0" fontId="3" fillId="0" borderId="1" xfId="9" applyFont="1" applyBorder="1" applyAlignment="1">
      <alignment horizontal="center" vertical="center"/>
    </xf>
    <xf numFmtId="0" fontId="2" fillId="0" borderId="1" xfId="9" applyFont="1" applyBorder="1" applyAlignment="1">
      <alignment horizontal="center" vertical="center"/>
    </xf>
    <xf numFmtId="0" fontId="3" fillId="0" borderId="1" xfId="9" applyFont="1" applyBorder="1" applyAlignment="1">
      <alignment vertical="center"/>
    </xf>
    <xf numFmtId="0" fontId="2" fillId="0" borderId="1" xfId="9" applyFont="1" applyBorder="1" applyAlignment="1">
      <alignment vertical="center"/>
    </xf>
    <xf numFmtId="0" fontId="1" fillId="0" borderId="24" xfId="9" applyFont="1" applyBorder="1" applyAlignment="1">
      <alignment horizontal="left" vertical="top" wrapText="1"/>
    </xf>
    <xf numFmtId="0" fontId="1" fillId="0" borderId="25" xfId="9" applyFont="1" applyBorder="1" applyAlignment="1">
      <alignment horizontal="left" vertical="top" wrapText="1"/>
    </xf>
    <xf numFmtId="0" fontId="2" fillId="0" borderId="25" xfId="9" applyFont="1" applyBorder="1" applyAlignment="1">
      <alignment horizontal="left" vertical="top" wrapText="1"/>
    </xf>
    <xf numFmtId="0" fontId="2" fillId="0" borderId="26" xfId="9" applyFont="1" applyBorder="1" applyAlignment="1">
      <alignment horizontal="left" vertical="top" wrapText="1"/>
    </xf>
    <xf numFmtId="0" fontId="1" fillId="0" borderId="19" xfId="9" applyFont="1" applyBorder="1" applyAlignment="1">
      <alignment horizontal="left" vertical="top" wrapText="1"/>
    </xf>
    <xf numFmtId="0" fontId="1" fillId="0" borderId="6" xfId="9" applyFont="1" applyBorder="1" applyAlignment="1">
      <alignment horizontal="left" vertical="top" wrapText="1"/>
    </xf>
    <xf numFmtId="0" fontId="1" fillId="0" borderId="22" xfId="9" applyFont="1" applyBorder="1" applyAlignment="1">
      <alignment horizontal="left" vertical="top" wrapText="1"/>
    </xf>
    <xf numFmtId="0" fontId="5" fillId="0" borderId="19" xfId="9" applyFont="1" applyBorder="1" applyAlignment="1">
      <alignment horizontal="left" vertical="top" wrapText="1"/>
    </xf>
    <xf numFmtId="0" fontId="5" fillId="0" borderId="6" xfId="9" applyFont="1" applyBorder="1" applyAlignment="1">
      <alignment horizontal="left" vertical="top" wrapText="1"/>
    </xf>
    <xf numFmtId="0" fontId="2" fillId="0" borderId="6" xfId="9" applyFont="1" applyBorder="1" applyAlignment="1">
      <alignment horizontal="left" vertical="top" wrapText="1"/>
    </xf>
    <xf numFmtId="0" fontId="2" fillId="0" borderId="22" xfId="9" applyFont="1" applyBorder="1" applyAlignment="1">
      <alignment horizontal="left" vertical="top" wrapText="1"/>
    </xf>
    <xf numFmtId="0" fontId="1" fillId="0" borderId="15" xfId="9" applyFont="1" applyBorder="1" applyAlignment="1">
      <alignment horizontal="left" vertical="center" wrapText="1"/>
    </xf>
    <xf numFmtId="0" fontId="1" fillId="0" borderId="0" xfId="9" applyFont="1" applyAlignment="1">
      <alignment horizontal="left" vertical="center" wrapText="1"/>
    </xf>
    <xf numFmtId="0" fontId="2" fillId="0" borderId="0" xfId="9" applyFont="1" applyAlignment="1">
      <alignment horizontal="left" vertical="center" wrapText="1"/>
    </xf>
    <xf numFmtId="0" fontId="2" fillId="0" borderId="16" xfId="9" applyFont="1" applyBorder="1" applyAlignment="1">
      <alignment horizontal="left" vertical="center" wrapText="1"/>
    </xf>
    <xf numFmtId="0" fontId="1" fillId="0" borderId="19" xfId="9" applyFont="1" applyBorder="1" applyAlignment="1">
      <alignment horizontal="left" wrapText="1"/>
    </xf>
    <xf numFmtId="0" fontId="1" fillId="0" borderId="6" xfId="9" applyFont="1" applyBorder="1" applyAlignment="1">
      <alignment horizontal="left" wrapText="1"/>
    </xf>
    <xf numFmtId="0" fontId="2" fillId="0" borderId="6" xfId="9" applyFont="1" applyBorder="1" applyAlignment="1">
      <alignment horizontal="left" wrapText="1"/>
    </xf>
    <xf numFmtId="0" fontId="2" fillId="0" borderId="22" xfId="9" applyFont="1" applyBorder="1" applyAlignment="1">
      <alignment horizontal="left" wrapText="1"/>
    </xf>
    <xf numFmtId="0" fontId="21" fillId="0" borderId="0" xfId="5" applyFont="1" applyAlignment="1">
      <alignment horizontal="center" vertical="center"/>
    </xf>
    <xf numFmtId="0" fontId="9" fillId="0" borderId="4" xfId="5" applyBorder="1" applyAlignment="1">
      <alignment horizontal="center" vertical="center"/>
    </xf>
    <xf numFmtId="0" fontId="21" fillId="0" borderId="5" xfId="5" applyFont="1" applyBorder="1" applyAlignment="1">
      <alignment horizontal="center" vertical="center"/>
    </xf>
  </cellXfs>
  <cellStyles count="12">
    <cellStyle name="Millares" xfId="3" builtinId="3"/>
    <cellStyle name="Millares [0] 2" xfId="7" xr:uid="{C32234B5-293A-4DF4-8930-B1D35D9BCBD4}"/>
    <cellStyle name="Millares 5" xfId="10" xr:uid="{2B022C38-4F24-45D5-8975-3D204DC17447}"/>
    <cellStyle name="Moneda" xfId="1" xr:uid="{00000000-0005-0000-0000-000001000000}"/>
    <cellStyle name="Moneda 2" xfId="8" xr:uid="{6A7E981E-E97F-4FDA-AFDB-D1D23824A2A1}"/>
    <cellStyle name="Normal" xfId="0" builtinId="0"/>
    <cellStyle name="Normal 2" xfId="4" xr:uid="{01FBFDFB-89CD-4578-B88F-F06AC58D55A6}"/>
    <cellStyle name="Normal 2 2" xfId="6" xr:uid="{6D2F758D-DE25-4AFC-8B16-76444DC82EFE}"/>
    <cellStyle name="Normal 3" xfId="5" xr:uid="{7E4825FE-5549-4DAF-846F-7385F9E15A47}"/>
    <cellStyle name="Normal 5" xfId="9" xr:uid="{00B1A15C-E014-4B5A-8439-54A711DB73DC}"/>
    <cellStyle name="Porcentaje" xfId="2" builtinId="5"/>
    <cellStyle name="Porcentaje 3" xfId="11" xr:uid="{149B1498-1B6A-4880-BC37-BD0CCFCEE6E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customXml" Target="../customXml/item1.xml"/><Relationship Id="rId28" Type="http://schemas.openxmlformats.org/officeDocument/2006/relationships/customXml" Target="../customXml/item6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2360083</xdr:colOff>
      <xdr:row>34</xdr:row>
      <xdr:rowOff>84666</xdr:rowOff>
    </xdr:from>
    <xdr:to>
      <xdr:col>4</xdr:col>
      <xdr:colOff>493183</xdr:colOff>
      <xdr:row>43</xdr:row>
      <xdr:rowOff>21166</xdr:rowOff>
    </xdr:to>
    <xdr:pic>
      <xdr:nvPicPr>
        <xdr:cNvPr id="2" name="Imagen 2" descr="Firma digital Gerley Hernandez">
          <a:extLst>
            <a:ext uri="{FF2B5EF4-FFF2-40B4-BE49-F238E27FC236}">
              <a16:creationId xmlns:a16="http://schemas.microsoft.com/office/drawing/2014/main" id="{9303CA64-7860-4733-85DA-43FB275D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4416" y="13842999"/>
          <a:ext cx="1181100" cy="136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1876425</xdr:colOff>
      <xdr:row>5</xdr:row>
      <xdr:rowOff>38100</xdr:rowOff>
    </xdr:to>
    <xdr:pic>
      <xdr:nvPicPr>
        <xdr:cNvPr id="2" name="Picture 3" descr="http://idbnet.iadb.org/sites/identity/es/Documents/Logo%20BID/Español/Color/Logo_color_español_eslogan.png">
          <a:extLst>
            <a:ext uri="{FF2B5EF4-FFF2-40B4-BE49-F238E27FC236}">
              <a16:creationId xmlns:a16="http://schemas.microsoft.com/office/drawing/2014/main" id="{7786A0F0-D983-4639-9054-8AD9689CC5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22" b="22652"/>
        <a:stretch/>
      </xdr:blipFill>
      <xdr:spPr bwMode="auto">
        <a:xfrm>
          <a:off x="142875" y="0"/>
          <a:ext cx="1952625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466725</xdr:colOff>
      <xdr:row>44</xdr:row>
      <xdr:rowOff>62629</xdr:rowOff>
    </xdr:from>
    <xdr:to>
      <xdr:col>1</xdr:col>
      <xdr:colOff>1123950</xdr:colOff>
      <xdr:row>49</xdr:row>
      <xdr:rowOff>12700</xdr:rowOff>
    </xdr:to>
    <xdr:pic>
      <xdr:nvPicPr>
        <xdr:cNvPr id="4" name="Imagen 2" descr="Firma digital Gerley Hernandez">
          <a:extLst>
            <a:ext uri="{FF2B5EF4-FFF2-40B4-BE49-F238E27FC236}">
              <a16:creationId xmlns:a16="http://schemas.microsoft.com/office/drawing/2014/main" id="{4084FF4D-0D70-46EF-B1B7-1533DE4DF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0197229"/>
          <a:ext cx="657225" cy="759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1876425</xdr:colOff>
      <xdr:row>5</xdr:row>
      <xdr:rowOff>38100</xdr:rowOff>
    </xdr:to>
    <xdr:pic>
      <xdr:nvPicPr>
        <xdr:cNvPr id="2" name="Picture 3" descr="http://idbnet.iadb.org/sites/identity/es/Documents/Logo%20BID/Español/Color/Logo_color_español_eslogan.png">
          <a:extLst>
            <a:ext uri="{FF2B5EF4-FFF2-40B4-BE49-F238E27FC236}">
              <a16:creationId xmlns:a16="http://schemas.microsoft.com/office/drawing/2014/main" id="{487563E2-8D16-4284-838A-332BE8899E6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22" b="22652"/>
        <a:stretch/>
      </xdr:blipFill>
      <xdr:spPr bwMode="auto">
        <a:xfrm>
          <a:off x="142875" y="0"/>
          <a:ext cx="1952625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661457</xdr:colOff>
      <xdr:row>44</xdr:row>
      <xdr:rowOff>84667</xdr:rowOff>
    </xdr:from>
    <xdr:to>
      <xdr:col>11</xdr:col>
      <xdr:colOff>676009</xdr:colOff>
      <xdr:row>47</xdr:row>
      <xdr:rowOff>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68CD93-82A9-4DD2-968E-3D3E28946A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33000"/>
                  </a14:imgEffect>
                  <a14:imgEffect>
                    <a14:brightnessContrast bright="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4678" t="47348" r="21874" b="38092"/>
        <a:stretch/>
      </xdr:blipFill>
      <xdr:spPr>
        <a:xfrm>
          <a:off x="13577357" y="9981142"/>
          <a:ext cx="1262327" cy="4011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yogonzalez\Mis%20documentos\ACCION%20SOCIAL-OPS\FINANCIERO\REVISI&#211;N%20EJECUCION%20PRESUPUESTAL%20OCTUBRE\Zona%20Nororiental\AUDITADOS%20OCTUBRE\PSJ%20326%20COEMPRENDE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eiotu\OneDrive%20-%20Fundaci&#243;n%20Carulla%20-%20Aeiotu\Documentos\BID\Bid%20Soacha%202020\2023\PA%20Fundaci&#243;n%20Carulla%20BID%20Soacha%2006%20de%20abril%20-&#218;LTIMO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eiotu\OneDrive%20-%20Fundaci&#243;n%20Carulla%20-%20Aeiotu\Documentos\BID\Bid%20Soacha%202020\2023\Solicitud%20de%20desembolso%204\Proyecci&#243;n%20gastos%20Proyecto%20BID%20Soacha%20abril%20-%20junio%202023.xlsx" TargetMode="External"/><Relationship Id="rId1" Type="http://schemas.openxmlformats.org/officeDocument/2006/relationships/externalLinkPath" Target="file:///C:\Users\Aeiotu\OneDrive%20-%20Fundaci&#243;n%20Carulla%20-%20Aeiotu\Documentos\BID\Bid%20Soacha%202020\2023\Solicitud%20de%20desembolso%204\Proyecci&#243;n%20gastos%20Proyecto%20BID%20Soacha%20abril%20-%20junio%20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eiotu\OneDrive%20-%20Fundaci&#243;n%20Carulla%20-%20Aeiotu\Documentos\BID\Bid%20Soacha%202020\2023\Documentos%20de%20conciliacion\EEFF%20BID%20SOACHA%20DICIEMBRE%202022%2014012023.xlsx" TargetMode="External"/><Relationship Id="rId1" Type="http://schemas.openxmlformats.org/officeDocument/2006/relationships/externalLinkPath" Target="/personal/gerley_hernandez_aeiotu_org/Documents/Documentos/BID/Bid%20Soacha%202020/2023/Documentos%20de%20conciliacion/EEFF%20BID%20SOACHA%20DICIEMBRE%202022%201401202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luisa_ardila_aeiotu_org/Documents/2021/BID%202021/BID%20Soacha/Desembolsos/Desembolso%20No%202/AT%20%20solicitud%20No%202%20BID%20Soach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yogonzalez\Configuraci&#243;n%20local\Archivos%20temporales%20de%20Internet\OLK5\BARRAMQUILLA%20-%20ARMONIA%20SOCIAL%20Informe%20financiero%20Nov-13-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yogonzalez\Mis%20documentos\ACCION%20SOCIAL-OPS\FINANCIERO\REVISI&#211;N%20EJECUCION%20PRESUPUESTAL%20OCTUBRE\Zona%20Nororiental\RECIBIDOS%20DICIEMBRE\310%20UNION%20TEMPORAL%20ESCALA%20FENIX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yogonzalez\Mis%20documentos\CONTROL%20INTERNO\REVISI&#211;N%20INFORMES%20Fcros%20OTROS%20PROGRAMAS\NAYARA%20CHAVEZ\DDR-186%20PSPJ%20736\DDR%20186%20PSPSJ%20736%20PRIMER%20INFORME%20FINANCIE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eiotu.sharepoint.com/FINANCIERA%20PAHDES/INFORMES%20DIGITALES/FASE%20II/ZONA%20CENTRAL/JUNIO/3%20IDTE%20FUSA%20CONV%20551%20JUNIO%20Y%20JULIO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Usuario\Desktop\wber\INFORMES%20CORREGIDOS\VALENCI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ndrewm\AppData\Local\Microsoft\Windows\Temporary%20Internet%20Files\Content.Outlook\2ZFFEA55\5.2%20IRC%20Partner's%20Project%20Capacity%20Review%20(Pre-Award%20Assessment)%20(including%20Guidance%20for%20Use)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hain\Desktop\SPMS%20Phase%20One%202018%20revisions%20-%20to%20go%20live%20011018\IRC%20Pre%20Award%20Assessment%20Tool%20draft%20110417%20SC%20edits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eiotu\OneDrive%20-%20Fundaci&#243;n%20Carulla%20-%20Aeiotu\Documentos\BID\Bid%20Soacha%202020\2023\Solicitud%20de%20desembolso%204\Informe%20de%20desembolsos%204%20proyeccion.xlsx" TargetMode="External"/><Relationship Id="rId1" Type="http://schemas.openxmlformats.org/officeDocument/2006/relationships/externalLinkPath" Target="file:///C:\Users\Aeiotu\OneDrive%20-%20Fundaci&#243;n%20Carulla%20-%20Aeiotu\Documentos\BID\Bid%20Soacha%202020\2023\Solicitud%20de%20desembolso%204\Informe%20de%20desembolsos%204%20proyec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ditoriaPartida"/>
      <sheetName val="Relación pagos OIM"/>
      <sheetName val="Ejecución Rubros OIM"/>
      <sheetName val="Relación pagos Contrapartida"/>
      <sheetName val="Ejecución Rubros Contrapartida"/>
      <sheetName val="AuditoriaCont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Plan Financiero Total"/>
      <sheetName val="Hoja1"/>
    </sheetNames>
    <sheetDataSet>
      <sheetData sheetId="0">
        <row r="13">
          <cell r="E13">
            <v>25665.37</v>
          </cell>
        </row>
        <row r="14">
          <cell r="E14">
            <v>23470.18</v>
          </cell>
        </row>
        <row r="15">
          <cell r="E15">
            <v>10917.61</v>
          </cell>
        </row>
        <row r="16">
          <cell r="E16">
            <v>8269.7999999999993</v>
          </cell>
        </row>
        <row r="18">
          <cell r="E18">
            <v>8795.0009894379837</v>
          </cell>
        </row>
        <row r="19">
          <cell r="E19">
            <v>14556.486440159699</v>
          </cell>
        </row>
        <row r="21">
          <cell r="E21">
            <v>2381.1999999999998</v>
          </cell>
        </row>
        <row r="22">
          <cell r="E22">
            <v>1609.7222222222222</v>
          </cell>
        </row>
        <row r="24">
          <cell r="E24">
            <v>2355.6149069981707</v>
          </cell>
        </row>
        <row r="25">
          <cell r="E25">
            <v>1979.0144444444445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eneral"/>
      <sheetName val="Equipo "/>
      <sheetName val="Desglose"/>
      <sheetName val="Cronograma "/>
      <sheetName val="Matriz de indicadores BID"/>
      <sheetName val="Matriz de indicadores"/>
      <sheetName val="Análisis de satisfacción"/>
      <sheetName val="Matriz de riesgos  "/>
      <sheetName val="Lecciones aprendidas"/>
      <sheetName val="Hoja2"/>
      <sheetName val="Seguimiento a desembolsos"/>
      <sheetName val="Proyección de presupuesto"/>
      <sheetName val="Leidy"/>
      <sheetName val="Relación Gastos "/>
      <sheetName val="Ejec.Presupuesto"/>
      <sheetName val="Plan de comunicacione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J6">
            <v>868.76741636823203</v>
          </cell>
          <cell r="K6">
            <v>868.76741636823203</v>
          </cell>
          <cell r="L6">
            <v>868.76741636823203</v>
          </cell>
        </row>
        <row r="7">
          <cell r="J7">
            <v>731.84943402705619</v>
          </cell>
          <cell r="K7">
            <v>731.84943402705619</v>
          </cell>
          <cell r="L7">
            <v>340.09935227658258</v>
          </cell>
        </row>
        <row r="8">
          <cell r="L8">
            <v>461.50398837207013</v>
          </cell>
        </row>
        <row r="9">
          <cell r="J9">
            <v>445.6644021837875</v>
          </cell>
          <cell r="K9">
            <v>445.6644021837875</v>
          </cell>
          <cell r="L9">
            <v>525.01813953488374</v>
          </cell>
        </row>
        <row r="10">
          <cell r="J10">
            <v>373.36345268648802</v>
          </cell>
          <cell r="K10">
            <v>373.36345268648802</v>
          </cell>
          <cell r="L10">
            <v>439.84348837209302</v>
          </cell>
        </row>
        <row r="11">
          <cell r="M11">
            <v>5255.8139534883721</v>
          </cell>
        </row>
        <row r="12">
          <cell r="J12">
            <v>13.194763876138213</v>
          </cell>
          <cell r="L12">
            <v>15.544186046511628</v>
          </cell>
        </row>
        <row r="13">
          <cell r="J13">
            <v>118.44491809818862</v>
          </cell>
          <cell r="K13">
            <v>118.44491809818862</v>
          </cell>
          <cell r="L13">
            <v>139.53488372093022</v>
          </cell>
        </row>
        <row r="14">
          <cell r="J14">
            <v>118.44491809818862</v>
          </cell>
          <cell r="K14">
            <v>118.44491809818862</v>
          </cell>
          <cell r="L14">
            <v>139.53488372093022</v>
          </cell>
        </row>
        <row r="15">
          <cell r="J15">
            <v>729.59522982745079</v>
          </cell>
          <cell r="K15">
            <v>729.59522982745079</v>
          </cell>
          <cell r="L15">
            <v>875.9546511627907</v>
          </cell>
          <cell r="M15">
            <v>1001.2506302325581</v>
          </cell>
        </row>
        <row r="16">
          <cell r="J16">
            <v>78.963278732125758</v>
          </cell>
          <cell r="K16">
            <v>78.963278732125758</v>
          </cell>
          <cell r="L16">
            <v>93.023255813953483</v>
          </cell>
        </row>
        <row r="17">
          <cell r="J17">
            <v>81.925980950155108</v>
          </cell>
          <cell r="K17">
            <v>81.925980950155108</v>
          </cell>
          <cell r="L17">
            <v>96.513488372093022</v>
          </cell>
        </row>
        <row r="18">
          <cell r="J18">
            <v>93.139753571101124</v>
          </cell>
          <cell r="K18">
            <v>93.139753571101124</v>
          </cell>
          <cell r="L18">
            <v>109.72395348837209</v>
          </cell>
        </row>
        <row r="19">
          <cell r="K19">
            <v>487.63121333974721</v>
          </cell>
          <cell r="M19">
            <v>790.69767441860461</v>
          </cell>
        </row>
        <row r="20">
          <cell r="M20">
            <v>1395.3488372093022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. EFECTIVO"/>
      <sheetName val="INV ACUM"/>
      <sheetName val="Desembolsos"/>
      <sheetName val="Auxiliar de gastos"/>
      <sheetName val="2020-2 Aporte Local"/>
      <sheetName val="2021 Aporte Local"/>
      <sheetName val="Gastos_tot (2)"/>
      <sheetName val="Monetizacin"/>
      <sheetName val="Reclasifi 2022"/>
      <sheetName val="Aporte Local"/>
    </sheetNames>
    <sheetDataSet>
      <sheetData sheetId="0"/>
      <sheetData sheetId="1"/>
      <sheetData sheetId="2">
        <row r="7">
          <cell r="D7">
            <v>88660.700000000012</v>
          </cell>
        </row>
        <row r="9">
          <cell r="D9">
            <v>11339.299999999988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-Table de matières"/>
      <sheetName val="2- Plan Fin Consolidé"/>
      <sheetName val="4- Plan Cash-Flow 12 mois"/>
      <sheetName val="1-Solicitud de desembolsos "/>
      <sheetName val="2-Conciliación de recursos"/>
      <sheetName val="3-Estado de gastos"/>
      <sheetName val="3-Estado de gastos (2)"/>
      <sheetName val="3-Estado de gastos (3)"/>
      <sheetName val="4- Estado de ejecución del proy"/>
      <sheetName val="5.- Plan Financiero Anual"/>
      <sheetName val="6.- Plan Financiero Total"/>
      <sheetName val="BID SOACHA"/>
      <sheetName val="5.- Plan Financiero"/>
      <sheetName val="8-Liste d' Contrats Engagements"/>
      <sheetName val="9- Etat des sous-prêts"/>
      <sheetName val="10- Etat des Investissements Cu"/>
      <sheetName val="11- Etat du Cash Flow"/>
      <sheetName val="12- Mode d'emploi Cash-Flow 12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2">
          <cell r="C32">
            <v>28147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lación pagos OIM"/>
      <sheetName val="Ejecución Rubros OIM"/>
      <sheetName val="Relación pagos Contrapartida"/>
      <sheetName val="Ejecución Rubros Contrapartida"/>
      <sheetName val="Aportes en especie"/>
    </sheet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lación pagos OIM"/>
      <sheetName val="Corte Informes"/>
      <sheetName val="Ejecución Rubros OIM"/>
      <sheetName val="Ejec Cursos Manual"/>
      <sheetName val="Ejec Cursos"/>
      <sheetName val="Estrúctura Costos Curso (2)"/>
      <sheetName val="Copia Ejec Curso"/>
      <sheetName val="Estrúctura Costos Curso"/>
      <sheetName val="COMPENSADOS JULIO"/>
      <sheetName val="RELACION CONSOLIDAD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morando"/>
      <sheetName val="Relación pagos OIM"/>
      <sheetName val="PresupuestoPartida "/>
      <sheetName val="ANEXO No.2 PPTO INICIAL"/>
      <sheetName val="Corte Informes"/>
      <sheetName val="EJECUCION"/>
      <sheetName val="AUXIL"/>
      <sheetName val="GASTOS 4 INFORME"/>
      <sheetName val="GASTOS INFORME RESUMEN"/>
      <sheetName val="Memoranda Partida"/>
      <sheetName val="Relación Gastos Partida"/>
      <sheetName val="Memorando Contrapartida"/>
      <sheetName val="RelaciónGastosContrapartida"/>
      <sheetName val="PresupuestoContrapartida"/>
      <sheetName val="PlanillaGtos"/>
      <sheetName val="Prestaciones Sociales "/>
      <sheetName val="Relacion de Gastos Partida"/>
      <sheetName val="Relacion de Gastos Contrapartid"/>
      <sheetName val="Relacion Gastos Contrapartida C"/>
      <sheetName val="Hoja3"/>
      <sheetName val="Hoja1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lación pagos OIM"/>
      <sheetName val="Ejecución Rubros OIM"/>
      <sheetName val="Relación pagos Contrapartida"/>
      <sheetName val="Ejecución Rubros Contrapartida"/>
      <sheetName val="Gastos de Personal"/>
      <sheetName val="GUIA LAGORAL"/>
      <sheetName val="Corte Informes"/>
      <sheetName val="EJECUCION RUBR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lación pagos OIM"/>
      <sheetName val="Ejecución Rubros OIM"/>
      <sheetName val="Ejec Cursos"/>
      <sheetName val="Ejec Cursos 2"/>
      <sheetName val="Estrúctura Costos Curso"/>
    </sheetNames>
    <sheetDataSet>
      <sheetData sheetId="0"/>
      <sheetData sheetId="1" refreshError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A Instructions for Use"/>
      <sheetName val="Risk Level &amp; Results Summary"/>
      <sheetName val="Governance &amp; Risk Management "/>
      <sheetName val="PAA Summary Report"/>
      <sheetName val="Governance"/>
      <sheetName val="Program Quality"/>
      <sheetName val="M&amp;E"/>
      <sheetName val="Grant Management"/>
      <sheetName val="Accounting &amp; Finance Systems"/>
      <sheetName val="Financial Systems"/>
      <sheetName val="Allocation of Shared Costs"/>
      <sheetName val="Cash Management"/>
      <sheetName val="Internal Control"/>
      <sheetName val="Budgeting"/>
      <sheetName val="Personel &amp; Payroll"/>
      <sheetName val="Procurement and Asset Mgmt (SC)"/>
      <sheetName val="Sub-Award Management"/>
      <sheetName val="Asset Management"/>
      <sheetName val="Grant Management &amp; Reporting"/>
      <sheetName val="Segregation of Duties"/>
      <sheetName val="Risk Management"/>
      <sheetName val="Audit"/>
      <sheetName val="Subrecipient Management"/>
      <sheetName val="Sheet1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A Implementation Instructions"/>
      <sheetName val="Risk Level &amp; Results Summary"/>
      <sheetName val="PAA Summary Report"/>
      <sheetName val="Governance &amp; Risk Management "/>
      <sheetName val="Governance"/>
      <sheetName val="Program Design"/>
      <sheetName val="M&amp;E"/>
      <sheetName val="Grant Management"/>
      <sheetName val="Accounting, Fin. Systems &amp; Cas "/>
      <sheetName val="Financial Systems"/>
      <sheetName val="Allocation of Shared Costs"/>
      <sheetName val="Cash Management"/>
      <sheetName val="Internal Control"/>
      <sheetName val="Budgeting"/>
      <sheetName val="Personel &amp; Payroll"/>
      <sheetName val="Procurement and Asset Mgmt (SC)"/>
      <sheetName val="Asset Management"/>
      <sheetName val="Grant Management &amp; Reporting"/>
      <sheetName val="Segregation of Duties"/>
      <sheetName val="Risk Management"/>
      <sheetName val="Audit"/>
      <sheetName val="Subrecipient Management"/>
      <sheetName val="Sheet1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-Table de matières"/>
      <sheetName val="2- Plan Fin Consolidé"/>
      <sheetName val="4- Plan Cash-Flow 12 mois"/>
      <sheetName val="1-Solicitud de desembolsos "/>
      <sheetName val="2-Conciliación de recursos"/>
      <sheetName val="3-Estado de gastos"/>
      <sheetName val="3-Estado de gastos (2)"/>
      <sheetName val="3-Estado de gastos (3)"/>
      <sheetName val="4- Estado de ejecución del proy"/>
      <sheetName val="AUX GASTOS"/>
      <sheetName val="5.- Plan Financiero Anual"/>
      <sheetName val="6.- Plan Financiero Total"/>
      <sheetName val="7. Comp.Desempeño Técnico JUST"/>
      <sheetName val="7. Comp.Desempeño Técnico ANT"/>
      <sheetName val="BID SOACHA"/>
      <sheetName val="5.- Plan Financiero"/>
      <sheetName val="8-Liste d' Contrats Engagements"/>
      <sheetName val="9- Etat des sous-prêts"/>
      <sheetName val="10- Etat des Investissements Cu"/>
      <sheetName val="11- Etat du Cash Flow"/>
      <sheetName val="12- Mode d'emploi Cash-Flow 12m"/>
    </sheetNames>
    <sheetDataSet>
      <sheetData sheetId="0"/>
      <sheetData sheetId="1"/>
      <sheetData sheetId="2"/>
      <sheetData sheetId="3"/>
      <sheetData sheetId="4"/>
      <sheetData sheetId="5">
        <row r="16">
          <cell r="L16">
            <v>3619676</v>
          </cell>
        </row>
      </sheetData>
      <sheetData sheetId="6"/>
      <sheetData sheetId="7"/>
      <sheetData sheetId="8">
        <row r="15">
          <cell r="I15">
            <v>22046.843254381558</v>
          </cell>
          <cell r="O15">
            <v>24653.145503486252</v>
          </cell>
        </row>
        <row r="16">
          <cell r="I16">
            <v>20049.600163962834</v>
          </cell>
          <cell r="O16">
            <v>22314.902372665598</v>
          </cell>
        </row>
        <row r="17">
          <cell r="I17">
            <v>8935.7843628737392</v>
          </cell>
          <cell r="O17">
            <v>10352.131306776198</v>
          </cell>
        </row>
        <row r="18">
          <cell r="I18">
            <v>6568.5951415872732</v>
          </cell>
          <cell r="O18">
            <v>7755.1655353323422</v>
          </cell>
        </row>
        <row r="19">
          <cell r="I19">
            <v>1944.532520674255</v>
          </cell>
          <cell r="O19">
            <v>7200.3464741626267</v>
          </cell>
        </row>
        <row r="20">
          <cell r="I20">
            <v>1904.0726105847762</v>
          </cell>
          <cell r="O20">
            <v>1946.0063243835641</v>
          </cell>
        </row>
        <row r="21">
          <cell r="I21">
            <v>1524.4249926930156</v>
          </cell>
          <cell r="O21">
            <v>1900.849712610323</v>
          </cell>
        </row>
        <row r="22">
          <cell r="I22">
            <v>1087.1151736033507</v>
          </cell>
          <cell r="O22">
            <v>1463.5398935206581</v>
          </cell>
        </row>
        <row r="23">
          <cell r="I23">
            <v>10816.047664488549</v>
          </cell>
          <cell r="O23">
            <v>14152.443405538799</v>
          </cell>
        </row>
        <row r="24">
          <cell r="I24">
            <v>1642.1654974807748</v>
          </cell>
          <cell r="O24">
            <v>1893.1153107589798</v>
          </cell>
        </row>
        <row r="25">
          <cell r="I25">
            <v>1194.4403536859029</v>
          </cell>
          <cell r="O25">
            <v>1454.8058039583061</v>
          </cell>
        </row>
        <row r="26">
          <cell r="I26">
            <v>1675.3940479493963</v>
          </cell>
          <cell r="O26">
            <v>1971.3975085799707</v>
          </cell>
        </row>
        <row r="27">
          <cell r="I27">
            <v>268.47514768922758</v>
          </cell>
          <cell r="O27">
            <v>1546.8040354475793</v>
          </cell>
        </row>
        <row r="29">
          <cell r="O29">
            <v>1395.3488372093022</v>
          </cell>
        </row>
      </sheetData>
      <sheetData sheetId="9"/>
      <sheetData sheetId="10">
        <row r="23">
          <cell r="Q23">
            <v>13.194763876138213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5"/>
  <sheetViews>
    <sheetView topLeftCell="A10" zoomScale="90" zoomScaleNormal="90" workbookViewId="0">
      <pane xSplit="5" ySplit="3" topLeftCell="L32" activePane="bottomRight" state="frozen"/>
      <selection activeCell="A10" sqref="A10"/>
      <selection pane="topRight" activeCell="F10" sqref="F10"/>
      <selection pane="bottomLeft" activeCell="A13" sqref="A13"/>
      <selection pane="bottomRight" activeCell="D43" sqref="D43:D45"/>
    </sheetView>
  </sheetViews>
  <sheetFormatPr baseColWidth="10" defaultColWidth="9.140625" defaultRowHeight="12.75" x14ac:dyDescent="0.2"/>
  <cols>
    <col min="1" max="1" width="2.42578125" style="1" customWidth="1"/>
    <col min="2" max="2" width="4.85546875" style="1" customWidth="1"/>
    <col min="3" max="3" width="4.7109375" style="1" customWidth="1"/>
    <col min="4" max="4" width="45.7109375" style="1" customWidth="1"/>
    <col min="5" max="5" width="15.85546875" style="23" customWidth="1"/>
    <col min="6" max="6" width="17.42578125" style="1" customWidth="1"/>
    <col min="7" max="7" width="13.5703125" style="1" customWidth="1"/>
    <col min="8" max="9" width="9.140625" style="1" customWidth="1"/>
    <col min="10" max="11" width="14" style="1" customWidth="1"/>
    <col min="12" max="12" width="19.7109375" style="1" bestFit="1" customWidth="1"/>
    <col min="13" max="13" width="11.5703125" style="1" customWidth="1"/>
    <col min="14" max="14" width="82" style="1" customWidth="1"/>
    <col min="15" max="15" width="11.140625" style="23" bestFit="1" customWidth="1"/>
    <col min="16" max="16" width="18.7109375" style="1" customWidth="1"/>
    <col min="17" max="17" width="0" style="1" hidden="1" customWidth="1"/>
    <col min="18" max="18" width="10.85546875" style="1" bestFit="1" customWidth="1"/>
    <col min="19" max="19" width="10.28515625" style="1" customWidth="1"/>
    <col min="20" max="20" width="10.85546875" style="1" customWidth="1"/>
    <col min="21" max="22" width="9.140625" style="1"/>
    <col min="23" max="23" width="10.5703125" style="1" customWidth="1"/>
    <col min="24" max="24" width="9.140625" style="1"/>
    <col min="25" max="26" width="10.28515625" style="1" bestFit="1" customWidth="1"/>
    <col min="27" max="16384" width="9.140625" style="1"/>
  </cols>
  <sheetData>
    <row r="1" spans="1:26" ht="20.25" customHeight="1" x14ac:dyDescent="0.2">
      <c r="J1" s="1" t="s">
        <v>0</v>
      </c>
    </row>
    <row r="2" spans="1:26" ht="20.25" customHeight="1" x14ac:dyDescent="0.2">
      <c r="J2" s="1" t="s">
        <v>1</v>
      </c>
    </row>
    <row r="3" spans="1:26" ht="22.5" customHeight="1" thickBot="1" x14ac:dyDescent="0.25"/>
    <row r="4" spans="1:26" ht="21" customHeight="1" x14ac:dyDescent="0.2">
      <c r="B4" s="172" t="s">
        <v>2</v>
      </c>
      <c r="C4" s="173"/>
      <c r="D4" s="174"/>
      <c r="E4" s="173"/>
      <c r="F4" s="173"/>
      <c r="G4" s="173"/>
      <c r="H4" s="173"/>
      <c r="I4" s="173"/>
      <c r="J4" s="173"/>
      <c r="K4" s="173"/>
      <c r="L4" s="173"/>
      <c r="M4" s="173"/>
      <c r="N4" s="175"/>
    </row>
    <row r="5" spans="1:26" ht="18.75" customHeight="1" x14ac:dyDescent="0.2">
      <c r="B5" s="185" t="s">
        <v>3</v>
      </c>
      <c r="C5" s="186"/>
      <c r="D5" s="187"/>
      <c r="E5" s="187"/>
      <c r="F5" s="187"/>
      <c r="G5" s="165" t="s">
        <v>4</v>
      </c>
      <c r="H5" s="166"/>
      <c r="I5" s="166"/>
      <c r="J5" s="166"/>
      <c r="K5" s="139"/>
      <c r="L5" s="139"/>
      <c r="M5" s="167" t="s">
        <v>5</v>
      </c>
      <c r="N5" s="168"/>
      <c r="R5" s="3"/>
    </row>
    <row r="6" spans="1:26" ht="16.5" customHeight="1" x14ac:dyDescent="0.2">
      <c r="B6" s="183" t="s">
        <v>6</v>
      </c>
      <c r="C6" s="184"/>
      <c r="D6" s="170"/>
      <c r="E6" s="170"/>
      <c r="F6" s="170"/>
      <c r="G6" s="169" t="s">
        <v>7</v>
      </c>
      <c r="H6" s="170"/>
      <c r="I6" s="170"/>
      <c r="J6" s="170"/>
      <c r="K6" s="170"/>
      <c r="L6" s="170"/>
      <c r="M6" s="170"/>
      <c r="N6" s="171"/>
      <c r="R6" s="3"/>
    </row>
    <row r="7" spans="1:26" x14ac:dyDescent="0.2">
      <c r="B7" s="188" t="s">
        <v>8</v>
      </c>
      <c r="C7" s="189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1"/>
      <c r="Q7" s="2" t="s">
        <v>9</v>
      </c>
      <c r="R7" s="3"/>
    </row>
    <row r="8" spans="1:26" ht="22.5" customHeight="1" x14ac:dyDescent="0.2">
      <c r="A8" s="1" t="s">
        <v>3</v>
      </c>
      <c r="B8" s="16" t="s">
        <v>10</v>
      </c>
      <c r="C8" s="17"/>
      <c r="D8" s="18"/>
      <c r="E8" s="86" t="s">
        <v>11</v>
      </c>
      <c r="I8" s="18" t="s">
        <v>12</v>
      </c>
      <c r="N8" s="19"/>
      <c r="Q8" s="2" t="s">
        <v>13</v>
      </c>
      <c r="R8" s="3"/>
    </row>
    <row r="9" spans="1:26" ht="12" customHeight="1" x14ac:dyDescent="0.2">
      <c r="B9" s="10"/>
      <c r="C9" s="11"/>
      <c r="D9" s="11"/>
      <c r="E9" s="87"/>
      <c r="F9" s="11"/>
      <c r="G9" s="11"/>
      <c r="H9" s="11"/>
      <c r="I9" s="11"/>
      <c r="J9" s="11"/>
      <c r="K9" s="11"/>
      <c r="L9" s="11"/>
      <c r="M9" s="11"/>
      <c r="N9" s="12"/>
      <c r="P9" s="3"/>
      <c r="Q9" s="2" t="s">
        <v>14</v>
      </c>
      <c r="R9" s="3"/>
    </row>
    <row r="10" spans="1:26" s="2" customFormat="1" ht="40.5" customHeight="1" x14ac:dyDescent="0.2">
      <c r="B10" s="143" t="s">
        <v>15</v>
      </c>
      <c r="C10" s="143" t="s">
        <v>16</v>
      </c>
      <c r="D10" s="143" t="s">
        <v>17</v>
      </c>
      <c r="E10" s="192" t="s">
        <v>18</v>
      </c>
      <c r="F10" s="143" t="s">
        <v>19</v>
      </c>
      <c r="G10" s="143" t="s">
        <v>20</v>
      </c>
      <c r="H10" s="143" t="s">
        <v>21</v>
      </c>
      <c r="I10" s="143"/>
      <c r="J10" s="143" t="s">
        <v>22</v>
      </c>
      <c r="K10" s="163" t="s">
        <v>118</v>
      </c>
      <c r="L10" s="163" t="s">
        <v>119</v>
      </c>
      <c r="M10" s="143" t="s">
        <v>23</v>
      </c>
      <c r="N10" s="143" t="s">
        <v>24</v>
      </c>
      <c r="O10" s="92"/>
      <c r="P10" s="5"/>
      <c r="Q10" s="4" t="s">
        <v>25</v>
      </c>
    </row>
    <row r="11" spans="1:26" ht="54" customHeight="1" x14ac:dyDescent="0.2">
      <c r="B11" s="143"/>
      <c r="C11" s="143"/>
      <c r="D11" s="143"/>
      <c r="E11" s="192"/>
      <c r="F11" s="143"/>
      <c r="G11" s="143"/>
      <c r="H11" s="25" t="s">
        <v>26</v>
      </c>
      <c r="I11" s="25" t="s">
        <v>27</v>
      </c>
      <c r="J11" s="143"/>
      <c r="K11" s="164"/>
      <c r="L11" s="164"/>
      <c r="M11" s="143"/>
      <c r="N11" s="143"/>
      <c r="O11" s="93" t="s">
        <v>105</v>
      </c>
      <c r="P11" s="6"/>
      <c r="Q11" s="4" t="s">
        <v>28</v>
      </c>
    </row>
    <row r="12" spans="1:26" x14ac:dyDescent="0.2">
      <c r="B12" s="13">
        <v>1</v>
      </c>
      <c r="C12" s="13"/>
      <c r="D12" s="13" t="s">
        <v>29</v>
      </c>
      <c r="E12" s="88">
        <f>SUM(E13:E16)</f>
        <v>65075.344718260385</v>
      </c>
      <c r="F12" s="27"/>
      <c r="G12" s="27"/>
      <c r="H12" s="27"/>
      <c r="I12" s="27"/>
      <c r="J12" s="27"/>
      <c r="K12" s="27"/>
      <c r="L12" s="27"/>
      <c r="M12" s="27"/>
      <c r="N12" s="27"/>
      <c r="O12" s="88">
        <f>SUM(O13:O16)</f>
        <v>3247.6152817396087</v>
      </c>
      <c r="Q12" s="2"/>
      <c r="S12" s="24"/>
      <c r="T12" s="24"/>
      <c r="U12" s="24"/>
      <c r="V12" s="24"/>
      <c r="W12" s="24"/>
      <c r="X12" s="24"/>
      <c r="Y12" s="24"/>
      <c r="Z12" s="24"/>
    </row>
    <row r="13" spans="1:26" ht="50.25" customHeight="1" x14ac:dyDescent="0.3">
      <c r="B13" s="15">
        <v>1.1000000000000001</v>
      </c>
      <c r="C13" s="8"/>
      <c r="D13" s="28" t="s">
        <v>30</v>
      </c>
      <c r="E13" s="89">
        <f>+'[9]4- Estado de ejecución del proy'!$O$15</f>
        <v>24653.145503486252</v>
      </c>
      <c r="F13" s="29" t="s">
        <v>31</v>
      </c>
      <c r="G13" s="15" t="s">
        <v>32</v>
      </c>
      <c r="H13" s="30">
        <v>1</v>
      </c>
      <c r="I13" s="30">
        <v>0</v>
      </c>
      <c r="J13" s="31">
        <v>44314</v>
      </c>
      <c r="K13" s="31">
        <v>45078</v>
      </c>
      <c r="L13" s="31" t="s">
        <v>120</v>
      </c>
      <c r="M13" s="8"/>
      <c r="N13" s="32" t="s">
        <v>121</v>
      </c>
      <c r="O13" s="23">
        <f>+[10]Sheet1!E13-E13</f>
        <v>1012.224496513747</v>
      </c>
      <c r="P13" s="22"/>
      <c r="Q13" s="2"/>
      <c r="R13" s="26"/>
      <c r="S13" s="23"/>
      <c r="T13" s="23"/>
      <c r="U13" s="23"/>
      <c r="V13" s="23"/>
      <c r="W13" s="23"/>
      <c r="X13" s="23"/>
      <c r="Y13" s="23"/>
    </row>
    <row r="14" spans="1:26" ht="42.75" customHeight="1" x14ac:dyDescent="0.3">
      <c r="B14" s="15">
        <v>1.2</v>
      </c>
      <c r="C14" s="8"/>
      <c r="D14" s="15" t="s">
        <v>34</v>
      </c>
      <c r="E14" s="89">
        <f>+'[9]4- Estado de ejecución del proy'!$O$16</f>
        <v>22314.902372665598</v>
      </c>
      <c r="F14" s="29" t="s">
        <v>31</v>
      </c>
      <c r="G14" s="15" t="s">
        <v>32</v>
      </c>
      <c r="H14" s="30">
        <v>1</v>
      </c>
      <c r="I14" s="30">
        <v>0</v>
      </c>
      <c r="J14" s="31">
        <v>44314</v>
      </c>
      <c r="K14" s="31">
        <v>45078</v>
      </c>
      <c r="L14" s="31" t="s">
        <v>120</v>
      </c>
      <c r="M14" s="8"/>
      <c r="N14" s="32" t="s">
        <v>122</v>
      </c>
      <c r="O14" s="23">
        <f>+[10]Sheet1!E14-E14</f>
        <v>1155.2776273344025</v>
      </c>
      <c r="P14" s="22"/>
      <c r="R14" s="26"/>
      <c r="S14" s="23"/>
      <c r="T14" s="23"/>
      <c r="U14" s="23"/>
      <c r="V14" s="23"/>
      <c r="W14" s="23"/>
      <c r="X14" s="23"/>
      <c r="Y14" s="23"/>
    </row>
    <row r="15" spans="1:26" ht="42" customHeight="1" x14ac:dyDescent="0.2">
      <c r="B15" s="15">
        <v>1.3</v>
      </c>
      <c r="C15" s="8"/>
      <c r="D15" s="34" t="s">
        <v>36</v>
      </c>
      <c r="E15" s="89">
        <f>+'[9]4- Estado de ejecución del proy'!$O$17</f>
        <v>10352.131306776198</v>
      </c>
      <c r="F15" s="29" t="s">
        <v>31</v>
      </c>
      <c r="G15" s="15" t="s">
        <v>32</v>
      </c>
      <c r="H15" s="30">
        <v>1</v>
      </c>
      <c r="I15" s="30">
        <v>0</v>
      </c>
      <c r="J15" s="31">
        <v>44314</v>
      </c>
      <c r="K15" s="31">
        <v>45078</v>
      </c>
      <c r="L15" s="31" t="s">
        <v>120</v>
      </c>
      <c r="M15" s="8"/>
      <c r="N15" s="32" t="s">
        <v>123</v>
      </c>
      <c r="O15" s="23">
        <f>+[10]Sheet1!E15-E15</f>
        <v>565.47869322380211</v>
      </c>
      <c r="P15" s="20"/>
      <c r="S15" s="24"/>
      <c r="T15" s="24"/>
    </row>
    <row r="16" spans="1:26" ht="33.75" customHeight="1" x14ac:dyDescent="0.2">
      <c r="B16" s="15">
        <v>1.4</v>
      </c>
      <c r="C16" s="8"/>
      <c r="D16" s="34" t="s">
        <v>37</v>
      </c>
      <c r="E16" s="89">
        <f>+'[9]4- Estado de ejecución del proy'!$O$18</f>
        <v>7755.1655353323422</v>
      </c>
      <c r="F16" s="29" t="s">
        <v>31</v>
      </c>
      <c r="G16" s="15" t="s">
        <v>32</v>
      </c>
      <c r="H16" s="33">
        <v>1</v>
      </c>
      <c r="I16" s="30">
        <v>0</v>
      </c>
      <c r="J16" s="31">
        <v>44314</v>
      </c>
      <c r="K16" s="31">
        <v>45078</v>
      </c>
      <c r="L16" s="31" t="s">
        <v>120</v>
      </c>
      <c r="M16" s="8"/>
      <c r="N16" s="32" t="s">
        <v>124</v>
      </c>
      <c r="O16" s="23">
        <f>+[10]Sheet1!E16-E16</f>
        <v>514.63446466765708</v>
      </c>
      <c r="P16" s="20"/>
    </row>
    <row r="17" spans="1:17" x14ac:dyDescent="0.2">
      <c r="B17" s="13">
        <v>2</v>
      </c>
      <c r="C17" s="13"/>
      <c r="D17" s="13" t="s">
        <v>38</v>
      </c>
      <c r="E17" s="88">
        <f>SUM(E18:E19)</f>
        <v>26663.185810215971</v>
      </c>
      <c r="F17" s="27"/>
      <c r="G17" s="27"/>
      <c r="H17" s="27"/>
      <c r="I17" s="27"/>
      <c r="J17" s="27"/>
      <c r="K17" s="27"/>
      <c r="L17" s="27"/>
      <c r="M17" s="27"/>
      <c r="N17" s="27"/>
      <c r="O17" s="88">
        <f>SUM(O18:O19)</f>
        <v>-3311.6983806182889</v>
      </c>
    </row>
    <row r="18" spans="1:17" ht="69" customHeight="1" x14ac:dyDescent="0.2">
      <c r="B18" s="15">
        <v>2.1</v>
      </c>
      <c r="C18" s="8"/>
      <c r="D18" s="34" t="s">
        <v>39</v>
      </c>
      <c r="E18" s="89">
        <f>+'[9]4- Estado de ejecución del proy'!$O$19+'[9]4- Estado de ejecución del proy'!$O$20+'[9]4- Estado de ejecución del proy'!$O$21+'[9]4- Estado de ejecución del proy'!$O$22</f>
        <v>12510.742404677172</v>
      </c>
      <c r="F18" s="29" t="s">
        <v>40</v>
      </c>
      <c r="G18" s="15" t="s">
        <v>32</v>
      </c>
      <c r="H18" s="30">
        <v>1</v>
      </c>
      <c r="I18" s="30">
        <v>0</v>
      </c>
      <c r="J18" s="31">
        <v>44314</v>
      </c>
      <c r="K18" s="31">
        <v>45078</v>
      </c>
      <c r="L18" s="31" t="s">
        <v>125</v>
      </c>
      <c r="M18" s="35"/>
      <c r="N18" s="36" t="s">
        <v>129</v>
      </c>
      <c r="O18" s="23">
        <f>+[10]Sheet1!E18-E18</f>
        <v>-3715.7414152391884</v>
      </c>
      <c r="P18" s="20"/>
    </row>
    <row r="19" spans="1:17" ht="54" customHeight="1" x14ac:dyDescent="0.2">
      <c r="B19" s="15">
        <v>2.2000000000000002</v>
      </c>
      <c r="C19" s="8"/>
      <c r="D19" s="34" t="s">
        <v>42</v>
      </c>
      <c r="E19" s="89">
        <f>+'[9]4- Estado de ejecución del proy'!$O$23</f>
        <v>14152.443405538799</v>
      </c>
      <c r="F19" s="29" t="s">
        <v>40</v>
      </c>
      <c r="G19" s="15" t="s">
        <v>32</v>
      </c>
      <c r="H19" s="30">
        <v>1</v>
      </c>
      <c r="I19" s="30">
        <v>0</v>
      </c>
      <c r="J19" s="31">
        <v>44314</v>
      </c>
      <c r="K19" s="31">
        <v>45078</v>
      </c>
      <c r="L19" s="31" t="s">
        <v>125</v>
      </c>
      <c r="M19" s="35"/>
      <c r="N19" s="32" t="s">
        <v>126</v>
      </c>
      <c r="O19" s="23">
        <f>+[10]Sheet1!E19-E19</f>
        <v>404.04303462089956</v>
      </c>
      <c r="P19" s="20"/>
    </row>
    <row r="20" spans="1:17" x14ac:dyDescent="0.2">
      <c r="B20" s="13">
        <v>3</v>
      </c>
      <c r="C20" s="13"/>
      <c r="D20" s="13" t="s">
        <v>44</v>
      </c>
      <c r="E20" s="88">
        <f>SUM(E21:E22)</f>
        <v>3347.9211147172859</v>
      </c>
      <c r="F20" s="27"/>
      <c r="G20" s="27"/>
      <c r="H20" s="27"/>
      <c r="I20" s="27"/>
      <c r="J20" s="27"/>
      <c r="K20" s="27"/>
      <c r="L20" s="27"/>
      <c r="M20" s="27"/>
      <c r="N20" s="27"/>
      <c r="O20" s="88">
        <f>SUM(O21:O22)</f>
        <v>643.00110750493604</v>
      </c>
    </row>
    <row r="21" spans="1:17" ht="38.25" x14ac:dyDescent="0.2">
      <c r="B21" s="15">
        <v>3.1</v>
      </c>
      <c r="C21" s="8"/>
      <c r="D21" s="15" t="s">
        <v>45</v>
      </c>
      <c r="E21" s="89">
        <f>+'[9]4- Estado de ejecución del proy'!$O$24</f>
        <v>1893.1153107589798</v>
      </c>
      <c r="F21" s="29" t="s">
        <v>40</v>
      </c>
      <c r="G21" s="15" t="s">
        <v>32</v>
      </c>
      <c r="H21" s="30">
        <v>1</v>
      </c>
      <c r="I21" s="30">
        <v>0</v>
      </c>
      <c r="J21" s="31">
        <v>44314</v>
      </c>
      <c r="K21" s="31">
        <v>45078</v>
      </c>
      <c r="L21" s="31" t="s">
        <v>120</v>
      </c>
      <c r="M21" s="8"/>
      <c r="N21" s="32" t="s">
        <v>46</v>
      </c>
      <c r="O21" s="23">
        <f>+[10]Sheet1!E21-E21</f>
        <v>488.08468924101999</v>
      </c>
      <c r="P21" s="20"/>
      <c r="Q21" s="2" t="s">
        <v>47</v>
      </c>
    </row>
    <row r="22" spans="1:17" ht="51" x14ac:dyDescent="0.2">
      <c r="B22" s="15">
        <v>3.2</v>
      </c>
      <c r="C22" s="8"/>
      <c r="D22" s="15" t="s">
        <v>48</v>
      </c>
      <c r="E22" s="89">
        <f>+'[9]4- Estado de ejecución del proy'!$O$25</f>
        <v>1454.8058039583061</v>
      </c>
      <c r="F22" s="29" t="s">
        <v>40</v>
      </c>
      <c r="G22" s="15" t="s">
        <v>32</v>
      </c>
      <c r="H22" s="30">
        <v>1</v>
      </c>
      <c r="I22" s="30">
        <v>0</v>
      </c>
      <c r="J22" s="31">
        <v>44652</v>
      </c>
      <c r="K22" s="31">
        <v>45078</v>
      </c>
      <c r="L22" s="31" t="s">
        <v>120</v>
      </c>
      <c r="M22" s="8"/>
      <c r="N22" s="32" t="s">
        <v>49</v>
      </c>
      <c r="O22" s="23">
        <f>+[10]Sheet1!E22-E22</f>
        <v>154.91641826391606</v>
      </c>
      <c r="P22" s="20"/>
      <c r="Q22" s="2"/>
    </row>
    <row r="23" spans="1:17" s="7" customFormat="1" x14ac:dyDescent="0.2">
      <c r="B23" s="14">
        <v>4</v>
      </c>
      <c r="C23" s="14"/>
      <c r="D23" s="14" t="s">
        <v>50</v>
      </c>
      <c r="E23" s="88">
        <f>+SUM(E24:E26)</f>
        <v>4913.5503812368524</v>
      </c>
      <c r="F23" s="37"/>
      <c r="G23" s="38"/>
      <c r="H23" s="39"/>
      <c r="I23" s="39"/>
      <c r="J23" s="40"/>
      <c r="K23" s="40"/>
      <c r="L23" s="40"/>
      <c r="M23" s="38"/>
      <c r="N23" s="38"/>
      <c r="O23" s="88">
        <f>+SUM(O24:O26)</f>
        <v>-578.92102979423703</v>
      </c>
      <c r="P23" s="20"/>
      <c r="Q23" s="9" t="s">
        <v>51</v>
      </c>
    </row>
    <row r="24" spans="1:17" ht="51.75" customHeight="1" x14ac:dyDescent="0.2">
      <c r="A24" s="7"/>
      <c r="B24" s="41">
        <v>4.0999999999999996</v>
      </c>
      <c r="C24" s="42"/>
      <c r="D24" s="43" t="s">
        <v>52</v>
      </c>
      <c r="E24" s="89">
        <f>+'[9]4- Estado de ejecución del proy'!$O$26</f>
        <v>1971.3975085799707</v>
      </c>
      <c r="F24" s="34" t="s">
        <v>53</v>
      </c>
      <c r="G24" s="15" t="s">
        <v>32</v>
      </c>
      <c r="H24" s="30">
        <v>1</v>
      </c>
      <c r="I24" s="30">
        <v>0</v>
      </c>
      <c r="J24" s="31">
        <v>44314</v>
      </c>
      <c r="K24" s="31">
        <v>45078</v>
      </c>
      <c r="L24" s="31" t="s">
        <v>120</v>
      </c>
      <c r="M24" s="8"/>
      <c r="N24" s="34" t="s">
        <v>54</v>
      </c>
      <c r="O24" s="23">
        <f>+[10]Sheet1!E24-E24</f>
        <v>384.21739841819999</v>
      </c>
    </row>
    <row r="25" spans="1:17" ht="63" customHeight="1" x14ac:dyDescent="0.2">
      <c r="B25" s="41">
        <v>4.2</v>
      </c>
      <c r="C25" s="42"/>
      <c r="D25" s="43" t="s">
        <v>55</v>
      </c>
      <c r="E25" s="89">
        <f>+'[9]4- Estado de ejecución del proy'!$O$27</f>
        <v>1546.8040354475793</v>
      </c>
      <c r="F25" s="29" t="s">
        <v>40</v>
      </c>
      <c r="G25" s="15" t="s">
        <v>32</v>
      </c>
      <c r="H25" s="30">
        <v>1</v>
      </c>
      <c r="I25" s="30">
        <v>0</v>
      </c>
      <c r="J25" s="31">
        <v>44743</v>
      </c>
      <c r="K25" s="31">
        <v>45078</v>
      </c>
      <c r="L25" s="31" t="s">
        <v>125</v>
      </c>
      <c r="M25" s="8"/>
      <c r="N25" s="32" t="s">
        <v>127</v>
      </c>
      <c r="O25" s="23">
        <f>+[10]Sheet1!E25-E25</f>
        <v>432.21040899686523</v>
      </c>
    </row>
    <row r="26" spans="1:17" ht="25.5" x14ac:dyDescent="0.2">
      <c r="B26" s="41">
        <v>4.3</v>
      </c>
      <c r="C26" s="42"/>
      <c r="D26" s="43" t="s">
        <v>104</v>
      </c>
      <c r="E26" s="89">
        <f>+'[9]4- Estado de ejecución del proy'!$O$29</f>
        <v>1395.3488372093022</v>
      </c>
      <c r="F26" s="29"/>
      <c r="G26" s="15" t="s">
        <v>32</v>
      </c>
      <c r="H26" s="30"/>
      <c r="I26" s="30"/>
      <c r="J26" s="31"/>
      <c r="K26" s="31">
        <v>45078</v>
      </c>
      <c r="L26" s="31" t="s">
        <v>125</v>
      </c>
      <c r="M26" s="8"/>
      <c r="N26" s="141" t="s">
        <v>128</v>
      </c>
      <c r="O26" s="23">
        <f>-E26</f>
        <v>-1395.3488372093022</v>
      </c>
    </row>
    <row r="27" spans="1:17" s="7" customFormat="1" ht="19.5" customHeight="1" x14ac:dyDescent="0.2">
      <c r="B27" s="179" t="s">
        <v>57</v>
      </c>
      <c r="C27" s="179"/>
      <c r="D27" s="180"/>
      <c r="E27" s="90">
        <f>+E23+E20+E17+E12</f>
        <v>100000.00202443049</v>
      </c>
      <c r="F27" s="181" t="s">
        <v>58</v>
      </c>
      <c r="G27" s="182"/>
      <c r="H27" s="182"/>
      <c r="I27" s="181" t="s">
        <v>59</v>
      </c>
      <c r="J27" s="182"/>
      <c r="K27" s="182"/>
      <c r="L27" s="182"/>
      <c r="M27" s="182"/>
      <c r="N27" s="15"/>
      <c r="O27" s="90">
        <f>+O23+O20+O17+O12</f>
        <v>-3.0211679813874071E-3</v>
      </c>
      <c r="P27" s="21"/>
    </row>
    <row r="28" spans="1:17" ht="58.5" customHeight="1" thickBot="1" x14ac:dyDescent="0.25">
      <c r="B28" s="159" t="s">
        <v>60</v>
      </c>
      <c r="C28" s="160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2"/>
    </row>
    <row r="29" spans="1:17" ht="21.75" customHeight="1" thickBot="1" x14ac:dyDescent="0.25">
      <c r="B29" s="176" t="s">
        <v>61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8"/>
    </row>
    <row r="30" spans="1:17" ht="39" customHeight="1" thickBot="1" x14ac:dyDescent="0.25">
      <c r="B30" s="148" t="s">
        <v>62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50"/>
    </row>
    <row r="31" spans="1:17" ht="26.25" customHeight="1" thickBot="1" x14ac:dyDescent="0.25">
      <c r="B31" s="151" t="s">
        <v>63</v>
      </c>
      <c r="C31" s="152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4"/>
    </row>
    <row r="32" spans="1:17" ht="26.25" customHeight="1" thickBot="1" x14ac:dyDescent="0.25">
      <c r="B32" s="151" t="s">
        <v>64</v>
      </c>
      <c r="C32" s="152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4"/>
    </row>
    <row r="33" spans="2:14" ht="29.25" customHeight="1" thickBot="1" x14ac:dyDescent="0.25">
      <c r="B33" s="155" t="s">
        <v>65</v>
      </c>
      <c r="C33" s="156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8"/>
    </row>
    <row r="34" spans="2:14" ht="30" customHeight="1" thickBot="1" x14ac:dyDescent="0.25">
      <c r="B34" s="144" t="s">
        <v>66</v>
      </c>
      <c r="C34" s="145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7"/>
    </row>
    <row r="35" spans="2:14" x14ac:dyDescent="0.2">
      <c r="D35" s="2"/>
      <c r="E35" s="91"/>
      <c r="F35" s="2"/>
      <c r="G35" s="2"/>
      <c r="H35" s="2"/>
      <c r="I35" s="2"/>
      <c r="J35" s="2"/>
      <c r="K35" s="2"/>
      <c r="L35" s="2"/>
      <c r="M35" s="2"/>
      <c r="N35" s="2"/>
    </row>
    <row r="43" spans="2:14" x14ac:dyDescent="0.2">
      <c r="D43" s="18" t="s">
        <v>130</v>
      </c>
    </row>
    <row r="44" spans="2:14" x14ac:dyDescent="0.2">
      <c r="D44" s="18" t="s">
        <v>131</v>
      </c>
    </row>
    <row r="45" spans="2:14" x14ac:dyDescent="0.2">
      <c r="D45" s="18" t="s">
        <v>132</v>
      </c>
    </row>
  </sheetData>
  <mergeCells count="29">
    <mergeCell ref="G5:J5"/>
    <mergeCell ref="M5:N5"/>
    <mergeCell ref="G6:N6"/>
    <mergeCell ref="B4:N4"/>
    <mergeCell ref="B29:N29"/>
    <mergeCell ref="B27:D27"/>
    <mergeCell ref="F27:H27"/>
    <mergeCell ref="I27:M27"/>
    <mergeCell ref="B6:F6"/>
    <mergeCell ref="B5:F5"/>
    <mergeCell ref="B7:N7"/>
    <mergeCell ref="B10:B11"/>
    <mergeCell ref="D10:D11"/>
    <mergeCell ref="E10:E11"/>
    <mergeCell ref="F10:F11"/>
    <mergeCell ref="G10:G11"/>
    <mergeCell ref="J10:J11"/>
    <mergeCell ref="B34:N34"/>
    <mergeCell ref="B30:N30"/>
    <mergeCell ref="B31:N31"/>
    <mergeCell ref="H10:I10"/>
    <mergeCell ref="M10:M11"/>
    <mergeCell ref="N10:N11"/>
    <mergeCell ref="B33:N33"/>
    <mergeCell ref="B28:N28"/>
    <mergeCell ref="C10:C11"/>
    <mergeCell ref="B32:N32"/>
    <mergeCell ref="K10:K11"/>
    <mergeCell ref="L10:L11"/>
  </mergeCells>
  <phoneticPr fontId="0" type="noConversion"/>
  <dataValidations count="4">
    <dataValidation type="list" allowBlank="1" showInputMessage="1" showErrorMessage="1" sqref="F12 F20 F17 F24" xr:uid="{00000000-0002-0000-0000-000000000000}">
      <formula1>$Q$7:$Q$13</formula1>
    </dataValidation>
    <dataValidation type="list" allowBlank="1" showInputMessage="1" showErrorMessage="1" sqref="G20 G12 G17" xr:uid="{00000000-0002-0000-0000-000001000000}">
      <formula1>$Q$21:$Q$23</formula1>
    </dataValidation>
    <dataValidation type="list" allowBlank="1" showInputMessage="1" showErrorMessage="1" sqref="G13:G16 G18:G19 G21:G26" xr:uid="{00000000-0002-0000-0000-000002000000}">
      <formula1>supervision</formula1>
    </dataValidation>
    <dataValidation type="list" allowBlank="1" showInputMessage="1" showErrorMessage="1" sqref="F13:F16" xr:uid="{00000000-0002-0000-0000-000003000000}">
      <formula1>prmmethod</formula1>
    </dataValidation>
  </dataValidations>
  <printOptions horizontalCentered="1"/>
  <pageMargins left="0.23622047244094491" right="0.23622047244094491" top="0.6692913385826772" bottom="0.62992125984251968" header="0.27559055118110237" footer="0.35433070866141736"/>
  <pageSetup scale="75" orientation="landscape" r:id="rId1"/>
  <headerFooter alignWithMargins="0">
    <oddHeader xml:space="preserve">&amp;R&amp;8Banco Interamericano de Desarrollo
</oddHeader>
    <oddFooter>&amp;L 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CA3DD-6ED6-4588-ADB5-293F063802A4}">
  <dimension ref="B5:L52"/>
  <sheetViews>
    <sheetView showGridLines="0" tabSelected="1" topLeftCell="A32" zoomScaleNormal="100" workbookViewId="0">
      <selection activeCell="D47" sqref="D47"/>
    </sheetView>
  </sheetViews>
  <sheetFormatPr baseColWidth="10" defaultColWidth="9.28515625" defaultRowHeight="12.75" x14ac:dyDescent="0.2"/>
  <cols>
    <col min="1" max="1" width="3.28515625" style="44" customWidth="1"/>
    <col min="2" max="2" width="45.28515625" style="44" customWidth="1"/>
    <col min="3" max="3" width="16.7109375" style="44" customWidth="1"/>
    <col min="4" max="4" width="17.85546875" style="44" customWidth="1"/>
    <col min="5" max="5" width="18.7109375" style="44" customWidth="1"/>
    <col min="6" max="6" width="18.5703125" style="44" customWidth="1"/>
    <col min="7" max="7" width="12.85546875" style="44" customWidth="1"/>
    <col min="8" max="8" width="13.7109375" style="44" customWidth="1"/>
    <col min="9" max="9" width="9.28515625" style="44"/>
    <col min="10" max="10" width="10.28515625" style="44" bestFit="1" customWidth="1"/>
    <col min="11" max="16384" width="9.28515625" style="44"/>
  </cols>
  <sheetData>
    <row r="5" spans="2:6" ht="15.75" x14ac:dyDescent="0.2">
      <c r="B5" s="193" t="s">
        <v>67</v>
      </c>
      <c r="C5" s="193"/>
      <c r="D5" s="193"/>
      <c r="E5" s="193"/>
      <c r="F5" s="193"/>
    </row>
    <row r="6" spans="2:6" ht="15.75" x14ac:dyDescent="0.2">
      <c r="B6" s="194"/>
      <c r="C6" s="194"/>
      <c r="D6" s="194"/>
      <c r="E6" s="194"/>
      <c r="F6" s="194"/>
    </row>
    <row r="7" spans="2:6" ht="15" x14ac:dyDescent="0.2">
      <c r="B7" s="46" t="s">
        <v>68</v>
      </c>
    </row>
    <row r="8" spans="2:6" ht="15" x14ac:dyDescent="0.2">
      <c r="B8" s="47" t="s">
        <v>69</v>
      </c>
    </row>
    <row r="9" spans="2:6" ht="15" x14ac:dyDescent="0.2">
      <c r="B9" s="47" t="s">
        <v>70</v>
      </c>
    </row>
    <row r="10" spans="2:6" ht="15" x14ac:dyDescent="0.2">
      <c r="B10" s="47" t="s">
        <v>71</v>
      </c>
    </row>
    <row r="11" spans="2:6" ht="15.75" thickBot="1" x14ac:dyDescent="0.25">
      <c r="B11" s="47" t="s">
        <v>72</v>
      </c>
    </row>
    <row r="12" spans="2:6" ht="17.25" thickTop="1" thickBot="1" x14ac:dyDescent="0.25">
      <c r="B12" s="45"/>
      <c r="C12" s="195"/>
      <c r="D12" s="195"/>
      <c r="E12" s="195"/>
      <c r="F12" s="195"/>
    </row>
    <row r="13" spans="2:6" ht="17.25" thickTop="1" thickBot="1" x14ac:dyDescent="0.25">
      <c r="B13" s="49" t="s">
        <v>73</v>
      </c>
      <c r="C13" s="50">
        <v>1</v>
      </c>
      <c r="D13" s="50">
        <f t="shared" ref="D13:F13" si="0">C13+1</f>
        <v>2</v>
      </c>
      <c r="E13" s="50">
        <f t="shared" si="0"/>
        <v>3</v>
      </c>
      <c r="F13" s="50">
        <f t="shared" si="0"/>
        <v>4</v>
      </c>
    </row>
    <row r="14" spans="2:6" ht="32.25" thickBot="1" x14ac:dyDescent="0.25">
      <c r="B14" s="51" t="s">
        <v>74</v>
      </c>
      <c r="C14" s="52" t="s">
        <v>106</v>
      </c>
      <c r="D14" s="52" t="s">
        <v>107</v>
      </c>
      <c r="E14" s="52" t="s">
        <v>108</v>
      </c>
      <c r="F14" s="52" t="s">
        <v>109</v>
      </c>
    </row>
    <row r="15" spans="2:6" ht="32.25" thickBot="1" x14ac:dyDescent="0.25">
      <c r="B15" s="53" t="s">
        <v>77</v>
      </c>
      <c r="C15" s="54">
        <v>0</v>
      </c>
      <c r="D15" s="55">
        <f>C35</f>
        <v>9003.2090683453571</v>
      </c>
      <c r="E15" s="55">
        <f>D35</f>
        <v>16689.155519926433</v>
      </c>
      <c r="F15" s="55">
        <f>E35</f>
        <v>12548.170758167775</v>
      </c>
    </row>
    <row r="16" spans="2:6" ht="32.25" thickBot="1" x14ac:dyDescent="0.25">
      <c r="B16" s="53" t="s">
        <v>78</v>
      </c>
      <c r="C16" s="56">
        <f>+C17</f>
        <v>79657.490931654655</v>
      </c>
      <c r="D16" s="56">
        <f t="shared" ref="D16:F16" si="1">+D17</f>
        <v>3653.3535484189115</v>
      </c>
      <c r="E16" s="56">
        <f t="shared" si="1"/>
        <v>4140.9847617586584</v>
      </c>
      <c r="F16" s="56">
        <f t="shared" si="1"/>
        <v>12548.172782598282</v>
      </c>
    </row>
    <row r="17" spans="2:11" ht="32.25" thickBot="1" x14ac:dyDescent="0.25">
      <c r="B17" s="57" t="s">
        <v>79</v>
      </c>
      <c r="C17" s="142">
        <f t="shared" ref="C17" si="2">+SUM(C18:C31)</f>
        <v>79657.490931654655</v>
      </c>
      <c r="D17" s="58">
        <f>+SUM(D18:D31)</f>
        <v>3653.3535484189115</v>
      </c>
      <c r="E17" s="58">
        <f t="shared" ref="E17" si="3">+SUM(E18:E31)</f>
        <v>4140.9847617586584</v>
      </c>
      <c r="F17" s="58">
        <f>+SUM(F18:F32)</f>
        <v>12548.172782598282</v>
      </c>
      <c r="G17" s="73"/>
    </row>
    <row r="18" spans="2:11" ht="51.75" thickBot="1" x14ac:dyDescent="0.25">
      <c r="B18" s="59" t="s">
        <v>80</v>
      </c>
      <c r="C18" s="60">
        <f>+'[9]4- Estado de ejecución del proy'!$I$15</f>
        <v>22046.843254381558</v>
      </c>
      <c r="D18" s="60">
        <f>+'[11]Proyección de presupuesto'!J6</f>
        <v>868.76741636823203</v>
      </c>
      <c r="E18" s="60">
        <f>+'[11]Proyección de presupuesto'!$K$6</f>
        <v>868.76741636823203</v>
      </c>
      <c r="F18" s="60">
        <f>+'[11]Proyección de presupuesto'!$L$6</f>
        <v>868.76741636823203</v>
      </c>
      <c r="G18" s="62"/>
    </row>
    <row r="19" spans="2:11" ht="15.75" thickBot="1" x14ac:dyDescent="0.25">
      <c r="B19" s="59" t="s">
        <v>81</v>
      </c>
      <c r="C19" s="60">
        <f>+'[9]4- Estado de ejecución del proy'!$I$16</f>
        <v>20049.600163962834</v>
      </c>
      <c r="D19" s="60">
        <f>+'[11]Proyección de presupuesto'!$J$7</f>
        <v>731.84943402705619</v>
      </c>
      <c r="E19" s="60">
        <f>+'[11]Proyección de presupuesto'!$K$7</f>
        <v>731.84943402705619</v>
      </c>
      <c r="F19" s="60">
        <f>+'[11]Proyección de presupuesto'!$L$7+'[11]Proyección de presupuesto'!$L$8</f>
        <v>801.60334064865265</v>
      </c>
      <c r="G19" s="62"/>
    </row>
    <row r="20" spans="2:11" ht="26.25" thickBot="1" x14ac:dyDescent="0.25">
      <c r="B20" s="59" t="s">
        <v>82</v>
      </c>
      <c r="C20" s="60">
        <f>+'[9]4- Estado de ejecución del proy'!$I$17</f>
        <v>8935.7843628737392</v>
      </c>
      <c r="D20" s="60">
        <f>+'[11]Proyección de presupuesto'!$J$9</f>
        <v>445.6644021837875</v>
      </c>
      <c r="E20" s="60">
        <f>+'[11]Proyección de presupuesto'!$K$9</f>
        <v>445.6644021837875</v>
      </c>
      <c r="F20" s="60">
        <f>+'[11]Proyección de presupuesto'!$L$9</f>
        <v>525.01813953488374</v>
      </c>
      <c r="G20" s="62"/>
    </row>
    <row r="21" spans="2:11" ht="26.25" thickBot="1" x14ac:dyDescent="0.25">
      <c r="B21" s="59" t="s">
        <v>83</v>
      </c>
      <c r="C21" s="60">
        <f>+'[9]4- Estado de ejecución del proy'!$I$18</f>
        <v>6568.5951415872732</v>
      </c>
      <c r="D21" s="60">
        <f>+'[11]Proyección de presupuesto'!$J$10</f>
        <v>373.36345268648802</v>
      </c>
      <c r="E21" s="60">
        <f>+'[11]Proyección de presupuesto'!$K$10</f>
        <v>373.36345268648802</v>
      </c>
      <c r="F21" s="60">
        <f>+'[11]Proyección de presupuesto'!$L$10</f>
        <v>439.84348837209302</v>
      </c>
      <c r="G21" s="62"/>
    </row>
    <row r="22" spans="2:11" ht="15.75" thickBot="1" x14ac:dyDescent="0.25">
      <c r="B22" s="63" t="s">
        <v>84</v>
      </c>
      <c r="C22" s="60">
        <f>+'[9]4- Estado de ejecución del proy'!$I$19</f>
        <v>1944.532520674255</v>
      </c>
      <c r="D22" s="60">
        <f>+'[11]Proyección de presupuesto'!$J$11</f>
        <v>0</v>
      </c>
      <c r="E22" s="60">
        <f>+'[11]Proyección de presupuesto'!$K$11</f>
        <v>0</v>
      </c>
      <c r="F22" s="60">
        <f>+'[11]Proyección de presupuesto'!$M$11</f>
        <v>5255.8139534883721</v>
      </c>
      <c r="G22" s="62"/>
    </row>
    <row r="23" spans="2:11" ht="15.75" thickBot="1" x14ac:dyDescent="0.25">
      <c r="B23" s="63" t="s">
        <v>85</v>
      </c>
      <c r="C23" s="60">
        <f>+'[9]4- Estado de ejecución del proy'!$I$20</f>
        <v>1904.0726105847762</v>
      </c>
      <c r="D23" s="60">
        <f>+'[11]Proyección de presupuesto'!$J$12</f>
        <v>13.194763876138213</v>
      </c>
      <c r="E23" s="60">
        <f>+'[9]5.- Plan Financiero Anual'!$Q$23</f>
        <v>13.194763876138213</v>
      </c>
      <c r="F23" s="60">
        <f>+'[11]Proyección de presupuesto'!$L$12</f>
        <v>15.544186046511628</v>
      </c>
      <c r="G23" s="62"/>
    </row>
    <row r="24" spans="2:11" ht="15.75" thickBot="1" x14ac:dyDescent="0.25">
      <c r="B24" s="63" t="s">
        <v>86</v>
      </c>
      <c r="C24" s="60">
        <f>+'[9]4- Estado de ejecución del proy'!$I$21</f>
        <v>1524.4249926930156</v>
      </c>
      <c r="D24" s="60">
        <f>+'[11]Proyección de presupuesto'!$J$13</f>
        <v>118.44491809818862</v>
      </c>
      <c r="E24" s="60">
        <f>+'[11]Proyección de presupuesto'!K13</f>
        <v>118.44491809818862</v>
      </c>
      <c r="F24" s="60">
        <f>+'[11]Proyección de presupuesto'!$L$13</f>
        <v>139.53488372093022</v>
      </c>
      <c r="G24" s="62"/>
    </row>
    <row r="25" spans="2:11" ht="15.75" thickBot="1" x14ac:dyDescent="0.25">
      <c r="B25" s="63" t="s">
        <v>87</v>
      </c>
      <c r="C25" s="60">
        <f>+'[9]4- Estado de ejecución del proy'!$I$22</f>
        <v>1087.1151736033507</v>
      </c>
      <c r="D25" s="60">
        <f>+'[11]Proyección de presupuesto'!$J$14</f>
        <v>118.44491809818862</v>
      </c>
      <c r="E25" s="60">
        <f>+'[11]Proyección de presupuesto'!K14</f>
        <v>118.44491809818862</v>
      </c>
      <c r="F25" s="60">
        <f>+'[11]Proyección de presupuesto'!$L$14</f>
        <v>139.53488372093022</v>
      </c>
      <c r="G25" s="62"/>
    </row>
    <row r="26" spans="2:11" ht="15.75" thickBot="1" x14ac:dyDescent="0.25">
      <c r="B26" s="63" t="s">
        <v>88</v>
      </c>
      <c r="C26" s="60">
        <f>+'[9]4- Estado de ejecución del proy'!$I$23</f>
        <v>10816.047664488549</v>
      </c>
      <c r="D26" s="60">
        <f>+'[11]Proyección de presupuesto'!$J$15</f>
        <v>729.59522982745079</v>
      </c>
      <c r="E26" s="60">
        <f>+'[11]Proyección de presupuesto'!K15</f>
        <v>729.59522982745079</v>
      </c>
      <c r="F26" s="60">
        <f>+'[11]Proyección de presupuesto'!$L$15+'[11]Proyección de presupuesto'!$M$15</f>
        <v>1877.2052813953487</v>
      </c>
      <c r="G26" s="62"/>
    </row>
    <row r="27" spans="2:11" ht="15.75" thickBot="1" x14ac:dyDescent="0.25">
      <c r="B27" s="64" t="s">
        <v>89</v>
      </c>
      <c r="C27" s="60">
        <f>+'[9]4- Estado de ejecución del proy'!$I$24</f>
        <v>1642.1654974807748</v>
      </c>
      <c r="D27" s="60">
        <f>+'[11]Proyección de presupuesto'!$J$16</f>
        <v>78.963278732125758</v>
      </c>
      <c r="E27" s="60">
        <f>+'[11]Proyección de presupuesto'!K16</f>
        <v>78.963278732125758</v>
      </c>
      <c r="F27" s="60">
        <f>+'[11]Proyección de presupuesto'!$L$16</f>
        <v>93.023255813953483</v>
      </c>
      <c r="G27" s="62"/>
    </row>
    <row r="28" spans="2:11" ht="15.75" thickBot="1" x14ac:dyDescent="0.25">
      <c r="B28" s="64" t="s">
        <v>90</v>
      </c>
      <c r="C28" s="60">
        <f>+'[9]4- Estado de ejecución del proy'!$I$25</f>
        <v>1194.4403536859029</v>
      </c>
      <c r="D28" s="60">
        <f>+'[11]Proyección de presupuesto'!$J$17</f>
        <v>81.925980950155108</v>
      </c>
      <c r="E28" s="60">
        <f>+'[11]Proyección de presupuesto'!K17</f>
        <v>81.925980950155108</v>
      </c>
      <c r="F28" s="60">
        <f>+'[11]Proyección de presupuesto'!$L$17</f>
        <v>96.513488372093022</v>
      </c>
      <c r="G28" s="62"/>
    </row>
    <row r="29" spans="2:11" ht="15.75" thickBot="1" x14ac:dyDescent="0.25">
      <c r="B29" s="64" t="s">
        <v>91</v>
      </c>
      <c r="C29" s="60">
        <f>+'[9]4- Estado de ejecución del proy'!$I$26</f>
        <v>1675.3940479493963</v>
      </c>
      <c r="D29" s="60">
        <f>+'[11]Proyección de presupuesto'!$J$18</f>
        <v>93.139753571101124</v>
      </c>
      <c r="E29" s="60">
        <f>+'[11]Proyección de presupuesto'!K18</f>
        <v>93.139753571101124</v>
      </c>
      <c r="F29" s="60">
        <f>+'[11]Proyección de presupuesto'!$L$18</f>
        <v>109.72395348837209</v>
      </c>
      <c r="G29" s="62"/>
    </row>
    <row r="30" spans="2:11" ht="15.75" thickBot="1" x14ac:dyDescent="0.25">
      <c r="B30" s="64" t="s">
        <v>92</v>
      </c>
      <c r="C30" s="60">
        <f>+'[9]4- Estado de ejecución del proy'!$I$27</f>
        <v>268.47514768922758</v>
      </c>
      <c r="D30" s="60">
        <v>0</v>
      </c>
      <c r="E30" s="60">
        <f>+'[11]Proyección de presupuesto'!K19</f>
        <v>487.63121333974721</v>
      </c>
      <c r="F30" s="60">
        <f>+'[11]Proyección de presupuesto'!$M$19</f>
        <v>790.69767441860461</v>
      </c>
      <c r="G30" s="62"/>
      <c r="J30" s="62"/>
      <c r="K30" s="62"/>
    </row>
    <row r="31" spans="2:11" ht="15.75" thickBot="1" x14ac:dyDescent="0.25">
      <c r="B31" s="64" t="s">
        <v>93</v>
      </c>
      <c r="C31" s="60">
        <f>+'[9]4- Estado de ejecución del proy'!$I$29</f>
        <v>0</v>
      </c>
      <c r="D31" s="60">
        <v>0</v>
      </c>
      <c r="E31" s="60">
        <v>0</v>
      </c>
      <c r="F31" s="60"/>
      <c r="G31" s="62"/>
    </row>
    <row r="32" spans="2:11" ht="15.75" thickBot="1" x14ac:dyDescent="0.25">
      <c r="B32" s="64" t="s">
        <v>110</v>
      </c>
      <c r="C32" s="60"/>
      <c r="D32" s="60">
        <v>0</v>
      </c>
      <c r="E32" s="60">
        <v>0</v>
      </c>
      <c r="F32" s="60">
        <f>+'[11]Proyección de presupuesto'!$M$20</f>
        <v>1395.3488372093022</v>
      </c>
      <c r="G32" s="62"/>
    </row>
    <row r="33" spans="2:12" ht="16.5" thickBot="1" x14ac:dyDescent="0.25">
      <c r="B33" s="57" t="s">
        <v>94</v>
      </c>
      <c r="C33" s="65">
        <f>+[12]Desembolsos!$D$7</f>
        <v>88660.700000000012</v>
      </c>
      <c r="D33" s="65">
        <f>+[12]Desembolsos!$D$9</f>
        <v>11339.299999999988</v>
      </c>
      <c r="E33" s="65"/>
      <c r="F33" s="65"/>
      <c r="G33" s="62"/>
      <c r="H33" s="62"/>
      <c r="K33" s="66"/>
      <c r="L33" s="66"/>
    </row>
    <row r="34" spans="2:12" ht="15.75" thickBot="1" x14ac:dyDescent="0.25">
      <c r="B34" s="67"/>
      <c r="C34" s="68"/>
      <c r="D34" s="68"/>
      <c r="E34" s="68"/>
      <c r="F34" s="68"/>
    </row>
    <row r="35" spans="2:12" ht="16.5" customHeight="1" thickTop="1" thickBot="1" x14ac:dyDescent="0.25">
      <c r="B35" s="69" t="s">
        <v>95</v>
      </c>
      <c r="C35" s="70">
        <f>+C15-C16+C33</f>
        <v>9003.2090683453571</v>
      </c>
      <c r="D35" s="70">
        <f>D15-D16+D33</f>
        <v>16689.155519926433</v>
      </c>
      <c r="E35" s="70">
        <f>E15-E16+E33</f>
        <v>12548.170758167775</v>
      </c>
      <c r="F35" s="70">
        <f>F15-F16+F33</f>
        <v>-2.0244305069354596E-3</v>
      </c>
    </row>
    <row r="36" spans="2:12" ht="15.75" thickTop="1" x14ac:dyDescent="0.2">
      <c r="B36" s="71"/>
    </row>
    <row r="37" spans="2:12" x14ac:dyDescent="0.2">
      <c r="B37" s="74" t="s">
        <v>96</v>
      </c>
    </row>
    <row r="38" spans="2:12" ht="13.5" thickBot="1" x14ac:dyDescent="0.25"/>
    <row r="39" spans="2:12" ht="15.75" thickBot="1" x14ac:dyDescent="0.25">
      <c r="B39" s="77" t="s">
        <v>97</v>
      </c>
      <c r="C39" s="78"/>
      <c r="D39" s="78"/>
      <c r="E39" s="78"/>
      <c r="F39" s="78"/>
    </row>
    <row r="40" spans="2:12" ht="15.75" thickBot="1" x14ac:dyDescent="0.25">
      <c r="B40" s="80" t="s">
        <v>98</v>
      </c>
      <c r="C40" s="81"/>
      <c r="D40" s="81"/>
      <c r="E40" s="81"/>
      <c r="F40" s="81"/>
    </row>
    <row r="41" spans="2:12" ht="15.75" thickTop="1" x14ac:dyDescent="0.2">
      <c r="C41" s="83"/>
      <c r="D41" s="83"/>
      <c r="E41" s="83"/>
      <c r="F41" s="83"/>
    </row>
    <row r="42" spans="2:12" ht="15.75" thickBot="1" x14ac:dyDescent="0.25">
      <c r="B42" s="74" t="s">
        <v>99</v>
      </c>
      <c r="C42" s="83"/>
      <c r="D42" s="83"/>
      <c r="E42" s="83"/>
      <c r="F42" s="83"/>
    </row>
    <row r="43" spans="2:12" ht="15.75" thickBot="1" x14ac:dyDescent="0.25">
      <c r="B43" s="80" t="s">
        <v>100</v>
      </c>
      <c r="C43" s="81">
        <f t="shared" ref="C43:F43" si="4">C33+C39+C40</f>
        <v>88660.700000000012</v>
      </c>
      <c r="D43" s="81">
        <f t="shared" si="4"/>
        <v>11339.299999999988</v>
      </c>
      <c r="E43" s="81">
        <f t="shared" si="4"/>
        <v>0</v>
      </c>
      <c r="F43" s="81">
        <f t="shared" si="4"/>
        <v>0</v>
      </c>
    </row>
    <row r="44" spans="2:12" ht="13.5" thickTop="1" x14ac:dyDescent="0.2"/>
    <row r="50" spans="2:2" x14ac:dyDescent="0.2">
      <c r="B50" s="18" t="s">
        <v>130</v>
      </c>
    </row>
    <row r="51" spans="2:2" x14ac:dyDescent="0.2">
      <c r="B51" s="18" t="s">
        <v>131</v>
      </c>
    </row>
    <row r="52" spans="2:2" x14ac:dyDescent="0.2">
      <c r="B52" s="18" t="s">
        <v>132</v>
      </c>
    </row>
  </sheetData>
  <mergeCells count="3">
    <mergeCell ref="B5:F5"/>
    <mergeCell ref="B6:F6"/>
    <mergeCell ref="C12:F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88828-CB52-4604-842B-CF7E553E4CEA}">
  <dimension ref="A1:P27"/>
  <sheetViews>
    <sheetView topLeftCell="A10" zoomScale="80" zoomScaleNormal="80" workbookViewId="0">
      <pane xSplit="5" ySplit="3" topLeftCell="F13" activePane="bottomRight" state="frozen"/>
      <selection activeCell="A10" sqref="A10"/>
      <selection pane="topRight" activeCell="F10" sqref="F10"/>
      <selection pane="bottomLeft" activeCell="A13" sqref="A13"/>
      <selection pane="bottomRight" activeCell="H16" sqref="H16"/>
    </sheetView>
  </sheetViews>
  <sheetFormatPr baseColWidth="10" defaultColWidth="9.140625" defaultRowHeight="12.75" x14ac:dyDescent="0.2"/>
  <cols>
    <col min="1" max="1" width="2.42578125" style="94" customWidth="1"/>
    <col min="2" max="2" width="4.85546875" style="94" customWidth="1"/>
    <col min="3" max="3" width="4.7109375" style="94" customWidth="1"/>
    <col min="4" max="4" width="45.7109375" style="94" customWidth="1"/>
    <col min="5" max="5" width="15.85546875" style="95" customWidth="1"/>
    <col min="6" max="6" width="17.42578125" style="94" customWidth="1"/>
    <col min="7" max="7" width="13.5703125" style="94" customWidth="1"/>
    <col min="8" max="9" width="9.140625" style="94" customWidth="1"/>
    <col min="10" max="10" width="14" style="94" customWidth="1"/>
    <col min="11" max="11" width="11.5703125" style="94" customWidth="1"/>
    <col min="12" max="12" width="82" style="94" customWidth="1"/>
    <col min="13" max="13" width="11.140625" style="94" bestFit="1" customWidth="1"/>
    <col min="14" max="14" width="18.7109375" style="94" customWidth="1"/>
    <col min="15" max="15" width="0" style="94" hidden="1" customWidth="1"/>
    <col min="16" max="16" width="10.85546875" style="94" bestFit="1" customWidth="1"/>
    <col min="17" max="17" width="10.28515625" style="94" customWidth="1"/>
    <col min="18" max="18" width="10.85546875" style="94" customWidth="1"/>
    <col min="19" max="20" width="9.140625" style="94"/>
    <col min="21" max="21" width="10.5703125" style="94" customWidth="1"/>
    <col min="22" max="22" width="9.140625" style="94"/>
    <col min="23" max="24" width="10.28515625" style="94" bestFit="1" customWidth="1"/>
    <col min="25" max="16384" width="9.140625" style="94"/>
  </cols>
  <sheetData>
    <row r="1" spans="1:16" ht="20.25" customHeight="1" x14ac:dyDescent="0.2">
      <c r="J1" s="94" t="s">
        <v>0</v>
      </c>
    </row>
    <row r="2" spans="1:16" ht="20.25" customHeight="1" x14ac:dyDescent="0.2">
      <c r="J2" s="94" t="s">
        <v>1</v>
      </c>
    </row>
    <row r="3" spans="1:16" ht="22.5" customHeight="1" thickBot="1" x14ac:dyDescent="0.25"/>
    <row r="4" spans="1:16" ht="21" customHeight="1" x14ac:dyDescent="0.2">
      <c r="B4" s="196" t="s">
        <v>2</v>
      </c>
      <c r="C4" s="197"/>
      <c r="D4" s="198"/>
      <c r="E4" s="197"/>
      <c r="F4" s="197"/>
      <c r="G4" s="197"/>
      <c r="H4" s="197"/>
      <c r="I4" s="197"/>
      <c r="J4" s="197"/>
      <c r="K4" s="197"/>
      <c r="L4" s="199"/>
    </row>
    <row r="5" spans="1:16" ht="18.75" customHeight="1" x14ac:dyDescent="0.2">
      <c r="B5" s="200" t="s">
        <v>3</v>
      </c>
      <c r="C5" s="201"/>
      <c r="D5" s="202"/>
      <c r="E5" s="202"/>
      <c r="F5" s="202"/>
      <c r="G5" s="203" t="s">
        <v>4</v>
      </c>
      <c r="H5" s="204"/>
      <c r="I5" s="204"/>
      <c r="J5" s="204"/>
      <c r="K5" s="205" t="s">
        <v>5</v>
      </c>
      <c r="L5" s="206"/>
      <c r="P5" s="96"/>
    </row>
    <row r="6" spans="1:16" ht="16.5" customHeight="1" x14ac:dyDescent="0.2">
      <c r="B6" s="207" t="s">
        <v>6</v>
      </c>
      <c r="C6" s="208"/>
      <c r="D6" s="209"/>
      <c r="E6" s="209"/>
      <c r="F6" s="209"/>
      <c r="G6" s="210" t="s">
        <v>7</v>
      </c>
      <c r="H6" s="209"/>
      <c r="I6" s="209"/>
      <c r="J6" s="209"/>
      <c r="K6" s="209"/>
      <c r="L6" s="211"/>
      <c r="P6" s="96"/>
    </row>
    <row r="7" spans="1:16" x14ac:dyDescent="0.2">
      <c r="B7" s="215" t="s">
        <v>8</v>
      </c>
      <c r="C7" s="216"/>
      <c r="D7" s="217"/>
      <c r="E7" s="217"/>
      <c r="F7" s="217"/>
      <c r="G7" s="217"/>
      <c r="H7" s="217"/>
      <c r="I7" s="217"/>
      <c r="J7" s="217"/>
      <c r="K7" s="217"/>
      <c r="L7" s="218"/>
      <c r="O7" s="97" t="s">
        <v>9</v>
      </c>
      <c r="P7" s="96"/>
    </row>
    <row r="8" spans="1:16" ht="22.5" customHeight="1" x14ac:dyDescent="0.2">
      <c r="A8" s="94" t="s">
        <v>3</v>
      </c>
      <c r="B8" s="98" t="s">
        <v>10</v>
      </c>
      <c r="C8" s="99"/>
      <c r="D8" s="100"/>
      <c r="E8" s="101" t="s">
        <v>11</v>
      </c>
      <c r="I8" s="100" t="s">
        <v>12</v>
      </c>
      <c r="L8" s="102"/>
      <c r="O8" s="97" t="s">
        <v>13</v>
      </c>
      <c r="P8" s="96"/>
    </row>
    <row r="9" spans="1:16" ht="12" customHeight="1" x14ac:dyDescent="0.2">
      <c r="B9" s="103"/>
      <c r="C9" s="104"/>
      <c r="D9" s="104"/>
      <c r="E9" s="105"/>
      <c r="F9" s="104"/>
      <c r="G9" s="104"/>
      <c r="H9" s="104"/>
      <c r="I9" s="104"/>
      <c r="J9" s="104"/>
      <c r="K9" s="104"/>
      <c r="L9" s="106"/>
      <c r="N9" s="96"/>
      <c r="O9" s="97" t="s">
        <v>14</v>
      </c>
      <c r="P9" s="96"/>
    </row>
    <row r="10" spans="1:16" s="97" customFormat="1" ht="40.5" customHeight="1" x14ac:dyDescent="0.2">
      <c r="B10" s="219" t="s">
        <v>15</v>
      </c>
      <c r="C10" s="219" t="s">
        <v>16</v>
      </c>
      <c r="D10" s="219" t="s">
        <v>17</v>
      </c>
      <c r="E10" s="220" t="s">
        <v>18</v>
      </c>
      <c r="F10" s="219" t="s">
        <v>19</v>
      </c>
      <c r="G10" s="219" t="s">
        <v>20</v>
      </c>
      <c r="H10" s="219" t="s">
        <v>21</v>
      </c>
      <c r="I10" s="219"/>
      <c r="J10" s="219" t="s">
        <v>22</v>
      </c>
      <c r="K10" s="219" t="s">
        <v>23</v>
      </c>
      <c r="L10" s="219" t="s">
        <v>24</v>
      </c>
      <c r="M10" s="108"/>
      <c r="N10" s="109"/>
      <c r="O10" s="108" t="s">
        <v>25</v>
      </c>
    </row>
    <row r="11" spans="1:16" ht="54" customHeight="1" x14ac:dyDescent="0.2">
      <c r="B11" s="219"/>
      <c r="C11" s="219"/>
      <c r="D11" s="219"/>
      <c r="E11" s="220"/>
      <c r="F11" s="219"/>
      <c r="G11" s="219"/>
      <c r="H11" s="107" t="s">
        <v>26</v>
      </c>
      <c r="I11" s="107" t="s">
        <v>27</v>
      </c>
      <c r="J11" s="219"/>
      <c r="K11" s="219"/>
      <c r="L11" s="219"/>
      <c r="M11" s="110"/>
      <c r="N11" s="111"/>
      <c r="O11" s="108" t="s">
        <v>28</v>
      </c>
    </row>
    <row r="12" spans="1:16" x14ac:dyDescent="0.2">
      <c r="B12" s="112">
        <v>2</v>
      </c>
      <c r="C12" s="112"/>
      <c r="D12" s="112" t="s">
        <v>38</v>
      </c>
      <c r="E12" s="113">
        <f>SUM(E13:E14)</f>
        <v>26905377.710000001</v>
      </c>
      <c r="F12" s="114"/>
      <c r="G12" s="114"/>
      <c r="H12" s="114"/>
      <c r="I12" s="114"/>
      <c r="J12" s="114"/>
      <c r="K12" s="114"/>
      <c r="L12" s="114"/>
    </row>
    <row r="13" spans="1:16" ht="90.75" customHeight="1" x14ac:dyDescent="0.2">
      <c r="B13" s="115">
        <v>2.1</v>
      </c>
      <c r="C13" s="116"/>
      <c r="D13" s="117" t="s">
        <v>114</v>
      </c>
      <c r="E13" s="140">
        <v>22600000</v>
      </c>
      <c r="F13" s="118" t="s">
        <v>40</v>
      </c>
      <c r="G13" s="115" t="s">
        <v>32</v>
      </c>
      <c r="H13" s="119">
        <v>1</v>
      </c>
      <c r="I13" s="119">
        <v>0</v>
      </c>
      <c r="J13" s="120">
        <v>45078</v>
      </c>
      <c r="K13" s="121"/>
      <c r="L13" s="122" t="s">
        <v>41</v>
      </c>
      <c r="M13" s="96"/>
      <c r="N13" s="123" t="s">
        <v>35</v>
      </c>
    </row>
    <row r="14" spans="1:16" ht="54" customHeight="1" x14ac:dyDescent="0.2">
      <c r="B14" s="115">
        <v>2.2000000000000002</v>
      </c>
      <c r="C14" s="116"/>
      <c r="D14" s="117" t="s">
        <v>115</v>
      </c>
      <c r="E14" s="140">
        <f>3000000+1305377.71</f>
        <v>4305377.71</v>
      </c>
      <c r="F14" s="118" t="s">
        <v>40</v>
      </c>
      <c r="G14" s="115" t="s">
        <v>32</v>
      </c>
      <c r="H14" s="119">
        <v>1</v>
      </c>
      <c r="I14" s="119">
        <v>0</v>
      </c>
      <c r="J14" s="120">
        <v>45078</v>
      </c>
      <c r="K14" s="121"/>
      <c r="L14" s="124" t="s">
        <v>43</v>
      </c>
      <c r="M14" s="96"/>
      <c r="N14" s="123" t="s">
        <v>35</v>
      </c>
    </row>
    <row r="15" spans="1:16" s="125" customFormat="1" x14ac:dyDescent="0.2">
      <c r="B15" s="126">
        <v>4</v>
      </c>
      <c r="C15" s="126"/>
      <c r="D15" s="126" t="s">
        <v>50</v>
      </c>
      <c r="E15" s="113">
        <f>+SUM(E16:E16)</f>
        <v>3400000</v>
      </c>
      <c r="F15" s="127"/>
      <c r="G15" s="128"/>
      <c r="H15" s="129"/>
      <c r="I15" s="129"/>
      <c r="J15" s="130"/>
      <c r="K15" s="128"/>
      <c r="L15" s="128"/>
      <c r="M15" s="131"/>
      <c r="N15" s="123"/>
      <c r="O15" s="132" t="s">
        <v>51</v>
      </c>
    </row>
    <row r="16" spans="1:16" ht="38.25" x14ac:dyDescent="0.2">
      <c r="B16" s="133">
        <v>4.2</v>
      </c>
      <c r="C16" s="134"/>
      <c r="D16" s="118" t="s">
        <v>116</v>
      </c>
      <c r="E16" s="135">
        <f>2400000+1000000</f>
        <v>3400000</v>
      </c>
      <c r="F16" s="118" t="s">
        <v>40</v>
      </c>
      <c r="G16" s="115" t="s">
        <v>32</v>
      </c>
      <c r="H16" s="119">
        <v>1</v>
      </c>
      <c r="I16" s="119">
        <v>0</v>
      </c>
      <c r="J16" s="120">
        <v>45078</v>
      </c>
      <c r="K16" s="116"/>
      <c r="L16" s="124" t="s">
        <v>56</v>
      </c>
      <c r="M16" s="123"/>
      <c r="N16" s="94" t="s">
        <v>33</v>
      </c>
    </row>
    <row r="17" spans="2:15" s="125" customFormat="1" x14ac:dyDescent="0.2">
      <c r="B17" s="126">
        <v>5</v>
      </c>
      <c r="C17" s="126"/>
      <c r="D17" s="126" t="s">
        <v>111</v>
      </c>
      <c r="E17" s="113">
        <f>SUM(E18)</f>
        <v>6000000</v>
      </c>
      <c r="F17" s="127"/>
      <c r="G17" s="128"/>
      <c r="H17" s="129"/>
      <c r="I17" s="129"/>
      <c r="J17" s="130"/>
      <c r="K17" s="128"/>
      <c r="L17" s="128"/>
      <c r="M17" s="131"/>
      <c r="N17" s="123"/>
      <c r="O17" s="132"/>
    </row>
    <row r="18" spans="2:15" ht="48.75" customHeight="1" x14ac:dyDescent="0.2">
      <c r="B18" s="133">
        <v>5.0999999999999996</v>
      </c>
      <c r="C18" s="134"/>
      <c r="D18" s="118" t="s">
        <v>117</v>
      </c>
      <c r="E18" s="135">
        <f>6000000</f>
        <v>6000000</v>
      </c>
      <c r="F18" s="118" t="s">
        <v>40</v>
      </c>
      <c r="G18" s="115" t="s">
        <v>32</v>
      </c>
      <c r="H18" s="119">
        <v>1</v>
      </c>
      <c r="I18" s="119">
        <v>0</v>
      </c>
      <c r="J18" s="120">
        <v>45078</v>
      </c>
      <c r="K18" s="116"/>
      <c r="L18" s="124"/>
      <c r="M18" s="123"/>
    </row>
    <row r="19" spans="2:15" s="125" customFormat="1" ht="34.5" customHeight="1" x14ac:dyDescent="0.2">
      <c r="B19" s="221" t="s">
        <v>57</v>
      </c>
      <c r="C19" s="221"/>
      <c r="D19" s="222"/>
      <c r="E19" s="136">
        <f>+E15+E12+E17</f>
        <v>36305377.710000001</v>
      </c>
      <c r="F19" s="223" t="s">
        <v>112</v>
      </c>
      <c r="G19" s="224"/>
      <c r="H19" s="224"/>
      <c r="I19" s="223" t="s">
        <v>113</v>
      </c>
      <c r="J19" s="224"/>
      <c r="K19" s="224"/>
      <c r="L19" s="115"/>
      <c r="M19" s="137"/>
      <c r="N19" s="137"/>
    </row>
    <row r="20" spans="2:15" ht="58.5" customHeight="1" thickBot="1" x14ac:dyDescent="0.25">
      <c r="B20" s="225" t="s">
        <v>60</v>
      </c>
      <c r="C20" s="226"/>
      <c r="D20" s="227"/>
      <c r="E20" s="227"/>
      <c r="F20" s="227"/>
      <c r="G20" s="227"/>
      <c r="H20" s="227"/>
      <c r="I20" s="227"/>
      <c r="J20" s="227"/>
      <c r="K20" s="227"/>
      <c r="L20" s="228"/>
    </row>
    <row r="21" spans="2:15" ht="21.75" customHeight="1" thickBot="1" x14ac:dyDescent="0.25">
      <c r="B21" s="212" t="s">
        <v>61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4"/>
    </row>
    <row r="22" spans="2:15" ht="39" customHeight="1" thickBot="1" x14ac:dyDescent="0.25">
      <c r="B22" s="229" t="s">
        <v>62</v>
      </c>
      <c r="C22" s="230"/>
      <c r="D22" s="230"/>
      <c r="E22" s="230"/>
      <c r="F22" s="230"/>
      <c r="G22" s="230"/>
      <c r="H22" s="230"/>
      <c r="I22" s="230"/>
      <c r="J22" s="230"/>
      <c r="K22" s="230"/>
      <c r="L22" s="231"/>
    </row>
    <row r="23" spans="2:15" ht="26.25" customHeight="1" thickBot="1" x14ac:dyDescent="0.25">
      <c r="B23" s="232" t="s">
        <v>63</v>
      </c>
      <c r="C23" s="233"/>
      <c r="D23" s="234"/>
      <c r="E23" s="234"/>
      <c r="F23" s="234"/>
      <c r="G23" s="234"/>
      <c r="H23" s="234"/>
      <c r="I23" s="234"/>
      <c r="J23" s="234"/>
      <c r="K23" s="234"/>
      <c r="L23" s="235"/>
    </row>
    <row r="24" spans="2:15" ht="26.25" customHeight="1" thickBot="1" x14ac:dyDescent="0.25">
      <c r="B24" s="232" t="s">
        <v>64</v>
      </c>
      <c r="C24" s="233"/>
      <c r="D24" s="234"/>
      <c r="E24" s="234"/>
      <c r="F24" s="234"/>
      <c r="G24" s="234"/>
      <c r="H24" s="234"/>
      <c r="I24" s="234"/>
      <c r="J24" s="234"/>
      <c r="K24" s="234"/>
      <c r="L24" s="235"/>
    </row>
    <row r="25" spans="2:15" ht="29.25" customHeight="1" thickBot="1" x14ac:dyDescent="0.25">
      <c r="B25" s="236" t="s">
        <v>65</v>
      </c>
      <c r="C25" s="237"/>
      <c r="D25" s="238"/>
      <c r="E25" s="238"/>
      <c r="F25" s="238"/>
      <c r="G25" s="238"/>
      <c r="H25" s="238"/>
      <c r="I25" s="238"/>
      <c r="J25" s="238"/>
      <c r="K25" s="238"/>
      <c r="L25" s="239"/>
    </row>
    <row r="26" spans="2:15" ht="30" customHeight="1" thickBot="1" x14ac:dyDescent="0.25">
      <c r="B26" s="240" t="s">
        <v>66</v>
      </c>
      <c r="C26" s="241"/>
      <c r="D26" s="242"/>
      <c r="E26" s="242"/>
      <c r="F26" s="242"/>
      <c r="G26" s="242"/>
      <c r="H26" s="242"/>
      <c r="I26" s="242"/>
      <c r="J26" s="242"/>
      <c r="K26" s="242"/>
      <c r="L26" s="243"/>
    </row>
    <row r="27" spans="2:15" x14ac:dyDescent="0.2">
      <c r="D27" s="97"/>
      <c r="E27" s="138"/>
      <c r="F27" s="97"/>
      <c r="G27" s="97"/>
      <c r="H27" s="97"/>
      <c r="I27" s="97"/>
      <c r="J27" s="97"/>
      <c r="K27" s="97"/>
      <c r="L27" s="97"/>
    </row>
  </sheetData>
  <mergeCells count="27">
    <mergeCell ref="B22:L22"/>
    <mergeCell ref="B23:L23"/>
    <mergeCell ref="B24:L24"/>
    <mergeCell ref="B25:L25"/>
    <mergeCell ref="B26:L26"/>
    <mergeCell ref="B21:L21"/>
    <mergeCell ref="B7:L7"/>
    <mergeCell ref="B10:B11"/>
    <mergeCell ref="C10:C11"/>
    <mergeCell ref="D10:D11"/>
    <mergeCell ref="E10:E11"/>
    <mergeCell ref="F10:F11"/>
    <mergeCell ref="G10:G11"/>
    <mergeCell ref="H10:I10"/>
    <mergeCell ref="J10:J11"/>
    <mergeCell ref="K10:K11"/>
    <mergeCell ref="L10:L11"/>
    <mergeCell ref="B19:D19"/>
    <mergeCell ref="F19:H19"/>
    <mergeCell ref="I19:K19"/>
    <mergeCell ref="B20:L20"/>
    <mergeCell ref="B4:L4"/>
    <mergeCell ref="B5:F5"/>
    <mergeCell ref="G5:J5"/>
    <mergeCell ref="K5:L5"/>
    <mergeCell ref="B6:F6"/>
    <mergeCell ref="G6:L6"/>
  </mergeCells>
  <dataValidations count="3">
    <dataValidation type="list" allowBlank="1" showInputMessage="1" showErrorMessage="1" sqref="F12" xr:uid="{AFBE0419-19E5-45B6-9BF9-5FA9D2C880F9}">
      <formula1>$O$7:$O$11</formula1>
    </dataValidation>
    <dataValidation type="list" allowBlank="1" showInputMessage="1" showErrorMessage="1" sqref="G13:G18" xr:uid="{58999F6F-A2C7-44A7-9753-47B6FC345303}">
      <formula1>supervision</formula1>
    </dataValidation>
    <dataValidation type="list" allowBlank="1" showInputMessage="1" showErrorMessage="1" sqref="G12" xr:uid="{6F35C19A-6238-4F67-9941-CAB9E0FFDA2D}">
      <formula1>$O$15:$O$15</formula1>
    </dataValidation>
  </dataValidations>
  <printOptions horizontalCentered="1"/>
  <pageMargins left="0.23622047244094491" right="0.23622047244094491" top="0.6692913385826772" bottom="0.62992125984251968" header="0.27559055118110237" footer="0.35433070866141736"/>
  <pageSetup scale="75" orientation="landscape" r:id="rId1"/>
  <headerFooter alignWithMargins="0">
    <oddHeader xml:space="preserve">&amp;R&amp;8Banco Interamericano de Desarrollo
</oddHeader>
    <oddFooter>&amp;L 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C30F2-8C87-4FDE-9CE6-3E79123D390A}">
  <dimension ref="B2:AK51"/>
  <sheetViews>
    <sheetView showGridLines="0" topLeftCell="Y18" zoomScaleNormal="100" workbookViewId="0"/>
  </sheetViews>
  <sheetFormatPr baseColWidth="10" defaultColWidth="9.28515625" defaultRowHeight="12.75" x14ac:dyDescent="0.2"/>
  <cols>
    <col min="1" max="1" width="3.28515625" style="44" customWidth="1"/>
    <col min="2" max="2" width="45.28515625" style="44" customWidth="1"/>
    <col min="3" max="3" width="16.7109375" style="44" customWidth="1"/>
    <col min="4" max="4" width="17.85546875" style="44" customWidth="1"/>
    <col min="5" max="5" width="18.7109375" style="44" customWidth="1"/>
    <col min="6" max="6" width="18.5703125" style="44" customWidth="1"/>
    <col min="7" max="7" width="17.85546875" style="44" customWidth="1"/>
    <col min="8" max="8" width="17.5703125" style="44" customWidth="1"/>
    <col min="9" max="12" width="18.7109375" style="44" customWidth="1"/>
    <col min="13" max="14" width="18.7109375" style="85" customWidth="1"/>
    <col min="15" max="15" width="20.42578125" style="44" bestFit="1" customWidth="1"/>
    <col min="16" max="18" width="18.7109375" style="44" customWidth="1"/>
    <col min="19" max="19" width="19.85546875" style="44" bestFit="1" customWidth="1"/>
    <col min="20" max="20" width="18.7109375" style="44" customWidth="1"/>
    <col min="21" max="21" width="23.42578125" style="44" customWidth="1"/>
    <col min="22" max="22" width="21.85546875" style="44" customWidth="1"/>
    <col min="23" max="23" width="20.42578125" style="44" bestFit="1" customWidth="1"/>
    <col min="24" max="24" width="20.140625" style="44" bestFit="1" customWidth="1"/>
    <col min="25" max="31" width="20.42578125" style="44" bestFit="1" customWidth="1"/>
    <col min="32" max="32" width="12.85546875" style="44" customWidth="1"/>
    <col min="33" max="33" width="13.7109375" style="44" customWidth="1"/>
    <col min="34" max="34" width="9.28515625" style="44"/>
    <col min="35" max="35" width="10.28515625" style="44" bestFit="1" customWidth="1"/>
    <col min="36" max="16384" width="9.28515625" style="44"/>
  </cols>
  <sheetData>
    <row r="2" spans="2:31" x14ac:dyDescent="0.2">
      <c r="M2" s="44"/>
      <c r="N2" s="44"/>
    </row>
    <row r="3" spans="2:31" x14ac:dyDescent="0.2">
      <c r="M3" s="44"/>
      <c r="N3" s="44"/>
    </row>
    <row r="4" spans="2:31" x14ac:dyDescent="0.2">
      <c r="M4" s="44"/>
      <c r="N4" s="44"/>
    </row>
    <row r="5" spans="2:31" ht="15.75" x14ac:dyDescent="0.2">
      <c r="B5" s="193" t="s">
        <v>67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2:31" ht="15.75" x14ac:dyDescent="0.2"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</row>
    <row r="7" spans="2:31" ht="15" x14ac:dyDescent="0.2">
      <c r="B7" s="46" t="s">
        <v>68</v>
      </c>
      <c r="M7" s="44"/>
      <c r="N7" s="44"/>
    </row>
    <row r="8" spans="2:31" ht="15" x14ac:dyDescent="0.2">
      <c r="B8" s="47" t="s">
        <v>69</v>
      </c>
      <c r="M8" s="44"/>
      <c r="N8" s="44"/>
    </row>
    <row r="9" spans="2:31" ht="15" x14ac:dyDescent="0.2">
      <c r="B9" s="47" t="s">
        <v>70</v>
      </c>
      <c r="M9" s="44"/>
      <c r="N9" s="44"/>
    </row>
    <row r="10" spans="2:31" ht="15" x14ac:dyDescent="0.2">
      <c r="B10" s="47" t="s">
        <v>71</v>
      </c>
      <c r="M10" s="44"/>
      <c r="N10" s="44"/>
    </row>
    <row r="11" spans="2:31" ht="15.75" thickBot="1" x14ac:dyDescent="0.25">
      <c r="B11" s="47" t="s">
        <v>72</v>
      </c>
      <c r="M11" s="44"/>
      <c r="N11" s="44"/>
    </row>
    <row r="12" spans="2:31" ht="17.25" thickTop="1" thickBot="1" x14ac:dyDescent="0.25">
      <c r="B12" s="4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</row>
    <row r="13" spans="2:31" ht="17.25" thickTop="1" thickBot="1" x14ac:dyDescent="0.25">
      <c r="B13" s="49" t="s">
        <v>73</v>
      </c>
      <c r="C13" s="50">
        <v>1</v>
      </c>
      <c r="D13" s="50">
        <f t="shared" ref="D13:H13" si="0">C13+1</f>
        <v>2</v>
      </c>
      <c r="E13" s="50">
        <f t="shared" si="0"/>
        <v>3</v>
      </c>
      <c r="F13" s="50">
        <f t="shared" si="0"/>
        <v>4</v>
      </c>
      <c r="G13" s="50">
        <f t="shared" si="0"/>
        <v>5</v>
      </c>
      <c r="H13" s="50">
        <f t="shared" si="0"/>
        <v>6</v>
      </c>
      <c r="I13" s="50">
        <f>H13+1</f>
        <v>7</v>
      </c>
      <c r="J13" s="50">
        <v>8</v>
      </c>
      <c r="K13" s="50">
        <f>J13+1</f>
        <v>9</v>
      </c>
      <c r="L13" s="50">
        <f>K13+1</f>
        <v>10</v>
      </c>
      <c r="M13" s="50">
        <f>L13+1</f>
        <v>11</v>
      </c>
      <c r="N13" s="50">
        <f>M13+1</f>
        <v>12</v>
      </c>
      <c r="P13" s="50">
        <v>1</v>
      </c>
      <c r="Q13" s="50">
        <f t="shared" ref="Q13:U13" si="1">P13+1</f>
        <v>2</v>
      </c>
      <c r="R13" s="50">
        <f t="shared" si="1"/>
        <v>3</v>
      </c>
      <c r="S13" s="50">
        <f t="shared" si="1"/>
        <v>4</v>
      </c>
      <c r="T13" s="50">
        <f t="shared" si="1"/>
        <v>5</v>
      </c>
      <c r="U13" s="50">
        <f t="shared" si="1"/>
        <v>6</v>
      </c>
      <c r="V13" s="50">
        <f>U13+1</f>
        <v>7</v>
      </c>
      <c r="W13" s="50">
        <f t="shared" ref="W13" si="2">V13+1</f>
        <v>8</v>
      </c>
      <c r="X13" s="50">
        <f>W13+1</f>
        <v>9</v>
      </c>
      <c r="Y13" s="50">
        <f>X13+1</f>
        <v>10</v>
      </c>
      <c r="Z13" s="50">
        <f>Y13+1</f>
        <v>11</v>
      </c>
      <c r="AA13" s="50">
        <f>Z13+1</f>
        <v>12</v>
      </c>
      <c r="AC13" s="50">
        <f>AB13+1</f>
        <v>1</v>
      </c>
      <c r="AD13" s="50">
        <f>AC13+1</f>
        <v>2</v>
      </c>
      <c r="AE13" s="50">
        <f>AD13+1</f>
        <v>3</v>
      </c>
    </row>
    <row r="14" spans="2:31" ht="16.5" thickBot="1" x14ac:dyDescent="0.25">
      <c r="B14" s="51" t="s">
        <v>74</v>
      </c>
      <c r="C14" s="52">
        <v>44287</v>
      </c>
      <c r="D14" s="52">
        <f>C14+31</f>
        <v>44318</v>
      </c>
      <c r="E14" s="52">
        <f>D14+31</f>
        <v>44349</v>
      </c>
      <c r="F14" s="52">
        <f>E14+31</f>
        <v>44380</v>
      </c>
      <c r="G14" s="52">
        <f>F14+31</f>
        <v>44411</v>
      </c>
      <c r="H14" s="52">
        <f>G14+30</f>
        <v>44441</v>
      </c>
      <c r="I14" s="52">
        <f>H14+31</f>
        <v>44472</v>
      </c>
      <c r="J14" s="52">
        <f t="shared" ref="J14" si="3">I14+30</f>
        <v>44502</v>
      </c>
      <c r="K14" s="52">
        <f t="shared" ref="K14" si="4">J14+31</f>
        <v>44533</v>
      </c>
      <c r="L14" s="52">
        <f t="shared" ref="L14" si="5">K14+30</f>
        <v>44563</v>
      </c>
      <c r="M14" s="52">
        <f t="shared" ref="M14" si="6">L14+31</f>
        <v>44594</v>
      </c>
      <c r="N14" s="52">
        <f t="shared" ref="N14" si="7">M14+30</f>
        <v>44624</v>
      </c>
      <c r="O14" s="52" t="s">
        <v>75</v>
      </c>
      <c r="P14" s="52">
        <f>N14+30</f>
        <v>44654</v>
      </c>
      <c r="Q14" s="52">
        <f t="shared" ref="Q14" si="8">P14+31</f>
        <v>44685</v>
      </c>
      <c r="R14" s="52">
        <f t="shared" ref="R14" si="9">Q14+30</f>
        <v>44715</v>
      </c>
      <c r="S14" s="52">
        <f t="shared" ref="S14" si="10">R14+31</f>
        <v>44746</v>
      </c>
      <c r="T14" s="52">
        <f t="shared" ref="T14" si="11">S14+30</f>
        <v>44776</v>
      </c>
      <c r="U14" s="52">
        <f t="shared" ref="U14" si="12">T14+31</f>
        <v>44807</v>
      </c>
      <c r="V14" s="52">
        <f t="shared" ref="V14" si="13">U14+30</f>
        <v>44837</v>
      </c>
      <c r="W14" s="52">
        <f t="shared" ref="W14" si="14">V14+31</f>
        <v>44868</v>
      </c>
      <c r="X14" s="52">
        <f t="shared" ref="X14" si="15">W14+30</f>
        <v>44898</v>
      </c>
      <c r="Y14" s="52">
        <f t="shared" ref="Y14" si="16">X14+31</f>
        <v>44929</v>
      </c>
      <c r="Z14" s="52">
        <f t="shared" ref="Z14" si="17">Y14+30</f>
        <v>44959</v>
      </c>
      <c r="AA14" s="52">
        <f t="shared" ref="AA14" si="18">Z14+31</f>
        <v>44990</v>
      </c>
      <c r="AB14" s="52" t="s">
        <v>76</v>
      </c>
      <c r="AC14" s="52">
        <f>AA14+31</f>
        <v>45021</v>
      </c>
      <c r="AD14" s="52">
        <f t="shared" ref="AD14" si="19">AC14+30</f>
        <v>45051</v>
      </c>
      <c r="AE14" s="52">
        <f t="shared" ref="AE14" si="20">AD14+31</f>
        <v>45082</v>
      </c>
    </row>
    <row r="15" spans="2:31" ht="32.25" thickBot="1" x14ac:dyDescent="0.25">
      <c r="B15" s="53" t="s">
        <v>77</v>
      </c>
      <c r="C15" s="54">
        <v>0</v>
      </c>
      <c r="D15" s="55">
        <f t="shared" ref="D15:G15" si="21">C34</f>
        <v>25917.454393718872</v>
      </c>
      <c r="E15" s="55">
        <f t="shared" si="21"/>
        <v>23578.060341028962</v>
      </c>
      <c r="F15" s="55">
        <f t="shared" si="21"/>
        <v>20126.471765632719</v>
      </c>
      <c r="G15" s="55">
        <f t="shared" si="21"/>
        <v>17697.470149951263</v>
      </c>
      <c r="H15" s="55">
        <f>G34</f>
        <v>13734.535751959516</v>
      </c>
      <c r="I15" s="55">
        <f t="shared" ref="I15" si="22">H34</f>
        <v>10735.621329665782</v>
      </c>
      <c r="J15" s="55">
        <f>I34</f>
        <v>7709.4296644456626</v>
      </c>
      <c r="K15" s="55">
        <f>J34</f>
        <v>5004.8924036266053</v>
      </c>
      <c r="L15" s="55">
        <f>K34</f>
        <v>2774.33252326715</v>
      </c>
      <c r="M15" s="55">
        <f>L34</f>
        <v>567.4419756713105</v>
      </c>
      <c r="N15" s="55">
        <f>M34</f>
        <v>-2381.8069327422509</v>
      </c>
      <c r="O15" s="55"/>
      <c r="P15" s="55">
        <f>+N34</f>
        <v>-5490.0116717777973</v>
      </c>
      <c r="Q15" s="55">
        <f t="shared" ref="Q15:AA15" si="23">P34</f>
        <v>-9578.9310093632357</v>
      </c>
      <c r="R15" s="55">
        <f t="shared" si="23"/>
        <v>-14061.111072536529</v>
      </c>
      <c r="S15" s="55">
        <f t="shared" si="23"/>
        <v>-18543.29113570982</v>
      </c>
      <c r="T15" s="55">
        <f t="shared" si="23"/>
        <v>-23685.142680364595</v>
      </c>
      <c r="U15" s="55">
        <f t="shared" si="23"/>
        <v>-28826.994225019371</v>
      </c>
      <c r="V15" s="55">
        <f t="shared" si="23"/>
        <v>-33309.174288192662</v>
      </c>
      <c r="W15" s="55">
        <f t="shared" si="23"/>
        <v>-37791.354351365953</v>
      </c>
      <c r="X15" s="55">
        <f t="shared" si="23"/>
        <v>-42273.534414539245</v>
      </c>
      <c r="Y15" s="55">
        <f t="shared" si="23"/>
        <v>-46241.214477712536</v>
      </c>
      <c r="Z15" s="55">
        <f t="shared" si="23"/>
        <v>-50242.278544044493</v>
      </c>
      <c r="AA15" s="55">
        <f t="shared" si="23"/>
        <v>-54953.567610376449</v>
      </c>
      <c r="AB15" s="55">
        <f>+AA15</f>
        <v>-54953.567610376449</v>
      </c>
      <c r="AC15" s="55">
        <f t="shared" ref="AC15:AE15" si="24">AB34</f>
        <v>-109128.41261530707</v>
      </c>
      <c r="AD15" s="55">
        <f t="shared" si="24"/>
        <v>-114499.3731631205</v>
      </c>
      <c r="AE15" s="55">
        <f t="shared" si="24"/>
        <v>-119229.55222945246</v>
      </c>
    </row>
    <row r="16" spans="2:31" ht="32.25" thickBot="1" x14ac:dyDescent="0.25">
      <c r="B16" s="53" t="s">
        <v>78</v>
      </c>
      <c r="C16" s="56">
        <f>+C17</f>
        <v>2229.5456062811286</v>
      </c>
      <c r="D16" s="56">
        <f t="shared" ref="D16:AE16" si="25">+D17</f>
        <v>2339.3940526899091</v>
      </c>
      <c r="E16" s="56">
        <f t="shared" si="25"/>
        <v>3451.588575396242</v>
      </c>
      <c r="F16" s="56">
        <f t="shared" si="25"/>
        <v>2429.0016156814568</v>
      </c>
      <c r="G16" s="56">
        <f t="shared" si="25"/>
        <v>3962.9343979917476</v>
      </c>
      <c r="H16" s="56">
        <f t="shared" si="25"/>
        <v>2998.9144222937334</v>
      </c>
      <c r="I16" s="56">
        <f t="shared" si="25"/>
        <v>3026.1916652201203</v>
      </c>
      <c r="J16" s="56">
        <f t="shared" si="25"/>
        <v>2704.5372608190573</v>
      </c>
      <c r="K16" s="56">
        <f t="shared" si="25"/>
        <v>2230.5598803594553</v>
      </c>
      <c r="L16" s="56">
        <f t="shared" si="25"/>
        <v>2206.8905475958395</v>
      </c>
      <c r="M16" s="56">
        <f t="shared" si="25"/>
        <v>2949.2489084135614</v>
      </c>
      <c r="N16" s="56">
        <f t="shared" si="25"/>
        <v>3108.2047390355465</v>
      </c>
      <c r="O16" s="56">
        <f>+O17</f>
        <v>33637.011671777786</v>
      </c>
      <c r="P16" s="56">
        <f>+P17</f>
        <v>4088.9193375854388</v>
      </c>
      <c r="Q16" s="56">
        <f t="shared" si="25"/>
        <v>4482.1800631732931</v>
      </c>
      <c r="R16" s="56">
        <f t="shared" si="25"/>
        <v>4482.1800631732931</v>
      </c>
      <c r="S16" s="56">
        <f t="shared" si="25"/>
        <v>5141.8515446547744</v>
      </c>
      <c r="T16" s="56">
        <f t="shared" si="25"/>
        <v>5141.8515446547744</v>
      </c>
      <c r="U16" s="56">
        <f t="shared" si="25"/>
        <v>4482.1800631732931</v>
      </c>
      <c r="V16" s="56">
        <f t="shared" si="25"/>
        <v>4482.1800631732931</v>
      </c>
      <c r="W16" s="56">
        <f t="shared" si="25"/>
        <v>4482.1800631732931</v>
      </c>
      <c r="X16" s="56">
        <f t="shared" si="25"/>
        <v>3967.6800631732931</v>
      </c>
      <c r="Y16" s="56">
        <f t="shared" si="25"/>
        <v>4001.0640663319577</v>
      </c>
      <c r="Z16" s="56">
        <f t="shared" si="25"/>
        <v>4711.2890663319567</v>
      </c>
      <c r="AA16" s="56">
        <f t="shared" si="25"/>
        <v>4711.2890663319567</v>
      </c>
      <c r="AB16" s="56">
        <f t="shared" ref="AB16" si="26">AB17</f>
        <v>54174.845004930619</v>
      </c>
      <c r="AC16" s="56">
        <f t="shared" si="25"/>
        <v>5370.9605478134381</v>
      </c>
      <c r="AD16" s="56">
        <f t="shared" si="25"/>
        <v>4730.1790663319571</v>
      </c>
      <c r="AE16" s="56">
        <f t="shared" si="25"/>
        <v>2087.0057329986244</v>
      </c>
    </row>
    <row r="17" spans="2:37" ht="32.25" thickBot="1" x14ac:dyDescent="0.25">
      <c r="B17" s="57" t="s">
        <v>79</v>
      </c>
      <c r="C17" s="58">
        <f t="shared" ref="C17:AE17" si="27">+SUM(C18:C31)</f>
        <v>2229.5456062811286</v>
      </c>
      <c r="D17" s="58">
        <f>+SUM(D18:D31)</f>
        <v>2339.3940526899091</v>
      </c>
      <c r="E17" s="58">
        <f t="shared" ref="E17:I17" si="28">+SUM(E18:E31)</f>
        <v>3451.588575396242</v>
      </c>
      <c r="F17" s="58">
        <f t="shared" si="28"/>
        <v>2429.0016156814568</v>
      </c>
      <c r="G17" s="58">
        <f t="shared" si="28"/>
        <v>3962.9343979917476</v>
      </c>
      <c r="H17" s="58">
        <f t="shared" si="28"/>
        <v>2998.9144222937334</v>
      </c>
      <c r="I17" s="58">
        <f t="shared" si="28"/>
        <v>3026.1916652201203</v>
      </c>
      <c r="J17" s="58">
        <f t="shared" si="27"/>
        <v>2704.5372608190573</v>
      </c>
      <c r="K17" s="58">
        <f t="shared" si="27"/>
        <v>2230.5598803594553</v>
      </c>
      <c r="L17" s="58">
        <f t="shared" si="27"/>
        <v>2206.8905475958395</v>
      </c>
      <c r="M17" s="58">
        <f t="shared" si="27"/>
        <v>2949.2489084135614</v>
      </c>
      <c r="N17" s="58">
        <f t="shared" si="27"/>
        <v>3108.2047390355465</v>
      </c>
      <c r="O17" s="58">
        <f>+SUM(O18:O31)</f>
        <v>33637.011671777786</v>
      </c>
      <c r="P17" s="58">
        <f>+SUM(P18:P31)</f>
        <v>4088.9193375854388</v>
      </c>
      <c r="Q17" s="58">
        <f t="shared" ref="Q17:X17" si="29">+SUM(Q18:Q31)</f>
        <v>4482.1800631732931</v>
      </c>
      <c r="R17" s="58">
        <f t="shared" si="29"/>
        <v>4482.1800631732931</v>
      </c>
      <c r="S17" s="58">
        <f t="shared" si="29"/>
        <v>5141.8515446547744</v>
      </c>
      <c r="T17" s="58">
        <f t="shared" si="29"/>
        <v>5141.8515446547744</v>
      </c>
      <c r="U17" s="58">
        <f t="shared" si="29"/>
        <v>4482.1800631732931</v>
      </c>
      <c r="V17" s="58">
        <f t="shared" si="29"/>
        <v>4482.1800631732931</v>
      </c>
      <c r="W17" s="58">
        <f t="shared" si="29"/>
        <v>4482.1800631732931</v>
      </c>
      <c r="X17" s="58">
        <f t="shared" si="29"/>
        <v>3967.6800631732931</v>
      </c>
      <c r="Y17" s="58">
        <f t="shared" si="27"/>
        <v>4001.0640663319577</v>
      </c>
      <c r="Z17" s="58">
        <f t="shared" si="27"/>
        <v>4711.2890663319567</v>
      </c>
      <c r="AA17" s="58">
        <f t="shared" si="27"/>
        <v>4711.2890663319567</v>
      </c>
      <c r="AB17" s="58">
        <f t="shared" si="27"/>
        <v>54174.845004930619</v>
      </c>
      <c r="AC17" s="58">
        <f t="shared" si="27"/>
        <v>5370.9605478134381</v>
      </c>
      <c r="AD17" s="58">
        <f t="shared" si="27"/>
        <v>4730.1790663319571</v>
      </c>
      <c r="AE17" s="58">
        <f t="shared" si="27"/>
        <v>2087.0057329986244</v>
      </c>
    </row>
    <row r="18" spans="2:37" ht="51.75" thickBot="1" x14ac:dyDescent="0.25">
      <c r="B18" s="59" t="s">
        <v>80</v>
      </c>
      <c r="C18" s="60">
        <v>675.12171021885138</v>
      </c>
      <c r="D18" s="60">
        <v>920.6206353233365</v>
      </c>
      <c r="E18" s="60">
        <v>920.6206353233365</v>
      </c>
      <c r="F18" s="60">
        <v>920.6206353233365</v>
      </c>
      <c r="G18" s="60">
        <v>920.6206353233365</v>
      </c>
      <c r="H18" s="60">
        <v>920.6206353233365</v>
      </c>
      <c r="I18" s="60">
        <v>920.6206353233365</v>
      </c>
      <c r="J18" s="60">
        <v>920.6206353233365</v>
      </c>
      <c r="K18" s="60">
        <v>920.6206353233365</v>
      </c>
      <c r="L18" s="60">
        <v>902.20827602782708</v>
      </c>
      <c r="M18" s="60">
        <v>966.65180061689648</v>
      </c>
      <c r="N18" s="60">
        <v>966.65180061689648</v>
      </c>
      <c r="O18" s="61">
        <f>+SUM(C18:N18)</f>
        <v>10875.598670067164</v>
      </c>
      <c r="P18" s="60">
        <f>+N18</f>
        <v>966.65180061689648</v>
      </c>
      <c r="Q18" s="60">
        <f t="shared" ref="Q18:AA29" si="30">+P18</f>
        <v>966.65180061689648</v>
      </c>
      <c r="R18" s="60">
        <f t="shared" si="30"/>
        <v>966.65180061689648</v>
      </c>
      <c r="S18" s="60">
        <f t="shared" si="30"/>
        <v>966.65180061689648</v>
      </c>
      <c r="T18" s="60">
        <f t="shared" si="30"/>
        <v>966.65180061689648</v>
      </c>
      <c r="U18" s="60">
        <f t="shared" si="30"/>
        <v>966.65180061689648</v>
      </c>
      <c r="V18" s="60">
        <f t="shared" si="30"/>
        <v>966.65180061689648</v>
      </c>
      <c r="W18" s="60">
        <f t="shared" si="30"/>
        <v>966.65180061689648</v>
      </c>
      <c r="X18" s="60">
        <f t="shared" si="30"/>
        <v>966.65180061689648</v>
      </c>
      <c r="Y18" s="60">
        <f>+X18*1.05</f>
        <v>1014.9843906477413</v>
      </c>
      <c r="Z18" s="60">
        <f t="shared" si="30"/>
        <v>1014.9843906477413</v>
      </c>
      <c r="AA18" s="60">
        <f t="shared" si="30"/>
        <v>1014.9843906477413</v>
      </c>
      <c r="AB18" s="60">
        <f>SUM(P18:AA18)</f>
        <v>11744.819377495292</v>
      </c>
      <c r="AC18" s="60">
        <f>+AA18</f>
        <v>1014.9843906477413</v>
      </c>
      <c r="AD18" s="60">
        <f t="shared" ref="AD18:AE19" si="31">+AC18</f>
        <v>1014.9843906477413</v>
      </c>
      <c r="AE18" s="60">
        <f t="shared" si="31"/>
        <v>1014.9843906477413</v>
      </c>
      <c r="AF18" s="62">
        <f>+AC18+AD18+AE18+AB18+O18</f>
        <v>25665.37121950568</v>
      </c>
    </row>
    <row r="19" spans="2:37" ht="15.75" thickBot="1" x14ac:dyDescent="0.25">
      <c r="B19" s="59" t="s">
        <v>81</v>
      </c>
      <c r="C19" s="60">
        <v>617.37752199863803</v>
      </c>
      <c r="D19" s="60">
        <v>841.87873042154592</v>
      </c>
      <c r="E19" s="60">
        <v>841.87873042154592</v>
      </c>
      <c r="F19" s="60">
        <v>841.87873042154592</v>
      </c>
      <c r="G19" s="60">
        <v>841.87873042154592</v>
      </c>
      <c r="H19" s="60">
        <v>841.87873042154592</v>
      </c>
      <c r="I19" s="60">
        <v>841.87873042154592</v>
      </c>
      <c r="J19" s="60">
        <v>841.87873042154592</v>
      </c>
      <c r="K19" s="60">
        <v>841.87873042154592</v>
      </c>
      <c r="L19" s="60">
        <v>825.04119320078507</v>
      </c>
      <c r="M19" s="60">
        <v>883.97270700084118</v>
      </c>
      <c r="N19" s="60">
        <v>883.97270700084118</v>
      </c>
      <c r="O19" s="61">
        <f t="shared" ref="O19:O29" si="32">+SUM(C19:N19)</f>
        <v>9945.3939725734708</v>
      </c>
      <c r="P19" s="60">
        <f t="shared" ref="P19" si="33">+N19</f>
        <v>883.97270700084118</v>
      </c>
      <c r="Q19" s="60">
        <f t="shared" si="30"/>
        <v>883.97270700084118</v>
      </c>
      <c r="R19" s="60">
        <f t="shared" si="30"/>
        <v>883.97270700084118</v>
      </c>
      <c r="S19" s="60">
        <f t="shared" si="30"/>
        <v>883.97270700084118</v>
      </c>
      <c r="T19" s="60">
        <f t="shared" si="30"/>
        <v>883.97270700084118</v>
      </c>
      <c r="U19" s="60">
        <f t="shared" si="30"/>
        <v>883.97270700084118</v>
      </c>
      <c r="V19" s="60">
        <f t="shared" si="30"/>
        <v>883.97270700084118</v>
      </c>
      <c r="W19" s="60">
        <f t="shared" si="30"/>
        <v>883.97270700084118</v>
      </c>
      <c r="X19" s="60">
        <f>+W19</f>
        <v>883.97270700084118</v>
      </c>
      <c r="Y19" s="60">
        <f>+X19*1.05</f>
        <v>928.17134235088326</v>
      </c>
      <c r="Z19" s="60">
        <f>+Y19</f>
        <v>928.17134235088326</v>
      </c>
      <c r="AA19" s="60">
        <f t="shared" si="30"/>
        <v>928.17134235088326</v>
      </c>
      <c r="AB19" s="60">
        <f t="shared" ref="AB19:AB30" si="34">SUM(P19:AA19)</f>
        <v>10740.268390060219</v>
      </c>
      <c r="AC19" s="60">
        <f t="shared" ref="AC19:AC29" si="35">+AA19</f>
        <v>928.17134235088326</v>
      </c>
      <c r="AD19" s="60">
        <f>+AC19</f>
        <v>928.17134235088326</v>
      </c>
      <c r="AE19" s="60">
        <f t="shared" si="31"/>
        <v>928.17134235088326</v>
      </c>
      <c r="AF19" s="62">
        <f t="shared" ref="AF19:AF31" si="36">+AC19+AD19+AE19+AB19+O19</f>
        <v>23470.176389686341</v>
      </c>
    </row>
    <row r="20" spans="2:37" ht="26.25" thickBot="1" x14ac:dyDescent="0.25">
      <c r="B20" s="59" t="s">
        <v>82</v>
      </c>
      <c r="C20" s="60">
        <v>251.47507711206953</v>
      </c>
      <c r="D20" s="60">
        <v>342.92051114286096</v>
      </c>
      <c r="E20" s="60">
        <v>342.92051114286096</v>
      </c>
      <c r="F20" s="60">
        <v>342.92051114286096</v>
      </c>
      <c r="G20" s="60">
        <v>342.92051114286096</v>
      </c>
      <c r="H20" s="60">
        <v>342.92051114286096</v>
      </c>
      <c r="I20" s="60">
        <v>342.92051114286096</v>
      </c>
      <c r="J20" s="60">
        <v>342.92051114286096</v>
      </c>
      <c r="K20" s="60">
        <v>171.46038909882361</v>
      </c>
      <c r="L20" s="60">
        <v>168.03113858808135</v>
      </c>
      <c r="M20" s="60">
        <v>360.06649664178605</v>
      </c>
      <c r="N20" s="60">
        <v>360.06649664178605</v>
      </c>
      <c r="O20" s="61">
        <f t="shared" si="32"/>
        <v>3711.5431760825741</v>
      </c>
      <c r="P20" s="60">
        <f>+N20</f>
        <v>360.06649664178605</v>
      </c>
      <c r="Q20" s="60">
        <v>560</v>
      </c>
      <c r="R20" s="60">
        <f t="shared" si="30"/>
        <v>560</v>
      </c>
      <c r="S20" s="60">
        <f t="shared" si="30"/>
        <v>560</v>
      </c>
      <c r="T20" s="60">
        <f t="shared" si="30"/>
        <v>560</v>
      </c>
      <c r="U20" s="60">
        <f t="shared" si="30"/>
        <v>560</v>
      </c>
      <c r="V20" s="60">
        <f t="shared" si="30"/>
        <v>560</v>
      </c>
      <c r="W20" s="60">
        <f t="shared" si="30"/>
        <v>560</v>
      </c>
      <c r="X20" s="60">
        <f>+W20/2</f>
        <v>280</v>
      </c>
      <c r="Y20" s="60">
        <f t="shared" ref="Y20:Y29" si="37">+X20*1.05</f>
        <v>294</v>
      </c>
      <c r="Z20" s="60">
        <f>+W20*1.05</f>
        <v>588</v>
      </c>
      <c r="AA20" s="60">
        <f>+Z20</f>
        <v>588</v>
      </c>
      <c r="AB20" s="60">
        <f t="shared" si="34"/>
        <v>6030.0664966417862</v>
      </c>
      <c r="AC20" s="60">
        <f t="shared" si="35"/>
        <v>588</v>
      </c>
      <c r="AD20" s="60">
        <f>+AC20</f>
        <v>588</v>
      </c>
      <c r="AE20" s="60"/>
      <c r="AF20" s="62">
        <f t="shared" si="36"/>
        <v>10917.60967272436</v>
      </c>
    </row>
    <row r="21" spans="2:37" ht="26.25" thickBot="1" x14ac:dyDescent="0.25">
      <c r="B21" s="59" t="s">
        <v>83</v>
      </c>
      <c r="C21" s="60">
        <v>171.58083080744015</v>
      </c>
      <c r="D21" s="60">
        <v>233.9741758021658</v>
      </c>
      <c r="E21" s="60">
        <v>233.9741758021658</v>
      </c>
      <c r="F21" s="60">
        <v>233.9741758021658</v>
      </c>
      <c r="G21" s="60">
        <v>0</v>
      </c>
      <c r="H21" s="60">
        <v>226.17510782336996</v>
      </c>
      <c r="I21" s="60">
        <v>233.9741758021658</v>
      </c>
      <c r="J21" s="60">
        <v>233.9741758021658</v>
      </c>
      <c r="K21" s="60">
        <v>116.9870879010829</v>
      </c>
      <c r="L21" s="60">
        <v>114.64742091840141</v>
      </c>
      <c r="M21" s="60">
        <v>245.67277777035957</v>
      </c>
      <c r="N21" s="60">
        <v>245.67277777035957</v>
      </c>
      <c r="O21" s="61">
        <f t="shared" si="32"/>
        <v>2290.6068820018422</v>
      </c>
      <c r="P21" s="60">
        <f>+N21</f>
        <v>245.67277777035957</v>
      </c>
      <c r="Q21" s="60">
        <v>469</v>
      </c>
      <c r="R21" s="60">
        <f t="shared" si="30"/>
        <v>469</v>
      </c>
      <c r="S21" s="60">
        <f t="shared" si="30"/>
        <v>469</v>
      </c>
      <c r="T21" s="60">
        <f t="shared" si="30"/>
        <v>469</v>
      </c>
      <c r="U21" s="60">
        <f t="shared" si="30"/>
        <v>469</v>
      </c>
      <c r="V21" s="60">
        <f>+U21</f>
        <v>469</v>
      </c>
      <c r="W21" s="60">
        <f>+V21</f>
        <v>469</v>
      </c>
      <c r="X21" s="60">
        <f>+W21/2</f>
        <v>234.5</v>
      </c>
      <c r="Y21" s="60">
        <f t="shared" si="37"/>
        <v>246.22500000000002</v>
      </c>
      <c r="Z21" s="60">
        <f>+W21*1.05</f>
        <v>492.45000000000005</v>
      </c>
      <c r="AA21" s="60">
        <f>+Z21</f>
        <v>492.45000000000005</v>
      </c>
      <c r="AB21" s="60">
        <f t="shared" si="34"/>
        <v>4994.2977777703591</v>
      </c>
      <c r="AC21" s="60">
        <f t="shared" si="35"/>
        <v>492.45000000000005</v>
      </c>
      <c r="AD21" s="60">
        <f>+AC21</f>
        <v>492.45000000000005</v>
      </c>
      <c r="AE21" s="60"/>
      <c r="AF21" s="62">
        <f t="shared" si="36"/>
        <v>8269.8046597722023</v>
      </c>
    </row>
    <row r="22" spans="2:37" ht="15.75" thickBot="1" x14ac:dyDescent="0.25">
      <c r="B22" s="63" t="s">
        <v>84</v>
      </c>
      <c r="C22" s="60">
        <v>0</v>
      </c>
      <c r="D22" s="60"/>
      <c r="E22" s="60"/>
      <c r="F22" s="60">
        <v>0</v>
      </c>
      <c r="G22" s="60">
        <v>1381.8084950127518</v>
      </c>
      <c r="H22" s="60">
        <v>0</v>
      </c>
      <c r="I22" s="60">
        <v>273.30386828857939</v>
      </c>
      <c r="J22" s="60">
        <v>0</v>
      </c>
      <c r="K22" s="60">
        <v>0</v>
      </c>
      <c r="L22" s="60"/>
      <c r="M22" s="60"/>
      <c r="N22" s="60"/>
      <c r="O22" s="61">
        <f>+SUM(C22:N22)</f>
        <v>1655.1123633013312</v>
      </c>
      <c r="P22" s="60"/>
      <c r="Q22" s="60"/>
      <c r="R22" s="60"/>
      <c r="S22" s="60"/>
      <c r="T22" s="60"/>
      <c r="U22" s="60"/>
      <c r="V22" s="60"/>
      <c r="W22" s="60"/>
      <c r="X22" s="60"/>
      <c r="Y22" s="60">
        <f t="shared" si="37"/>
        <v>0</v>
      </c>
      <c r="Z22" s="60"/>
      <c r="AA22" s="60"/>
      <c r="AB22" s="60">
        <f t="shared" si="34"/>
        <v>0</v>
      </c>
      <c r="AC22" s="60">
        <f t="shared" si="35"/>
        <v>0</v>
      </c>
      <c r="AD22" s="60"/>
      <c r="AE22" s="60"/>
      <c r="AF22" s="62">
        <f t="shared" si="36"/>
        <v>1655.1123633013312</v>
      </c>
    </row>
    <row r="23" spans="2:37" ht="15.75" thickBot="1" x14ac:dyDescent="0.25">
      <c r="B23" s="63" t="s">
        <v>85</v>
      </c>
      <c r="C23" s="60">
        <v>513.99046614412941</v>
      </c>
      <c r="D23" s="60"/>
      <c r="E23" s="60">
        <v>1112.1945227063331</v>
      </c>
      <c r="F23" s="60">
        <v>16.554726202080357</v>
      </c>
      <c r="G23" s="60">
        <v>16.554726202080357</v>
      </c>
      <c r="H23" s="60">
        <v>16.554726202080357</v>
      </c>
      <c r="I23" s="60">
        <v>6.2854014501074893</v>
      </c>
      <c r="J23" s="60">
        <v>6.2854014501074893</v>
      </c>
      <c r="K23" s="60">
        <v>6.2854014501074893</v>
      </c>
      <c r="L23" s="60">
        <v>6.2854014501074893</v>
      </c>
      <c r="M23" s="60">
        <v>6.2854014501074893</v>
      </c>
      <c r="N23" s="60">
        <v>6.2854014501074893</v>
      </c>
      <c r="O23" s="61">
        <f t="shared" si="32"/>
        <v>1713.5615761573479</v>
      </c>
      <c r="P23" s="60">
        <f>140+17</f>
        <v>157</v>
      </c>
      <c r="Q23" s="60">
        <v>17</v>
      </c>
      <c r="R23" s="60">
        <f t="shared" si="30"/>
        <v>17</v>
      </c>
      <c r="S23" s="60">
        <f t="shared" si="30"/>
        <v>17</v>
      </c>
      <c r="T23" s="60">
        <f t="shared" si="30"/>
        <v>17</v>
      </c>
      <c r="U23" s="60">
        <f t="shared" si="30"/>
        <v>17</v>
      </c>
      <c r="V23" s="60">
        <f t="shared" si="30"/>
        <v>17</v>
      </c>
      <c r="W23" s="60">
        <f t="shared" si="30"/>
        <v>17</v>
      </c>
      <c r="X23" s="60">
        <f t="shared" si="30"/>
        <v>17</v>
      </c>
      <c r="Y23" s="60">
        <f t="shared" si="37"/>
        <v>17.850000000000001</v>
      </c>
      <c r="Z23" s="60">
        <f t="shared" si="30"/>
        <v>17.850000000000001</v>
      </c>
      <c r="AA23" s="60">
        <f t="shared" si="30"/>
        <v>17.850000000000001</v>
      </c>
      <c r="AB23" s="60">
        <f t="shared" si="34"/>
        <v>346.55000000000007</v>
      </c>
      <c r="AC23" s="60">
        <f t="shared" si="35"/>
        <v>17.850000000000001</v>
      </c>
      <c r="AD23" s="60">
        <f t="shared" ref="AD23:AE29" si="38">+AC23</f>
        <v>17.850000000000001</v>
      </c>
      <c r="AE23" s="60">
        <f t="shared" si="38"/>
        <v>17.850000000000001</v>
      </c>
      <c r="AF23" s="62">
        <f t="shared" si="36"/>
        <v>2113.661576157348</v>
      </c>
    </row>
    <row r="24" spans="2:37" ht="15.75" thickBot="1" x14ac:dyDescent="0.25">
      <c r="B24" s="63" t="s">
        <v>86</v>
      </c>
      <c r="C24" s="60">
        <v>0</v>
      </c>
      <c r="D24" s="60"/>
      <c r="E24" s="60"/>
      <c r="F24" s="60">
        <v>0</v>
      </c>
      <c r="G24" s="60"/>
      <c r="H24" s="60">
        <v>112.60098009106568</v>
      </c>
      <c r="I24" s="60">
        <v>61.556128239708372</v>
      </c>
      <c r="J24" s="60">
        <v>47.927254276214754</v>
      </c>
      <c r="K24" s="60">
        <v>0</v>
      </c>
      <c r="L24" s="60">
        <v>0</v>
      </c>
      <c r="M24" s="60">
        <v>93.797919643214797</v>
      </c>
      <c r="N24" s="60">
        <v>100</v>
      </c>
      <c r="O24" s="61">
        <f t="shared" si="32"/>
        <v>415.88228225020362</v>
      </c>
      <c r="P24" s="60">
        <f>150</f>
        <v>150</v>
      </c>
      <c r="Q24" s="60">
        <f t="shared" ref="Q24:W29" si="39">+P24</f>
        <v>150</v>
      </c>
      <c r="R24" s="60">
        <f t="shared" si="30"/>
        <v>150</v>
      </c>
      <c r="S24" s="60">
        <f t="shared" si="30"/>
        <v>150</v>
      </c>
      <c r="T24" s="60">
        <f t="shared" si="30"/>
        <v>150</v>
      </c>
      <c r="U24" s="60">
        <f t="shared" si="30"/>
        <v>150</v>
      </c>
      <c r="V24" s="60">
        <f t="shared" si="30"/>
        <v>150</v>
      </c>
      <c r="W24" s="60">
        <f t="shared" si="30"/>
        <v>150</v>
      </c>
      <c r="X24" s="60">
        <f>+W24</f>
        <v>150</v>
      </c>
      <c r="Y24" s="60">
        <v>0</v>
      </c>
      <c r="Z24" s="60">
        <v>160</v>
      </c>
      <c r="AA24" s="60">
        <f t="shared" si="30"/>
        <v>160</v>
      </c>
      <c r="AB24" s="60">
        <f t="shared" si="34"/>
        <v>1670</v>
      </c>
      <c r="AC24" s="60">
        <f t="shared" si="35"/>
        <v>160</v>
      </c>
      <c r="AD24" s="60">
        <f t="shared" si="38"/>
        <v>160</v>
      </c>
      <c r="AE24" s="60"/>
      <c r="AF24" s="62">
        <f t="shared" si="36"/>
        <v>2405.8822822502034</v>
      </c>
    </row>
    <row r="25" spans="2:37" ht="15.75" thickBot="1" x14ac:dyDescent="0.25">
      <c r="B25" s="63" t="s">
        <v>87</v>
      </c>
      <c r="C25" s="60">
        <v>0</v>
      </c>
      <c r="D25" s="60"/>
      <c r="E25" s="60"/>
      <c r="F25" s="60">
        <v>0</v>
      </c>
      <c r="G25" s="60">
        <v>132.33419235956254</v>
      </c>
      <c r="H25" s="60">
        <v>60.535711901296551</v>
      </c>
      <c r="I25" s="60">
        <v>50.583915290221789</v>
      </c>
      <c r="J25" s="60">
        <v>53.895661694996718</v>
      </c>
      <c r="K25" s="60">
        <v>0</v>
      </c>
      <c r="L25" s="60"/>
      <c r="M25" s="60">
        <v>82.995286483021985</v>
      </c>
      <c r="N25" s="60">
        <v>100</v>
      </c>
      <c r="O25" s="61">
        <f t="shared" si="32"/>
        <v>480.34476772909954</v>
      </c>
      <c r="P25" s="60">
        <v>150</v>
      </c>
      <c r="Q25" s="60">
        <f t="shared" si="39"/>
        <v>150</v>
      </c>
      <c r="R25" s="60">
        <f t="shared" si="30"/>
        <v>150</v>
      </c>
      <c r="S25" s="60">
        <f t="shared" si="30"/>
        <v>150</v>
      </c>
      <c r="T25" s="60">
        <f t="shared" si="30"/>
        <v>150</v>
      </c>
      <c r="U25" s="60">
        <f t="shared" si="30"/>
        <v>150</v>
      </c>
      <c r="V25" s="60">
        <f t="shared" si="30"/>
        <v>150</v>
      </c>
      <c r="W25" s="60">
        <f t="shared" si="30"/>
        <v>150</v>
      </c>
      <c r="X25" s="60">
        <f t="shared" si="30"/>
        <v>150</v>
      </c>
      <c r="Y25" s="60">
        <v>150</v>
      </c>
      <c r="Z25" s="60">
        <v>160</v>
      </c>
      <c r="AA25" s="60">
        <f t="shared" si="30"/>
        <v>160</v>
      </c>
      <c r="AB25" s="60">
        <f t="shared" si="34"/>
        <v>1820</v>
      </c>
      <c r="AC25" s="60">
        <f t="shared" si="35"/>
        <v>160</v>
      </c>
      <c r="AD25" s="60">
        <f t="shared" si="38"/>
        <v>160</v>
      </c>
      <c r="AE25" s="60"/>
      <c r="AF25" s="62">
        <f t="shared" si="36"/>
        <v>2620.3447677290997</v>
      </c>
    </row>
    <row r="26" spans="2:37" ht="15.75" thickBot="1" x14ac:dyDescent="0.25">
      <c r="B26" s="63" t="s">
        <v>88</v>
      </c>
      <c r="C26" s="60">
        <v>0</v>
      </c>
      <c r="D26" s="60"/>
      <c r="E26" s="60"/>
      <c r="F26" s="60">
        <v>0</v>
      </c>
      <c r="G26" s="60">
        <v>257.294467960102</v>
      </c>
      <c r="H26" s="60">
        <v>233.11265706159617</v>
      </c>
      <c r="I26" s="60">
        <v>153.79631731449706</v>
      </c>
      <c r="J26" s="60">
        <v>135.41814103163264</v>
      </c>
      <c r="K26" s="60">
        <v>59.970891028294453</v>
      </c>
      <c r="L26" s="60">
        <f>+'Plan Financiero Total'!L27</f>
        <v>95.338558705318391</v>
      </c>
      <c r="M26" s="60">
        <v>157.66540705825798</v>
      </c>
      <c r="N26" s="60">
        <v>160</v>
      </c>
      <c r="O26" s="61">
        <f>+SUM(C26:N26)</f>
        <v>1252.5964401596987</v>
      </c>
      <c r="P26" s="60">
        <f>100+730</f>
        <v>830</v>
      </c>
      <c r="Q26" s="60">
        <f>+P26+110</f>
        <v>940</v>
      </c>
      <c r="R26" s="60">
        <f>+Q26</f>
        <v>940</v>
      </c>
      <c r="S26" s="60">
        <f t="shared" ref="S26:W26" si="40">+Q26</f>
        <v>940</v>
      </c>
      <c r="T26" s="60">
        <f t="shared" si="40"/>
        <v>940</v>
      </c>
      <c r="U26" s="60">
        <f t="shared" si="40"/>
        <v>940</v>
      </c>
      <c r="V26" s="60">
        <f t="shared" si="40"/>
        <v>940</v>
      </c>
      <c r="W26" s="60">
        <f t="shared" si="40"/>
        <v>940</v>
      </c>
      <c r="X26" s="60">
        <f t="shared" si="30"/>
        <v>940</v>
      </c>
      <c r="Y26" s="60">
        <f t="shared" si="37"/>
        <v>987</v>
      </c>
      <c r="Z26" s="60">
        <f t="shared" si="30"/>
        <v>987</v>
      </c>
      <c r="AA26" s="60">
        <f t="shared" si="30"/>
        <v>987</v>
      </c>
      <c r="AB26" s="60">
        <f t="shared" si="34"/>
        <v>11311</v>
      </c>
      <c r="AC26" s="60">
        <f t="shared" si="35"/>
        <v>987</v>
      </c>
      <c r="AD26" s="60">
        <f>+AC26+18.89</f>
        <v>1005.89</v>
      </c>
      <c r="AE26" s="60"/>
      <c r="AF26" s="62">
        <f>+AC26+AD26+AE26+AB26+O26</f>
        <v>14556.486440159699</v>
      </c>
    </row>
    <row r="27" spans="2:37" ht="15.75" thickBot="1" x14ac:dyDescent="0.25">
      <c r="B27" s="64" t="s">
        <v>89</v>
      </c>
      <c r="C27" s="60">
        <v>0</v>
      </c>
      <c r="D27" s="60"/>
      <c r="E27" s="60"/>
      <c r="F27" s="60">
        <v>0</v>
      </c>
      <c r="G27" s="60">
        <v>0</v>
      </c>
      <c r="H27" s="60">
        <v>160.23287177364435</v>
      </c>
      <c r="I27" s="60">
        <v>80.116435886822174</v>
      </c>
      <c r="J27" s="60">
        <v>80.116435886822174</v>
      </c>
      <c r="K27" s="60">
        <v>40.058217943411087</v>
      </c>
      <c r="L27" s="60">
        <v>95.338558705318391</v>
      </c>
      <c r="M27" s="60">
        <v>95.338558705318391</v>
      </c>
      <c r="N27" s="60">
        <v>120</v>
      </c>
      <c r="O27" s="61">
        <f t="shared" si="32"/>
        <v>671.20107890133659</v>
      </c>
      <c r="P27" s="60">
        <f>+N27</f>
        <v>120</v>
      </c>
      <c r="Q27" s="60">
        <f t="shared" si="39"/>
        <v>120</v>
      </c>
      <c r="R27" s="60">
        <f t="shared" ref="R27:T27" si="41">+P27</f>
        <v>120</v>
      </c>
      <c r="S27" s="60">
        <f t="shared" si="41"/>
        <v>120</v>
      </c>
      <c r="T27" s="60">
        <f t="shared" si="41"/>
        <v>120</v>
      </c>
      <c r="U27" s="60">
        <f>+T27</f>
        <v>120</v>
      </c>
      <c r="V27" s="60">
        <f t="shared" ref="V27:X29" si="42">+U27</f>
        <v>120</v>
      </c>
      <c r="W27" s="60">
        <f t="shared" si="42"/>
        <v>120</v>
      </c>
      <c r="X27" s="60">
        <f t="shared" si="42"/>
        <v>120</v>
      </c>
      <c r="Y27" s="60">
        <f t="shared" si="37"/>
        <v>126</v>
      </c>
      <c r="Z27" s="60">
        <f t="shared" si="30"/>
        <v>126</v>
      </c>
      <c r="AA27" s="60">
        <f t="shared" si="30"/>
        <v>126</v>
      </c>
      <c r="AB27" s="60">
        <f t="shared" si="34"/>
        <v>1458</v>
      </c>
      <c r="AC27" s="60">
        <f t="shared" si="35"/>
        <v>126</v>
      </c>
      <c r="AD27" s="60">
        <f t="shared" si="38"/>
        <v>126</v>
      </c>
      <c r="AE27" s="60"/>
      <c r="AF27" s="62">
        <f t="shared" si="36"/>
        <v>2381.2010789013366</v>
      </c>
    </row>
    <row r="28" spans="2:37" ht="15.75" thickBot="1" x14ac:dyDescent="0.25">
      <c r="B28" s="64" t="s">
        <v>90</v>
      </c>
      <c r="C28" s="60">
        <v>0</v>
      </c>
      <c r="D28" s="60"/>
      <c r="E28" s="60"/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/>
      <c r="M28" s="60"/>
      <c r="N28" s="60">
        <f>380000/3600</f>
        <v>105.55555555555556</v>
      </c>
      <c r="O28" s="61">
        <f t="shared" si="32"/>
        <v>105.55555555555556</v>
      </c>
      <c r="P28" s="60">
        <f>+N28</f>
        <v>105.55555555555556</v>
      </c>
      <c r="Q28" s="60">
        <f t="shared" si="39"/>
        <v>105.55555555555556</v>
      </c>
      <c r="R28" s="60">
        <f t="shared" si="39"/>
        <v>105.55555555555556</v>
      </c>
      <c r="S28" s="60">
        <f t="shared" si="39"/>
        <v>105.55555555555556</v>
      </c>
      <c r="T28" s="60">
        <f t="shared" si="39"/>
        <v>105.55555555555556</v>
      </c>
      <c r="U28" s="60">
        <f t="shared" si="39"/>
        <v>105.55555555555556</v>
      </c>
      <c r="V28" s="60">
        <f t="shared" si="39"/>
        <v>105.55555555555556</v>
      </c>
      <c r="W28" s="60">
        <f t="shared" si="39"/>
        <v>105.55555555555556</v>
      </c>
      <c r="X28" s="60">
        <f t="shared" si="42"/>
        <v>105.55555555555556</v>
      </c>
      <c r="Y28" s="60">
        <f t="shared" si="37"/>
        <v>110.83333333333334</v>
      </c>
      <c r="Z28" s="60">
        <f t="shared" si="30"/>
        <v>110.83333333333334</v>
      </c>
      <c r="AA28" s="60">
        <f t="shared" si="30"/>
        <v>110.83333333333334</v>
      </c>
      <c r="AB28" s="60">
        <f t="shared" si="34"/>
        <v>1282.4999999999998</v>
      </c>
      <c r="AC28" s="60">
        <f t="shared" si="35"/>
        <v>110.83333333333334</v>
      </c>
      <c r="AD28" s="60">
        <f t="shared" si="38"/>
        <v>110.83333333333334</v>
      </c>
      <c r="AE28" s="60"/>
      <c r="AF28" s="62">
        <f t="shared" si="36"/>
        <v>1609.7222222222222</v>
      </c>
    </row>
    <row r="29" spans="2:37" ht="15.75" thickBot="1" x14ac:dyDescent="0.25">
      <c r="B29" s="64" t="s">
        <v>91</v>
      </c>
      <c r="C29" s="60">
        <v>0</v>
      </c>
      <c r="D29" s="60"/>
      <c r="E29" s="60"/>
      <c r="F29" s="60">
        <v>73.052836789467364</v>
      </c>
      <c r="G29" s="60">
        <v>69.522639569507675</v>
      </c>
      <c r="H29" s="60">
        <v>84.282490552936906</v>
      </c>
      <c r="I29" s="60">
        <v>61.155546060274261</v>
      </c>
      <c r="J29" s="60">
        <v>41.500313789373884</v>
      </c>
      <c r="K29" s="60">
        <v>73.298527192853598</v>
      </c>
      <c r="L29" s="60"/>
      <c r="M29" s="60">
        <v>56.802553043756916</v>
      </c>
      <c r="N29" s="60">
        <v>60</v>
      </c>
      <c r="O29" s="61">
        <f t="shared" si="32"/>
        <v>519.61490699817068</v>
      </c>
      <c r="P29" s="60">
        <v>120</v>
      </c>
      <c r="Q29" s="60">
        <f t="shared" si="39"/>
        <v>120</v>
      </c>
      <c r="R29" s="60">
        <f t="shared" si="39"/>
        <v>120</v>
      </c>
      <c r="S29" s="60">
        <f t="shared" si="39"/>
        <v>120</v>
      </c>
      <c r="T29" s="60">
        <f t="shared" si="39"/>
        <v>120</v>
      </c>
      <c r="U29" s="60">
        <f t="shared" si="39"/>
        <v>120</v>
      </c>
      <c r="V29" s="60">
        <f t="shared" si="39"/>
        <v>120</v>
      </c>
      <c r="W29" s="60">
        <f t="shared" si="39"/>
        <v>120</v>
      </c>
      <c r="X29" s="60">
        <f t="shared" si="42"/>
        <v>120</v>
      </c>
      <c r="Y29" s="60">
        <f t="shared" si="37"/>
        <v>126</v>
      </c>
      <c r="Z29" s="60">
        <f t="shared" si="30"/>
        <v>126</v>
      </c>
      <c r="AA29" s="60">
        <f t="shared" si="30"/>
        <v>126</v>
      </c>
      <c r="AB29" s="60">
        <f t="shared" si="34"/>
        <v>1458</v>
      </c>
      <c r="AC29" s="60">
        <f t="shared" si="35"/>
        <v>126</v>
      </c>
      <c r="AD29" s="60">
        <f t="shared" si="38"/>
        <v>126</v>
      </c>
      <c r="AE29" s="60">
        <f>+AD29</f>
        <v>126</v>
      </c>
      <c r="AF29" s="62">
        <f t="shared" si="36"/>
        <v>2355.6149069981707</v>
      </c>
    </row>
    <row r="30" spans="2:37" ht="15.75" thickBot="1" x14ac:dyDescent="0.25">
      <c r="B30" s="64" t="s">
        <v>92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/>
      <c r="P30" s="60"/>
      <c r="Q30" s="60"/>
      <c r="R30" s="60"/>
      <c r="S30" s="60">
        <v>659.67148148148146</v>
      </c>
      <c r="T30" s="60">
        <f>+S30</f>
        <v>659.67148148148146</v>
      </c>
      <c r="U30" s="60"/>
      <c r="V30" s="60"/>
      <c r="W30" s="60"/>
      <c r="X30" s="60"/>
      <c r="Y30" s="60"/>
      <c r="Z30" s="60"/>
      <c r="AA30" s="60"/>
      <c r="AB30" s="60">
        <f t="shared" si="34"/>
        <v>1319.3429629629629</v>
      </c>
      <c r="AC30" s="60">
        <v>659.67148148148146</v>
      </c>
      <c r="AD30" s="60"/>
      <c r="AE30" s="60"/>
      <c r="AF30" s="62">
        <f t="shared" si="36"/>
        <v>1979.0144444444445</v>
      </c>
      <c r="AI30" s="62"/>
      <c r="AJ30" s="62"/>
    </row>
    <row r="31" spans="2:37" ht="15.75" thickBot="1" x14ac:dyDescent="0.25">
      <c r="B31" s="64" t="s">
        <v>93</v>
      </c>
      <c r="C31" s="60">
        <v>0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2">
        <f t="shared" si="36"/>
        <v>0</v>
      </c>
    </row>
    <row r="32" spans="2:37" ht="16.5" thickBot="1" x14ac:dyDescent="0.25">
      <c r="B32" s="57" t="s">
        <v>94</v>
      </c>
      <c r="C32" s="65">
        <f>+'[13]5.- Plan Financiero Anual'!C32</f>
        <v>28147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1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0"/>
      <c r="AC32" s="65"/>
      <c r="AD32" s="65"/>
      <c r="AE32" s="65"/>
      <c r="AF32" s="62">
        <f>SUM(AF18:AF31)</f>
        <v>100000.00202385243</v>
      </c>
      <c r="AG32" s="62"/>
      <c r="AJ32" s="66"/>
      <c r="AK32" s="66"/>
    </row>
    <row r="33" spans="2:31" ht="15.75" thickBot="1" x14ac:dyDescent="0.25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2:31" ht="16.5" customHeight="1" thickTop="1" thickBot="1" x14ac:dyDescent="0.25">
      <c r="B34" s="69" t="s">
        <v>95</v>
      </c>
      <c r="C34" s="70">
        <f>+C15-C16+C32</f>
        <v>25917.454393718872</v>
      </c>
      <c r="D34" s="70">
        <f t="shared" ref="D34:AE34" si="43">D15-D16+D32</f>
        <v>23578.060341028962</v>
      </c>
      <c r="E34" s="70">
        <f t="shared" si="43"/>
        <v>20126.471765632719</v>
      </c>
      <c r="F34" s="70">
        <f t="shared" si="43"/>
        <v>17697.470149951263</v>
      </c>
      <c r="G34" s="70">
        <f t="shared" si="43"/>
        <v>13734.535751959516</v>
      </c>
      <c r="H34" s="70">
        <f t="shared" si="43"/>
        <v>10735.621329665782</v>
      </c>
      <c r="I34" s="70">
        <f t="shared" si="43"/>
        <v>7709.4296644456626</v>
      </c>
      <c r="J34" s="70">
        <f t="shared" si="43"/>
        <v>5004.8924036266053</v>
      </c>
      <c r="K34" s="70">
        <f t="shared" si="43"/>
        <v>2774.33252326715</v>
      </c>
      <c r="L34" s="70">
        <f t="shared" si="43"/>
        <v>567.4419756713105</v>
      </c>
      <c r="M34" s="70">
        <f t="shared" si="43"/>
        <v>-2381.8069327422509</v>
      </c>
      <c r="N34" s="70">
        <f t="shared" si="43"/>
        <v>-5490.0116717777973</v>
      </c>
      <c r="O34" s="70">
        <f t="shared" si="43"/>
        <v>-33637.011671777786</v>
      </c>
      <c r="P34" s="70">
        <f t="shared" si="43"/>
        <v>-9578.9310093632357</v>
      </c>
      <c r="Q34" s="70">
        <f t="shared" si="43"/>
        <v>-14061.111072536529</v>
      </c>
      <c r="R34" s="70">
        <f t="shared" si="43"/>
        <v>-18543.29113570982</v>
      </c>
      <c r="S34" s="70">
        <f t="shared" si="43"/>
        <v>-23685.142680364595</v>
      </c>
      <c r="T34" s="70">
        <f t="shared" si="43"/>
        <v>-28826.994225019371</v>
      </c>
      <c r="U34" s="70">
        <f t="shared" si="43"/>
        <v>-33309.174288192662</v>
      </c>
      <c r="V34" s="70">
        <f t="shared" si="43"/>
        <v>-37791.354351365953</v>
      </c>
      <c r="W34" s="70">
        <f t="shared" si="43"/>
        <v>-42273.534414539245</v>
      </c>
      <c r="X34" s="70">
        <f t="shared" si="43"/>
        <v>-46241.214477712536</v>
      </c>
      <c r="Y34" s="70">
        <f t="shared" si="43"/>
        <v>-50242.278544044493</v>
      </c>
      <c r="Z34" s="70">
        <f t="shared" si="43"/>
        <v>-54953.567610376449</v>
      </c>
      <c r="AA34" s="70">
        <f t="shared" si="43"/>
        <v>-59664.856676708405</v>
      </c>
      <c r="AB34" s="70">
        <f t="shared" si="43"/>
        <v>-109128.41261530707</v>
      </c>
      <c r="AC34" s="70">
        <f t="shared" si="43"/>
        <v>-114499.3731631205</v>
      </c>
      <c r="AD34" s="70">
        <f t="shared" si="43"/>
        <v>-119229.55222945246</v>
      </c>
      <c r="AE34" s="70">
        <f t="shared" si="43"/>
        <v>-121316.55796245109</v>
      </c>
    </row>
    <row r="35" spans="2:31" ht="15.75" thickTop="1" x14ac:dyDescent="0.2">
      <c r="B35" s="71"/>
      <c r="M35" s="72"/>
      <c r="N35" s="72"/>
      <c r="AA35" s="73"/>
      <c r="AE35" s="73"/>
    </row>
    <row r="36" spans="2:31" x14ac:dyDescent="0.2">
      <c r="B36" s="74" t="s">
        <v>96</v>
      </c>
      <c r="M36" s="75"/>
      <c r="N36" s="75"/>
      <c r="AA36" s="76"/>
      <c r="AE36" s="76"/>
    </row>
    <row r="37" spans="2:31" ht="13.5" thickBot="1" x14ac:dyDescent="0.25">
      <c r="M37" s="72"/>
      <c r="N37" s="72"/>
    </row>
    <row r="38" spans="2:31" ht="15.75" thickBot="1" x14ac:dyDescent="0.25">
      <c r="B38" s="77" t="s">
        <v>97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</row>
    <row r="39" spans="2:31" ht="15.75" thickBot="1" x14ac:dyDescent="0.25">
      <c r="B39" s="80" t="s">
        <v>98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</row>
    <row r="40" spans="2:31" ht="15.75" thickTop="1" x14ac:dyDescent="0.2"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4"/>
      <c r="N40" s="84"/>
    </row>
    <row r="41" spans="2:31" ht="15.75" thickBot="1" x14ac:dyDescent="0.25">
      <c r="B41" s="74" t="s">
        <v>99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4"/>
      <c r="N41" s="84"/>
    </row>
    <row r="42" spans="2:31" ht="15.75" thickBot="1" x14ac:dyDescent="0.25">
      <c r="B42" s="80" t="s">
        <v>100</v>
      </c>
      <c r="C42" s="81">
        <f t="shared" ref="C42:AE42" si="44">C32+C38+C39</f>
        <v>28147</v>
      </c>
      <c r="D42" s="81">
        <f t="shared" si="44"/>
        <v>0</v>
      </c>
      <c r="E42" s="81">
        <f t="shared" si="44"/>
        <v>0</v>
      </c>
      <c r="F42" s="81">
        <f t="shared" si="44"/>
        <v>0</v>
      </c>
      <c r="G42" s="81">
        <f t="shared" si="44"/>
        <v>0</v>
      </c>
      <c r="H42" s="81">
        <f t="shared" si="44"/>
        <v>0</v>
      </c>
      <c r="I42" s="81">
        <f t="shared" si="44"/>
        <v>0</v>
      </c>
      <c r="J42" s="81">
        <f>J32+J38+J39</f>
        <v>0</v>
      </c>
      <c r="K42" s="81">
        <f t="shared" si="44"/>
        <v>0</v>
      </c>
      <c r="L42" s="81">
        <f t="shared" si="44"/>
        <v>0</v>
      </c>
      <c r="M42" s="82">
        <f t="shared" si="44"/>
        <v>0</v>
      </c>
      <c r="N42" s="82">
        <f t="shared" si="44"/>
        <v>0</v>
      </c>
      <c r="O42" s="82">
        <f t="shared" si="44"/>
        <v>0</v>
      </c>
      <c r="P42" s="82">
        <f t="shared" si="44"/>
        <v>0</v>
      </c>
      <c r="Q42" s="82">
        <f t="shared" si="44"/>
        <v>0</v>
      </c>
      <c r="R42" s="82">
        <f t="shared" si="44"/>
        <v>0</v>
      </c>
      <c r="S42" s="82">
        <f t="shared" si="44"/>
        <v>0</v>
      </c>
      <c r="T42" s="82">
        <f t="shared" si="44"/>
        <v>0</v>
      </c>
      <c r="U42" s="82">
        <f t="shared" si="44"/>
        <v>0</v>
      </c>
      <c r="V42" s="82">
        <f t="shared" si="44"/>
        <v>0</v>
      </c>
      <c r="W42" s="82">
        <f t="shared" si="44"/>
        <v>0</v>
      </c>
      <c r="X42" s="82">
        <f t="shared" si="44"/>
        <v>0</v>
      </c>
      <c r="Y42" s="82">
        <f t="shared" si="44"/>
        <v>0</v>
      </c>
      <c r="Z42" s="82">
        <f t="shared" si="44"/>
        <v>0</v>
      </c>
      <c r="AA42" s="82">
        <f t="shared" si="44"/>
        <v>0</v>
      </c>
      <c r="AB42" s="82">
        <f t="shared" si="44"/>
        <v>0</v>
      </c>
      <c r="AC42" s="82">
        <f t="shared" si="44"/>
        <v>0</v>
      </c>
      <c r="AD42" s="82">
        <f t="shared" si="44"/>
        <v>0</v>
      </c>
      <c r="AE42" s="82">
        <f t="shared" si="44"/>
        <v>0</v>
      </c>
    </row>
    <row r="43" spans="2:31" ht="13.5" thickTop="1" x14ac:dyDescent="0.2">
      <c r="M43" s="72"/>
      <c r="N43" s="72"/>
    </row>
    <row r="44" spans="2:31" x14ac:dyDescent="0.2">
      <c r="M44" s="72"/>
      <c r="N44" s="72"/>
    </row>
    <row r="45" spans="2:31" x14ac:dyDescent="0.2">
      <c r="M45" s="72"/>
      <c r="N45" s="72"/>
    </row>
    <row r="46" spans="2:31" x14ac:dyDescent="0.2">
      <c r="M46" s="72"/>
      <c r="N46" s="72"/>
    </row>
    <row r="47" spans="2:31" x14ac:dyDescent="0.2">
      <c r="K47" s="245"/>
      <c r="L47" s="245"/>
      <c r="M47" s="72"/>
      <c r="N47" s="72"/>
    </row>
    <row r="48" spans="2:31" x14ac:dyDescent="0.2">
      <c r="K48" s="246" t="s">
        <v>101</v>
      </c>
      <c r="L48" s="246"/>
      <c r="M48" s="72"/>
      <c r="N48" s="72"/>
      <c r="O48" s="245" t="s">
        <v>102</v>
      </c>
      <c r="P48" s="245"/>
    </row>
    <row r="49" spans="7:16" x14ac:dyDescent="0.2">
      <c r="I49" s="74"/>
      <c r="M49" s="72"/>
      <c r="N49" s="72"/>
      <c r="O49" s="244" t="s">
        <v>103</v>
      </c>
      <c r="P49" s="244"/>
    </row>
    <row r="50" spans="7:16" x14ac:dyDescent="0.2">
      <c r="I50" s="74"/>
      <c r="O50" s="244"/>
      <c r="P50" s="244"/>
    </row>
    <row r="51" spans="7:16" x14ac:dyDescent="0.2">
      <c r="G51" s="244"/>
      <c r="H51" s="244"/>
    </row>
  </sheetData>
  <mergeCells count="9">
    <mergeCell ref="O49:P49"/>
    <mergeCell ref="O50:P50"/>
    <mergeCell ref="G51:H51"/>
    <mergeCell ref="B5:N5"/>
    <mergeCell ref="B6:N6"/>
    <mergeCell ref="C12:N12"/>
    <mergeCell ref="K47:L47"/>
    <mergeCell ref="K48:L48"/>
    <mergeCell ref="O48:P4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FDEC7-7E81-409C-A1B9-B00EEE946F00}"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2DBA37D52985974A961878AA8AB9154B" ma:contentTypeVersion="12812" ma:contentTypeDescription="A content type to manage public (operations) IDB documents" ma:contentTypeScope="" ma:versionID="780b784935ddc9c01a39b3591b29818e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1ec29e75c4c9f6edafcc0f5c3568e37c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  <xsd:element ref="ns2:Extracted_x0020_Keywor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nillable="true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  <xsd:element name="Extracted_x0020_Keywords" ma:index="55" nillable="true" ma:displayName="Extracted Keywords" ma:hidden="true" ma:internalName="Extracted_x0020_Keywords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ez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>I-CAN/CCO-1027/2023-A</SISCOR_x0020_Number>
    <b26cdb1da78c4bb4b1c1bac2f6ac5911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Plan</TermName>
          <TermId xmlns="http://schemas.microsoft.com/office/infopath/2007/PartnerControls">37ebb4f7-eb23-48d3-8efe-6bfd14035730</TermId>
        </TermInfo>
      </Terms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</TermName>
          <TermId xmlns="http://schemas.microsoft.com/office/infopath/2007/PartnerControls">c7d386d6-75f3-4fc0-bde8-e021ccd68f5c</TermId>
        </TermInfo>
      </Terms>
    </ic46d7e087fd4a108fb86518ca413cc6>
    <IDBDocs_x0020_Number xmlns="cdc7663a-08f0-4737-9e8c-148ce897a09c" xsi:nil="true"/>
    <Division_x0020_or_x0020_Unit xmlns="cdc7663a-08f0-4737-9e8c-148ce897a09c">CAN/CCO</Division_x0020_or_x0020_Unit>
    <Fiscal_x0020_Year_x0020_IDB xmlns="cdc7663a-08f0-4737-9e8c-148ce897a09c">2023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Other_x0020_Author xmlns="cdc7663a-08f0-4737-9e8c-148ce897a09c">Maria Bustos Rios</Other_x0020_Author>
    <Migration_x0020_Info xmlns="cdc7663a-08f0-4737-9e8c-148ce897a09c" xsi:nil="true"/>
    <Approval_x0020_Number xmlns="cdc7663a-08f0-4737-9e8c-148ce897a09c">ATN/JO-17989-CO</Approval_x0020_Number>
    <Phase xmlns="cdc7663a-08f0-4737-9e8c-148ce897a09c" xsi:nil="true"/>
    <Document_x0020_Author xmlns="cdc7663a-08f0-4737-9e8c-148ce897a09c">Stagno IzaguirreDaniel Alejandro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</TermName>
          <TermId xmlns="http://schemas.microsoft.com/office/infopath/2007/PartnerControls">b00cef88-4299-4df6-9efe-56a7c46d7424</TermId>
        </TermInfo>
      </Terms>
    </b2ec7cfb18674cb8803df6b262e8b107>
    <Business_x0020_Area xmlns="cdc7663a-08f0-4737-9e8c-148ce897a09c" xsi:nil="true"/>
    <Key_x0020_Document xmlns="cdc7663a-08f0-4737-9e8c-148ce897a09c">false</Key_x0020_Document>
    <Document_x0020_Language_x0020_IDB xmlns="cdc7663a-08f0-4737-9e8c-148ce897a09c">Spanish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JPO</TermName>
          <TermId xmlns="http://schemas.microsoft.com/office/infopath/2007/PartnerControls">1bace4bd-22c5-4f36-9a52-ff555e2e7029</TermId>
        </TermInfo>
      </Terms>
    </g511464f9e53401d84b16fa9b379a574>
    <Related_x0020_SisCor_x0020_Number xmlns="cdc7663a-08f0-4737-9e8c-148ce897a09c" xsi:nil="true"/>
    <TaxCatchAll xmlns="cdc7663a-08f0-4737-9e8c-148ce897a09c">
      <Value>366</Value>
      <Value>32</Value>
      <Value>9</Value>
      <Value>382</Value>
      <Value>124</Value>
      <Value>85</Value>
    </TaxCatchAll>
    <Operation_x0020_Type xmlns="cdc7663a-08f0-4737-9e8c-148ce897a09c">TCP</Operation_x0020_Type>
    <Package_x0020_Code xmlns="cdc7663a-08f0-4737-9e8c-148ce897a09c" xsi:nil="true"/>
    <Identifier xmlns="cdc7663a-08f0-4737-9e8c-148ce897a09c">PA</Identifier>
    <Project_x0020_Number xmlns="cdc7663a-08f0-4737-9e8c-148ce897a09c">CO-T1551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</TermName>
          <TermId xmlns="http://schemas.microsoft.com/office/infopath/2007/PartnerControls">4bf49567-b6b7-4f15-bd8c-30222dd969d6</TermId>
        </TermInfo>
      </Terms>
    </nddeef1749674d76abdbe4b239a70bc6>
    <Record_x0020_Number xmlns="cdc7663a-08f0-4737-9e8c-148ce897a09c" xsi:nil="true"/>
    <Extracted_x0020_Keywords xmlns="cdc7663a-08f0-4737-9e8c-148ce897a09c" xsi:nil="true"/>
    <_dlc_DocId xmlns="cdc7663a-08f0-4737-9e8c-148ce897a09c">EZIDB0000181-340060728-98</_dlc_DocId>
    <_dlc_DocIdUrl xmlns="cdc7663a-08f0-4737-9e8c-148ce897a09c">
      <Url>https://idbg.sharepoint.com/teams/EZ-CO-TCP/CO-T1551/_layouts/15/DocIdRedir.aspx?ID=EZIDB0000181-340060728-98</Url>
      <Description>EZIDB0000181-340060728-98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>Opportunities for the Majority;</Webtopic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AA90376D-5D2A-4A51-B27E-5A45CCAA527F}"/>
</file>

<file path=customXml/itemProps2.xml><?xml version="1.0" encoding="utf-8"?>
<ds:datastoreItem xmlns:ds="http://schemas.openxmlformats.org/officeDocument/2006/customXml" ds:itemID="{BED4D71F-CDDD-407C-92D7-A6AE930A4692}"/>
</file>

<file path=customXml/itemProps3.xml><?xml version="1.0" encoding="utf-8"?>
<ds:datastoreItem xmlns:ds="http://schemas.openxmlformats.org/officeDocument/2006/customXml" ds:itemID="{DE6738C0-CC8D-4751-A38E-D5E3292BD7BA}"/>
</file>

<file path=customXml/itemProps4.xml><?xml version="1.0" encoding="utf-8"?>
<ds:datastoreItem xmlns:ds="http://schemas.openxmlformats.org/officeDocument/2006/customXml" ds:itemID="{47D3A8E5-A148-4E85-B6AE-0A4BA2EA5869}"/>
</file>

<file path=customXml/itemProps5.xml><?xml version="1.0" encoding="utf-8"?>
<ds:datastoreItem xmlns:ds="http://schemas.openxmlformats.org/officeDocument/2006/customXml" ds:itemID="{FE619F9B-1D1F-4782-BFA7-FD9F09013133}"/>
</file>

<file path=customXml/itemProps6.xml><?xml version="1.0" encoding="utf-8"?>
<ds:datastoreItem xmlns:ds="http://schemas.openxmlformats.org/officeDocument/2006/customXml" ds:itemID="{0A1BDEC4-5ABC-4730-8D17-4E40DD1AC7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PA Mayo 2023</vt:lpstr>
      <vt:lpstr>Plan Financiero Total Ajustado</vt:lpstr>
      <vt:lpstr>Leidy</vt:lpstr>
      <vt:lpstr>Plan Financiero Total</vt:lpstr>
      <vt:lpstr>Hoja1</vt:lpstr>
      <vt:lpstr>Leidy!Área_de_impresión</vt:lpstr>
      <vt:lpstr>'PA Mayo 2023'!Área_de_impresión</vt:lpstr>
      <vt:lpstr>Leidy!Títulos_a_imprimir</vt:lpstr>
      <vt:lpstr>'PA Mayo 2023'!Títulos_a_imprimir</vt:lpstr>
    </vt:vector>
  </TitlesOfParts>
  <Manager/>
  <Company>Inter-American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meroca</dc:creator>
  <cp:keywords/>
  <dc:description/>
  <cp:lastModifiedBy>Gerley Hernandez</cp:lastModifiedBy>
  <cp:revision/>
  <dcterms:created xsi:type="dcterms:W3CDTF">2007-02-02T19:50:30Z</dcterms:created>
  <dcterms:modified xsi:type="dcterms:W3CDTF">2023-06-07T14:31:22Z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0x0101001A458A224826124E8B45B1D613300CFC002DBA37D52985974A961878AA8AB9154B</vt:lpwstr>
  </property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5" name="TaxKeywordTaxHTField">
    <vt:lpwstr/>
  </property>
  <property fmtid="{D5CDD505-2E9C-101B-9397-08002B2CF9AE}" pid="6" name="Country">
    <vt:lpwstr>32;#CO|c7d386d6-75f3-4fc0-bde8-e021ccd68f5c</vt:lpwstr>
  </property>
  <property fmtid="{D5CDD505-2E9C-101B-9397-08002B2CF9AE}" pid="7" name="Fund_x0020_IDB">
    <vt:lpwstr/>
  </property>
  <property fmtid="{D5CDD505-2E9C-101B-9397-08002B2CF9AE}" pid="8" name="Series_x0020_Operations_x0020_IDB">
    <vt:lpwstr/>
  </property>
  <property fmtid="{D5CDD505-2E9C-101B-9397-08002B2CF9AE}" pid="9" name="Function Operations IDB">
    <vt:lpwstr>9;#Goods and Services|5bfebf1b-9f1f-4411-b1dd-4c19b807b799</vt:lpwstr>
  </property>
  <property fmtid="{D5CDD505-2E9C-101B-9397-08002B2CF9AE}" pid="10" name="Sector_x0020_IDB">
    <vt:lpwstr/>
  </property>
  <property fmtid="{D5CDD505-2E9C-101B-9397-08002B2CF9AE}" pid="11" name="Sub-Sector">
    <vt:lpwstr>366;#OT|b00cef88-4299-4df6-9efe-56a7c46d7424</vt:lpwstr>
  </property>
  <property fmtid="{D5CDD505-2E9C-101B-9397-08002B2CF9AE}" pid="12" name="Series Operations IDB">
    <vt:lpwstr>124;#Procurement Plan|37ebb4f7-eb23-48d3-8efe-6bfd14035730</vt:lpwstr>
  </property>
  <property fmtid="{D5CDD505-2E9C-101B-9397-08002B2CF9AE}" pid="13" name="Fund IDB">
    <vt:lpwstr>85;#JPO|1bace4bd-22c5-4f36-9a52-ff555e2e7029</vt:lpwstr>
  </property>
  <property fmtid="{D5CDD505-2E9C-101B-9397-08002B2CF9AE}" pid="14" name="Sector IDB">
    <vt:lpwstr>382;#OT|4bf49567-b6b7-4f15-bd8c-30222dd969d6</vt:lpwstr>
  </property>
  <property fmtid="{D5CDD505-2E9C-101B-9397-08002B2CF9AE}" pid="15" name="_dlc_DocIdItemGuid">
    <vt:lpwstr>4e63ad35-9c8a-4b06-a81d-6cce0e8ee394</vt:lpwstr>
  </property>
</Properties>
</file>