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tabRatio="656" activeTab="1"/>
  </bookViews>
  <sheets>
    <sheet name="Instruções" sheetId="1" r:id="rId1"/>
    <sheet name="PA - Por Categoria - ATUALIZADO" sheetId="2" r:id="rId2"/>
    <sheet name="PA - Por Componente" sheetId="3" state="hidden" r:id="rId3"/>
  </sheets>
  <definedNames>
    <definedName name="_xlfn._FV" hidden="1">#NAME?</definedName>
    <definedName name="_xlfn.SINGLE" hidden="1">#NAME?</definedName>
    <definedName name="capacitacao" localSheetId="1">'PA - Por Categoria - ATUALIZADO'!#REF!</definedName>
    <definedName name="capacitacao" localSheetId="2">'PA - Por Componente'!#REF!</definedName>
    <definedName name="capacitacao">#REF!</definedName>
    <definedName name="_xlnm.Print_Area" localSheetId="1">'PA - Por Categoria - ATUALIZADO'!$A$1:$V$270</definedName>
    <definedName name="_xlnm.Print_Area" localSheetId="2">'PA - Por Componente'!$A$1:$AC$329</definedName>
  </definedNames>
  <calcPr fullCalcOnLoad="1"/>
</workbook>
</file>

<file path=xl/sharedStrings.xml><?xml version="1.0" encoding="utf-8"?>
<sst xmlns="http://schemas.openxmlformats.org/spreadsheetml/2006/main" count="2352" uniqueCount="688">
  <si>
    <t>OBRAS</t>
  </si>
  <si>
    <t>Previsto</t>
  </si>
  <si>
    <t>Ex-Post</t>
  </si>
  <si>
    <t>Ex-Ante</t>
  </si>
  <si>
    <t>Sistema Nacional</t>
  </si>
  <si>
    <t>Licitação Pública Internacional por Lotes </t>
  </si>
  <si>
    <t>Processo Cancelado</t>
  </si>
  <si>
    <t>Assinatura do Contrato</t>
  </si>
  <si>
    <t>BENS</t>
  </si>
  <si>
    <t>SERVIÇOS QUE NÃO SÃO DE CONSULTORIA</t>
  </si>
  <si>
    <t>CONSULTORIAS FIRMAS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</si>
  <si>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</si>
  <si>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</si>
  <si>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</si>
  <si>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</si>
  <si>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</si>
  <si>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</si>
  <si>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</si>
  <si>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</si>
  <si>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>Selecionar no menu suspenso</t>
  </si>
  <si>
    <t>Categoria</t>
  </si>
  <si>
    <t>Objeto</t>
  </si>
  <si>
    <t>Datas Estimadas</t>
  </si>
  <si>
    <t>Objeto*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</si>
  <si>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</si>
  <si>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</si>
  <si>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</si>
  <si>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</si>
  <si>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</si>
  <si>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</si>
  <si>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</si>
  <si>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</si>
  <si>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</si>
  <si>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</si>
  <si>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</si>
  <si>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</si>
  <si>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</si>
  <si>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</si>
  <si>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</si>
  <si>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</si>
  <si>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</si>
  <si>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</si>
  <si>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</si>
  <si>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</si>
  <si>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</si>
  <si>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</si>
  <si>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</si>
  <si>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</si>
  <si>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</si>
  <si>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Categoria de Investimento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</si>
  <si>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</si>
  <si>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</si>
  <si>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</si>
  <si>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</si>
  <si>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</si>
  <si>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</si>
  <si>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</si>
  <si>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</si>
  <si>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</si>
  <si>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</si>
  <si>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</si>
  <si>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</si>
  <si>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</si>
  <si>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</si>
  <si>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</si>
  <si>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</si>
  <si>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</si>
  <si>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</si>
  <si>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</si>
  <si>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</si>
  <si>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</si>
  <si>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</si>
  <si>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</si>
  <si>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</si>
  <si>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</si>
  <si>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</si>
  <si>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</si>
  <si>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</si>
  <si>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</si>
  <si>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Montante Estimado em US$ X 1000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</si>
  <si>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</si>
  <si>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</si>
  <si>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</si>
  <si>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</si>
  <si>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</si>
  <si>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</si>
  <si>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</si>
  <si>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</si>
  <si>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4.1</t>
  </si>
  <si>
    <t>4.2</t>
  </si>
  <si>
    <t>4.3</t>
  </si>
  <si>
    <t>4.4</t>
  </si>
  <si>
    <t>4.5</t>
  </si>
  <si>
    <r>
      <t xml:space="preserve">Método 
</t>
    </r>
    <r>
      <rPr>
        <i/>
        <sz val="12"/>
        <color indexed="9"/>
        <rFont val="Calibri"/>
        <family val="2"/>
      </rPr>
      <t>(Selecionar uma das Opções)</t>
    </r>
    <r>
      <rPr>
        <sz val="12"/>
        <color indexed="9"/>
        <rFont val="Calibri"/>
        <family val="2"/>
      </rPr>
      <t>*</t>
    </r>
  </si>
  <si>
    <t>TOTAL</t>
  </si>
  <si>
    <t>Notas:</t>
  </si>
  <si>
    <t>(1)</t>
  </si>
  <si>
    <t>(2)</t>
  </si>
  <si>
    <t>(3)</t>
  </si>
  <si>
    <t>(4)</t>
  </si>
  <si>
    <r>
      <rPr>
        <b/>
        <sz val="12"/>
        <color indexed="8"/>
        <rFont val="Calibri"/>
        <family val="2"/>
      </rPr>
      <t>Adjudicações:</t>
    </r>
    <r>
      <rPr>
        <sz val="12"/>
        <color indexed="8"/>
        <rFont val="Calibri"/>
        <family val="2"/>
      </rPr>
      <t xml:space="preserve"> Indicar em cinza as adjudicações realizadas.</t>
    </r>
  </si>
  <si>
    <r>
      <rPr>
        <b/>
        <sz val="12"/>
        <color indexed="8"/>
        <rFont val="Calibri"/>
        <family val="2"/>
      </rPr>
      <t>Alterações:</t>
    </r>
    <r>
      <rPr>
        <sz val="12"/>
        <color indexed="8"/>
        <rFont val="Calibri"/>
        <family val="2"/>
      </rPr>
      <t xml:space="preserve"> Indicar em vermelho as alterações feitas nas aquisições já constantes do PA.</t>
    </r>
  </si>
  <si>
    <r>
      <rPr>
        <b/>
        <sz val="12"/>
        <color indexed="8"/>
        <rFont val="Calibri"/>
        <family val="2"/>
      </rPr>
      <t>Inclusões:</t>
    </r>
    <r>
      <rPr>
        <sz val="12"/>
        <color indexed="8"/>
        <rFont val="Calibri"/>
        <family val="2"/>
      </rPr>
      <t xml:space="preserve"> Indicar em azul as aquisições agora incluídas no PA.</t>
    </r>
  </si>
  <si>
    <r>
      <rPr>
        <b/>
        <sz val="12"/>
        <color indexed="8"/>
        <rFont val="Calibri"/>
        <family val="2"/>
      </rPr>
      <t>Cancelamentos:</t>
    </r>
    <r>
      <rPr>
        <sz val="12"/>
        <color indexed="8"/>
        <rFont val="Calibri"/>
        <family val="2"/>
      </rPr>
      <t xml:space="preserve"> Indicar em verde os cancelamentos das aquisições constantes do PA.</t>
    </r>
  </si>
  <si>
    <t>2.1</t>
  </si>
  <si>
    <t>2.2</t>
  </si>
  <si>
    <t>2.4</t>
  </si>
  <si>
    <t>Valores           (em R$)</t>
  </si>
  <si>
    <t>Unidade Executora
Produto</t>
  </si>
  <si>
    <t>Atividade</t>
  </si>
  <si>
    <t>Método de Aquisição
(Selecionar uma das opções):</t>
  </si>
  <si>
    <t xml:space="preserve">Montante Estimado </t>
  </si>
  <si>
    <t>Categoria de Investimento:</t>
  </si>
  <si>
    <t>Método de Revisão (Selecionar uma das opções):</t>
  </si>
  <si>
    <t>Datas</t>
  </si>
  <si>
    <t>Numero PRISM</t>
  </si>
  <si>
    <t>Número de Processo:</t>
  </si>
  <si>
    <t>Montante Estimado em US$:</t>
  </si>
  <si>
    <t>Montante Estimado % BID:</t>
  </si>
  <si>
    <t>Montante Estimado % Contrapartida:</t>
  </si>
  <si>
    <t xml:space="preserve"> Publicação  Manifestação de Interesse</t>
  </si>
  <si>
    <t>5. CAPACITAÇÃO</t>
  </si>
  <si>
    <t>CONSULTORIAS INDIVIDUAIS</t>
  </si>
  <si>
    <t xml:space="preserve">Montante Estimado em US$ </t>
  </si>
  <si>
    <t>Não Objeção aos  TDR da Atividade</t>
  </si>
  <si>
    <t>Assinatura Contrato</t>
  </si>
  <si>
    <t>TOTAL GERAL</t>
  </si>
  <si>
    <t>LPN</t>
  </si>
  <si>
    <t>$1.020.333</t>
  </si>
  <si>
    <t>$10.656.250</t>
  </si>
  <si>
    <t>$400.000</t>
  </si>
  <si>
    <t>$6.930.000</t>
  </si>
  <si>
    <t>Ex-post</t>
  </si>
  <si>
    <t>BID</t>
  </si>
  <si>
    <t>Local</t>
  </si>
  <si>
    <t>1 Desembolso/18</t>
  </si>
  <si>
    <t>2  Desembolso/19</t>
  </si>
  <si>
    <t>4.585.000</t>
  </si>
  <si>
    <t>UGP</t>
  </si>
  <si>
    <t>Construção das Novas Instalações para a SESA</t>
  </si>
  <si>
    <t xml:space="preserve">Programa de Expansão e Melhoria da Assistência Especializada a Saúde - PROEXMAES II </t>
  </si>
  <si>
    <t>BR-L1408</t>
  </si>
  <si>
    <t>PLANO DE AQUISIÇÕES DO PROGRAMA</t>
  </si>
  <si>
    <t>1.1</t>
  </si>
  <si>
    <t>1.2</t>
  </si>
  <si>
    <t>1.4</t>
  </si>
  <si>
    <t>1.3</t>
  </si>
  <si>
    <t>LPI</t>
  </si>
  <si>
    <t>Ex-ante</t>
  </si>
  <si>
    <t>SN</t>
  </si>
  <si>
    <t>Convênio</t>
  </si>
  <si>
    <t>SESA</t>
  </si>
  <si>
    <t>2.3</t>
  </si>
  <si>
    <t>Aquisição de Equipamentos para as novas instalações da SESA</t>
  </si>
  <si>
    <t>Aquisição de equipamentos para o Centro de Logística</t>
  </si>
  <si>
    <t>2.5</t>
  </si>
  <si>
    <t>2.6</t>
  </si>
  <si>
    <t>2.7</t>
  </si>
  <si>
    <t>Informatização e melhoria dos Processos da rede: Aquisição dos equipamentos de TI</t>
  </si>
  <si>
    <t>Equipamentos para o Hospital Regional do Vale do Jaguaribe</t>
  </si>
  <si>
    <t>PE/ARP</t>
  </si>
  <si>
    <t>2.8</t>
  </si>
  <si>
    <t>Aquisição de Ambulancias para municipios</t>
  </si>
  <si>
    <t>Melhoria dos Processos implantados</t>
  </si>
  <si>
    <t>3.1</t>
  </si>
  <si>
    <t>Celebração de Convenios e/ou contratação de Instituções Capacitadoras</t>
  </si>
  <si>
    <t>Convênio/ PE/ ARP</t>
  </si>
  <si>
    <t>3.2</t>
  </si>
  <si>
    <t>3.3</t>
  </si>
  <si>
    <t>Planejamento Reprodutivo Especial</t>
  </si>
  <si>
    <t>Elaboração de Projetos Executivos do Programa</t>
  </si>
  <si>
    <t>4.8</t>
  </si>
  <si>
    <t>4.9</t>
  </si>
  <si>
    <t>4.10</t>
  </si>
  <si>
    <t>Obra e Projeto do Hospital Regional do Vale do Jaguaribe</t>
  </si>
  <si>
    <t>SBQC</t>
  </si>
  <si>
    <t>Monitoramento do Programa</t>
  </si>
  <si>
    <t>3 CV</t>
  </si>
  <si>
    <t>Auditoria do Programa</t>
  </si>
  <si>
    <t xml:space="preserve">Logistica para as Capacitações </t>
  </si>
  <si>
    <t>1.1.1</t>
  </si>
  <si>
    <t>1.1.2</t>
  </si>
  <si>
    <t>CD</t>
  </si>
  <si>
    <t>1.2.1</t>
  </si>
  <si>
    <t>1.3.1</t>
  </si>
  <si>
    <t>Protocolos Clínicos e linhas de cuidados das doenças crônicas não transmissíveis desenvolvidos</t>
  </si>
  <si>
    <t>1.4.1</t>
  </si>
  <si>
    <t>Protocolos Clínicos e linhas de cuidados das doenças crônicas não transmissíveis implementados</t>
  </si>
  <si>
    <t>Novas Instalações para a SESA Construídas e Equipadas</t>
  </si>
  <si>
    <t>Obra</t>
  </si>
  <si>
    <t>Aquisição de Equipamentos</t>
  </si>
  <si>
    <t>2.1.1</t>
  </si>
  <si>
    <t>2.3.1</t>
  </si>
  <si>
    <t>2.2.1</t>
  </si>
  <si>
    <t>2.4.1</t>
  </si>
  <si>
    <t>Hospital Regional do Vale do Jaguaribe Construído</t>
  </si>
  <si>
    <t>3.1.1</t>
  </si>
  <si>
    <t>3.2.1</t>
  </si>
  <si>
    <t>3.3.1</t>
  </si>
  <si>
    <t>3.4</t>
  </si>
  <si>
    <t>3.4.1</t>
  </si>
  <si>
    <t>3.5</t>
  </si>
  <si>
    <t>Avaliações do Programa</t>
  </si>
  <si>
    <t>Obra do Hospital Instituto Dr. José Frota - IJF 2</t>
  </si>
  <si>
    <t>Adequação Física para as Coordenadoria Regional de Saúde (CRES)</t>
  </si>
  <si>
    <t>Centro de Logística</t>
  </si>
  <si>
    <t>Expansão do Centro Pediátrico do Cancer</t>
  </si>
  <si>
    <t>SQC</t>
  </si>
  <si>
    <t>Categoria de Investimento
Componente</t>
  </si>
  <si>
    <t>5.1</t>
  </si>
  <si>
    <t>Preparação das unidades Ambulatoriais</t>
  </si>
  <si>
    <t>Preparação das unidades Ambulatoriais - Bloco 1</t>
  </si>
  <si>
    <t>Preparação das unidades Ambulatoriais - Bloco 2</t>
  </si>
  <si>
    <t>Preparação das unidades Ambulatoriais - Bloco 3</t>
  </si>
  <si>
    <t>Preparação das unidades Hospitalares</t>
  </si>
  <si>
    <t>Certificação de unidade SAMU</t>
  </si>
  <si>
    <t>Preparação da Unidade SAMU</t>
  </si>
  <si>
    <t>Adequação Física para Hemocentros</t>
  </si>
  <si>
    <t>4.7</t>
  </si>
  <si>
    <t>Adequação Física em unidades nas macrorregiões de saúde</t>
  </si>
  <si>
    <t>Aquisição de Equipamentos Médicos para Unidades nas Macroregiões de Saúde</t>
  </si>
  <si>
    <t>Projeto de Reforma do Sistema de Saúde</t>
  </si>
  <si>
    <t>Contratar solução de monitoramento de indicadores</t>
  </si>
  <si>
    <t>Sistemas de regulação do acesso e auditorias</t>
  </si>
  <si>
    <t>1.2.2</t>
  </si>
  <si>
    <t>Protocolos Clínicos e linhas de cuidados prioritárias desenvolvidos</t>
  </si>
  <si>
    <t>Protocolos Clínicos e linhas de cuidados prioritárias implementados</t>
  </si>
  <si>
    <t>Policlínicas Construídas</t>
  </si>
  <si>
    <t>Equipamentos Médicos e Modernização para Hospitais da rede SESA</t>
  </si>
  <si>
    <t>Ampliação de leitos - Postos no Hospital de Messejana (Postos III e IV)</t>
  </si>
  <si>
    <t>Apoiar a implantação de Unidades de Pronto Atendimento (UPA) nos Municípios elegíveis no Estado do Ceará</t>
  </si>
  <si>
    <t>Aquisição de Equipamentos para o Hospital de Itapipoca</t>
  </si>
  <si>
    <t>Programa Nascer no Ceará- Cuidado à Gestação de Alto Risco afim de garantir assistência Qualificada</t>
  </si>
  <si>
    <t>Avaliação Intermediaria</t>
  </si>
  <si>
    <t>Avaliação Final</t>
  </si>
  <si>
    <t>AJUDA MEMÓRIA DO EXECUTOR</t>
  </si>
  <si>
    <t>BRB3808</t>
  </si>
  <si>
    <t>BRB3811</t>
  </si>
  <si>
    <t>BR11978</t>
  </si>
  <si>
    <t>Melhoria da gestão do SUS do Estado com implementação de plano de regionalização e reestruturação.</t>
  </si>
  <si>
    <t>Aquisição de Equipamentos para Capacitação/Qualificação de profissionais da Saúde.</t>
  </si>
  <si>
    <t>1.1.3</t>
  </si>
  <si>
    <t xml:space="preserve">Equipamentos Médicos e Modernização para Hospitais da rede SESA </t>
  </si>
  <si>
    <t>Descrição Adicional (ref. PEP/POA)</t>
  </si>
  <si>
    <t>6.1</t>
  </si>
  <si>
    <t>6.2</t>
  </si>
  <si>
    <t>Descrição adicional (ref. PEP/POA)</t>
  </si>
  <si>
    <t xml:space="preserve"> </t>
  </si>
  <si>
    <t>Montante Estimado em US$</t>
  </si>
  <si>
    <t>1.1.4</t>
  </si>
  <si>
    <t>Organização de processos, certificação e acreditação</t>
  </si>
  <si>
    <t>Acreditação de unidades  de saúde (Policlínicas, CEOs e Hospitais) e SAMU</t>
  </si>
  <si>
    <t>1.2.3</t>
  </si>
  <si>
    <t>1.2.4</t>
  </si>
  <si>
    <t>Novas Instalações para a Governança do Sistema Estadual de Saúde (SESA)</t>
  </si>
  <si>
    <t>Adequação Física para as Macrorregionais</t>
  </si>
  <si>
    <t>Geração de Conhecimento e Inovação em saúde</t>
  </si>
  <si>
    <t>1.4.2</t>
  </si>
  <si>
    <t>Requalificação e modernização das Unidades de saúde da rede SESA</t>
  </si>
  <si>
    <t>1.4.3</t>
  </si>
  <si>
    <t>Implementação de Protocolos Clínicos</t>
  </si>
  <si>
    <t>Hospital Estadual Universitário</t>
  </si>
  <si>
    <t>Construção de Hospital Universitário</t>
  </si>
  <si>
    <t>Aquisição de Equipamentos  e Instalações para o Hospital Universitário</t>
  </si>
  <si>
    <t>Melhoria dos processos implantados</t>
  </si>
  <si>
    <t>Desenvolvimento e Implantação de Protocolos Clínicos</t>
  </si>
  <si>
    <t>4585000</t>
  </si>
  <si>
    <t>9170000</t>
  </si>
  <si>
    <t>1687500</t>
  </si>
  <si>
    <t>$1020333</t>
  </si>
  <si>
    <t>1020333</t>
  </si>
  <si>
    <t>$10656250</t>
  </si>
  <si>
    <t>10656250</t>
  </si>
  <si>
    <t>Levantamento e inventário da rede SESA</t>
  </si>
  <si>
    <t>1.2.5</t>
  </si>
  <si>
    <t>Reestruturação dos processos judicias da SESA/CE</t>
  </si>
  <si>
    <t>Análise e reestruturação de procedimentos e processos de controle interno da SESA/CE</t>
  </si>
  <si>
    <t>Nova estrutura organizacional da SESA</t>
  </si>
  <si>
    <t>Treinamento de servidores e due diligence para orientação do modelo de gestão de integridade</t>
  </si>
  <si>
    <t>Redesenho do Sistema de Saúde</t>
  </si>
  <si>
    <t>Melhoria da Eficiência Operacional</t>
  </si>
  <si>
    <t>1.1.4.2</t>
  </si>
  <si>
    <t>1.1.4.3</t>
  </si>
  <si>
    <t>1.1.4.4</t>
  </si>
  <si>
    <t>Implantação da Central de Regulação, Laudos e Inteligência</t>
  </si>
  <si>
    <t>1.3.1.1</t>
  </si>
  <si>
    <t>Implantação da Central de Regulação</t>
  </si>
  <si>
    <t xml:space="preserve">Implantação do Centro de Laudos </t>
  </si>
  <si>
    <t>Implantação do Centro de Inteligência</t>
  </si>
  <si>
    <t>Implantação das Agências Regionais de Saúde</t>
  </si>
  <si>
    <t>Identificação de imóveis já existentes para abrigar as agências regionais</t>
  </si>
  <si>
    <t>Execução das obras para Implantação das Agências Regionais</t>
  </si>
  <si>
    <t>Adequação Física e expansão da rede de Hemocentros e Laboratórios de análise clínica</t>
  </si>
  <si>
    <t>Adequação Física para LACENs</t>
  </si>
  <si>
    <t xml:space="preserve">Ferramenta de Auditoria de Processos -  BLOCKCHAIN </t>
  </si>
  <si>
    <t>Soluções de Software voltadas ao acesso a serviços de saúde públicas no Ceará</t>
  </si>
  <si>
    <t>Aquisição de Material Cirúrgico para Abertura do Eixo Vermelho para Politrauma no HRSC</t>
  </si>
  <si>
    <t>1.1.4.1</t>
  </si>
  <si>
    <t>2.9</t>
  </si>
  <si>
    <t>PE/ARP/CONVÊNIO</t>
  </si>
  <si>
    <t>2.10</t>
  </si>
  <si>
    <t>Planejamento do Redesenho do sistema de saúde</t>
  </si>
  <si>
    <t>Informatização e melhoria dos Processos da rede: Aquisição de Software para melhoria de processo</t>
  </si>
  <si>
    <t>Certificação das unidades Ambulatoriais</t>
  </si>
  <si>
    <t>1.3.1.2</t>
  </si>
  <si>
    <t>BR12039</t>
  </si>
  <si>
    <t>BR12045</t>
  </si>
  <si>
    <t>CP</t>
  </si>
  <si>
    <t>Aquisição de cortinas para a sala da UGP</t>
  </si>
  <si>
    <t>Avaliação de Impacto do Programa</t>
  </si>
  <si>
    <t>2.11</t>
  </si>
  <si>
    <t>1.4.1.1</t>
  </si>
  <si>
    <t>Aquisição de 327 estabilizadores 1KVa</t>
  </si>
  <si>
    <t>1.4.1.2</t>
  </si>
  <si>
    <t>Aquisição 19 notebooks</t>
  </si>
  <si>
    <t>1.4.1.3</t>
  </si>
  <si>
    <t>Aquisição de firewall para unidades e SESA</t>
  </si>
  <si>
    <t>1.4.1.4</t>
  </si>
  <si>
    <t>1.4.1.5</t>
  </si>
  <si>
    <t>1.4.1.6</t>
  </si>
  <si>
    <t xml:space="preserve">Aquisição de 50 switchs </t>
  </si>
  <si>
    <t>1.4.1.7</t>
  </si>
  <si>
    <t>Aquisição de 1.727 microcomputadores</t>
  </si>
  <si>
    <t>Aquisição de firewall para Hospitais</t>
  </si>
  <si>
    <t>1.4.2.1</t>
  </si>
  <si>
    <t>1.4.2.2</t>
  </si>
  <si>
    <t>Aquisição de licença do Microsoft Project 2019</t>
  </si>
  <si>
    <t>Aquisição licença ORACLE</t>
  </si>
  <si>
    <t>Aquisição licença SQL SERVER</t>
  </si>
  <si>
    <t xml:space="preserve"> BENS</t>
  </si>
  <si>
    <t>Aquisição de Equipamentos de infraestrutura para a Policlínica de Maracanaú</t>
  </si>
  <si>
    <t>Aquisição de Instrumentais para a Policlínica de Maracanaú</t>
  </si>
  <si>
    <t>Aquisição de Mobiliário para a Policlínica de Maracanaú</t>
  </si>
  <si>
    <t>Aquisição de Equipamentos de TI para a Policlínica de Maracanaú</t>
  </si>
  <si>
    <t>Aquisição de Instrumentais para a Policlínica de Canindé</t>
  </si>
  <si>
    <t>Aquisição de Mobiliário para a Policlínica de Canindé</t>
  </si>
  <si>
    <t>Aquisição de Equipamentos de TI para a Policlínica de Canindé</t>
  </si>
  <si>
    <t>Aquisição de equipamentos Hospitalares para a Policlínica do Crato</t>
  </si>
  <si>
    <t>Aquisição de Equipamentos de infraestrutura para a Policlínica do Crato</t>
  </si>
  <si>
    <t>Aquisição de Instrumentais para a Policlínica do Crato</t>
  </si>
  <si>
    <t>Aquisição de Equipamentos de TI para a Policlínica do Crato</t>
  </si>
  <si>
    <t>Aquisição de Mobiliário para a Policlínica do Crato</t>
  </si>
  <si>
    <t>Aquisição de Instrumentais para a Policlínica de Fortaleza (HZAN)</t>
  </si>
  <si>
    <t>Aquisição de Mobiliário para a Policlínica de Fortaleza (HZAN)</t>
  </si>
  <si>
    <t>Aquisição de Equipamentos de TI para a Policlínica de Fortaleza (HZAN)</t>
  </si>
  <si>
    <t>Aquisição de Equipamentos Hospitalares para a Policlínica de Fortaleza (HZAN)</t>
  </si>
  <si>
    <t>Aquisição de Equipamentos Hospitalares para a Policlínica de Maracanaú</t>
  </si>
  <si>
    <t>Aquisição de Equipamentos Hospitalares para a Policlínica de Canindé</t>
  </si>
  <si>
    <t xml:space="preserve">Aquisição de licenças </t>
  </si>
  <si>
    <t xml:space="preserve">Aquisição de Software de Regulação </t>
  </si>
  <si>
    <t>Aquisição  de subscrição de software da linha red hat</t>
  </si>
  <si>
    <t xml:space="preserve">Informatização e melhoria dos Processos da rede: Aquisição de Software </t>
  </si>
  <si>
    <t>Aquisição de Container DATACENTER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</si>
  <si>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</si>
  <si>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</si>
  <si>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</si>
  <si>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</si>
  <si>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</si>
  <si>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</si>
  <si>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</si>
  <si>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</si>
  <si>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</si>
  <si>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</si>
  <si>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</si>
  <si>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</si>
  <si>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</si>
  <si>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</si>
  <si>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</si>
  <si>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</si>
  <si>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</si>
  <si>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</si>
  <si>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</si>
  <si>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</si>
  <si>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</si>
  <si>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</si>
  <si>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</si>
  <si>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</si>
  <si>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</si>
  <si>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</si>
  <si>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Cooperação Técnica</t>
  </si>
  <si>
    <t>Aquisições de insumos para enfrentamento da Pandemia COVID-19</t>
  </si>
  <si>
    <t>Aquisição de equipamentos para a Rede SESA - COVID-19</t>
  </si>
  <si>
    <t>2.39</t>
  </si>
  <si>
    <t>2.40</t>
  </si>
  <si>
    <t>2.41</t>
  </si>
  <si>
    <t>Aquisição de insumos para a Rede SESA - COVID-19 (EPI´s e  Kits de Teste rápido anticorpo para detecção de COVID-19)</t>
  </si>
  <si>
    <t>2.42</t>
  </si>
  <si>
    <t>2.43</t>
  </si>
  <si>
    <t>2.44</t>
  </si>
  <si>
    <t>2.45</t>
  </si>
  <si>
    <t>2.46</t>
  </si>
  <si>
    <t>2.47</t>
  </si>
  <si>
    <t>2.48</t>
  </si>
  <si>
    <t>2.49</t>
  </si>
  <si>
    <t>Aquisição de Ventilador Pulmonar Mecânico para Pacientes Pediátricos e Adultos</t>
  </si>
  <si>
    <t>Aquisições para enfrentamento da Pandemia COVID-19</t>
  </si>
  <si>
    <t>Consultor Individual para Gestão do Núcleo Técnico de Engenharia Clínica</t>
  </si>
  <si>
    <t>Serviços de Instalação com reposição de peças de 01 sistema de arquivo deslizante</t>
  </si>
  <si>
    <t>Marco Legal da Economia da Saúde e Atração de Empresas</t>
  </si>
  <si>
    <t>Taxa de câmbio de referência (US$ = R$ 5,00)</t>
  </si>
  <si>
    <t xml:space="preserve">Adequações  Físicas em unidades da Rede SESA - Hemodinâmicas </t>
  </si>
  <si>
    <t>Adequações  Físicas em unidades da Rede SESA - Hospital Regional do Cariri</t>
  </si>
  <si>
    <t>Adequações  Físicas em unidades da Rede SESA - Hospital Regional Norte</t>
  </si>
  <si>
    <t>BR12110</t>
  </si>
  <si>
    <t>Processo em curso</t>
  </si>
  <si>
    <t>BRB 4007</t>
  </si>
  <si>
    <t>BRB 4008</t>
  </si>
  <si>
    <t>BR11957</t>
  </si>
  <si>
    <t>Aquisição de Cortinas Leito para o HRVJ</t>
  </si>
  <si>
    <t>2.50</t>
  </si>
  <si>
    <t>2.51</t>
  </si>
  <si>
    <t>2.52</t>
  </si>
  <si>
    <t>Aquisição de microcomputadores para equipe de desenvolvimento</t>
  </si>
  <si>
    <t>SN/CP</t>
  </si>
  <si>
    <t>Aquisição de 02 nobreaks 20 KVA</t>
  </si>
  <si>
    <t xml:space="preserve">Aquisição de Nobreaks para as Unidades da Rede SESA  </t>
  </si>
  <si>
    <t>2.12</t>
  </si>
  <si>
    <t xml:space="preserve">Contrato em execução </t>
  </si>
  <si>
    <t>1.2.5.1</t>
  </si>
  <si>
    <t>1.2.5.2</t>
  </si>
  <si>
    <t>Adequações de espaço Físico para a Implantação da Central de Regulação</t>
  </si>
  <si>
    <t xml:space="preserve">Aquisição de Nobreaks para as Unidades da Rede SESA </t>
  </si>
  <si>
    <t>2.3.2</t>
  </si>
  <si>
    <t>Aquisição de 40 (quarenta) switch L2 48 portas</t>
  </si>
  <si>
    <t>Aquisição de  10 (dez) switch L3 24 portas</t>
  </si>
  <si>
    <t>1.4.1.3.1</t>
  </si>
  <si>
    <t>1.4.1.3.2</t>
  </si>
  <si>
    <t>Aquisição de firewall  multifuncional tipo 4</t>
  </si>
  <si>
    <t>Aquisição de firewall  multifuncional tipo 1</t>
  </si>
  <si>
    <t>1.4.2.1.1</t>
  </si>
  <si>
    <t>1.4.2.1.2</t>
  </si>
  <si>
    <t>1.4.2.1.3</t>
  </si>
  <si>
    <t>Red Hat Enterprise Linux. JBOSS Enterprse Middleware e Red Hat Cloud Suite</t>
  </si>
  <si>
    <t>Serviço em Produtos das Plataformas Red Hat</t>
  </si>
  <si>
    <t>Subscrição de produtos de software da linha red hat</t>
  </si>
  <si>
    <t>1.2.6</t>
  </si>
  <si>
    <t>Aquisição de equipamentos de Laboratório para o HRVJ</t>
  </si>
  <si>
    <t>Aquisição de Equipamentos de Diagnóstico para o HRVJ</t>
  </si>
  <si>
    <t xml:space="preserve">Aquisição de Equipamentos Cirúrgicos para o HRVJ. </t>
  </si>
  <si>
    <t>Aquisição de Eletrodomésticos para o HRVJ</t>
  </si>
  <si>
    <t>Aquisição de Equipamentos de Esterilização para o HRVJ</t>
  </si>
  <si>
    <t>Aquisição de Equipamentos de Monitorização para o HRVJ</t>
  </si>
  <si>
    <t>Aquisição de Equipamentos de Suporte à Vida para o HRVJ</t>
  </si>
  <si>
    <t>Aquisição de Equipamentos de T.I para o HRVJ</t>
  </si>
  <si>
    <t>Aquisição de Equipamentos de Terapia e Reabilitação para o HRVJ</t>
  </si>
  <si>
    <t>Aquisição de Equipamentos de Uso Geral para o HRVJ</t>
  </si>
  <si>
    <t>Aquisição de Equipamentos de Infraestrutura para o  HRVJ</t>
  </si>
  <si>
    <t>Aquisição de Instrumental para o HRVJ</t>
  </si>
  <si>
    <t xml:space="preserve">Adequação Física e Aquisições de equipamentos para as Macrorregiões do estado </t>
  </si>
  <si>
    <t>Convênios</t>
  </si>
  <si>
    <t>Adequação Física de Unidades de Saúde da Rede Sesa</t>
  </si>
  <si>
    <t>Aquisição de equipamentos para a Rede SESA</t>
  </si>
  <si>
    <t>Aquisição de Equipamentos de Diagnóstico</t>
  </si>
  <si>
    <t>Aquisição de Mobiliário</t>
  </si>
  <si>
    <t>1.4.1.5.1</t>
  </si>
  <si>
    <t>1.4.1.5.2</t>
  </si>
  <si>
    <t>1.4.1.7.1</t>
  </si>
  <si>
    <t>1.4.1.7.2</t>
  </si>
  <si>
    <t>2.1.2</t>
  </si>
  <si>
    <t>2.1.2.1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</si>
  <si>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</si>
  <si>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</si>
  <si>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</si>
  <si>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</si>
  <si>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</si>
  <si>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</si>
  <si>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</si>
  <si>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</si>
  <si>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</si>
  <si>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</si>
  <si>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2.1.2.12</t>
  </si>
  <si>
    <t>2.1.2.13</t>
  </si>
  <si>
    <t>2.1.2.14</t>
  </si>
  <si>
    <t>2.1.2.15</t>
  </si>
  <si>
    <t>2.3.1.1</t>
  </si>
  <si>
    <t>2.3.1.2</t>
  </si>
  <si>
    <t>2.3.1.3</t>
  </si>
  <si>
    <t>2.3.1.4</t>
  </si>
  <si>
    <t>2.3.1.5</t>
  </si>
  <si>
    <t>2.3.3</t>
  </si>
  <si>
    <t>2.3.3.1</t>
  </si>
  <si>
    <t>2.3.3.2</t>
  </si>
  <si>
    <t>2.3.3.3</t>
  </si>
  <si>
    <t>2.3.3.4</t>
  </si>
  <si>
    <t>2.3.3.6</t>
  </si>
  <si>
    <t>2.3.4</t>
  </si>
  <si>
    <t>2.3.4.1</t>
  </si>
  <si>
    <t>2.3.4.2</t>
  </si>
  <si>
    <t>2.3.4.3</t>
  </si>
  <si>
    <t>2.3.4.4</t>
  </si>
  <si>
    <t>2.4.1.1</t>
  </si>
  <si>
    <t>2.4.1.2</t>
  </si>
  <si>
    <t>2.4.2</t>
  </si>
  <si>
    <t>2.4.2.1</t>
  </si>
  <si>
    <t>2.4.2.2</t>
  </si>
  <si>
    <t>excluído</t>
  </si>
  <si>
    <t>Auditoria dos processos da Rede SESA e Compliance</t>
  </si>
  <si>
    <t xml:space="preserve">COMPONENTE 1: FORTALECIMENTO DA GESTÃO E MELHORIA DA QUALIDADE DOS SERVIÇOS </t>
  </si>
  <si>
    <t>COMPONENTE 2 - AMPLIAÇÃO DO ACESSO E CONSOLIDAÇÃO DAS REDES DE ATENÇÃO À SAÚDE - RAS</t>
  </si>
  <si>
    <t>COMPONENTE 3 - ADMINISTRAÇÃO, AVALIAÇÃO E AUDITORIA</t>
  </si>
  <si>
    <t xml:space="preserve"> Gestão do Hospital Regional do Cariri (HRC) e do Hospital Regional Norte (HRN)  da REDE SESA</t>
  </si>
  <si>
    <t>Aquisição de Equipamentos Cirúrgicos para a Rede SESA</t>
  </si>
  <si>
    <t>Aquisição de Equipamentos de Diagnóstico para a Rede SESA</t>
  </si>
  <si>
    <t>Porcesso Cancelado</t>
  </si>
  <si>
    <t>2.53</t>
  </si>
  <si>
    <t>2.54</t>
  </si>
  <si>
    <t>2.55</t>
  </si>
  <si>
    <t>2.56</t>
  </si>
  <si>
    <t>2.57</t>
  </si>
  <si>
    <t>Aquisição de Autoclave 75 Litros - Equipamento Esterilização para o HRVJ</t>
  </si>
  <si>
    <t>Aquisição de Equipamento Mobiliário/Utensílio de Nutrição para o HRVJ</t>
  </si>
  <si>
    <t>Aquisição de Monitores multiparamétricos TIPO 3, TIPO 4 e Sistema Central de Monitorização para o HRVJ</t>
  </si>
  <si>
    <t>2.1.2.2.1</t>
  </si>
  <si>
    <t>2.1.2.2.2</t>
  </si>
  <si>
    <t>Aquisição de Equipamentos Médico/Apoio Assistencial para o HRVJ</t>
  </si>
  <si>
    <t>2.1.2.6.1</t>
  </si>
  <si>
    <t>2.1.2.6.2</t>
  </si>
  <si>
    <t>Aquisição de equipamento de Diagnóstico - Raio X móvel para o HRVJ</t>
  </si>
  <si>
    <t>2.1.2.2.3</t>
  </si>
  <si>
    <t>BR12132</t>
  </si>
  <si>
    <t>BENGOA</t>
  </si>
  <si>
    <t>PORTUGUESES</t>
  </si>
  <si>
    <t>IDISA I</t>
  </si>
  <si>
    <t>MARCO LEGAL</t>
  </si>
  <si>
    <t>INVENTÁRIO</t>
  </si>
  <si>
    <t>IBIS</t>
  </si>
  <si>
    <t>BE SOLUTION</t>
  </si>
  <si>
    <t>IDISA II</t>
  </si>
  <si>
    <t xml:space="preserve">Aquisição de Itens e equipamentos médicos de proteção e de Apoio Assistencial para o HRVJ </t>
  </si>
  <si>
    <t>Aquisição de Fluxômetros para o HRVJ</t>
  </si>
  <si>
    <t>Aquisição de Monitor de Óxido Nítrico para o HRVJ</t>
  </si>
  <si>
    <t>Aquisição de Incubadora de Transporte para o HRVJ</t>
  </si>
  <si>
    <t>Aquisição de Bomba Injetora de Contraste para Hemodinâmica para o HRVJ</t>
  </si>
  <si>
    <t>Aquisição de Capacete/Capuz de Acrílico, Conjunto de Pistolas e Tendas para Oxigenoterapia  para o HRVJ</t>
  </si>
  <si>
    <t>Aquisição de Aspirador de Vácuo para Rede Canalizada para o HRVJ</t>
  </si>
  <si>
    <t>Aquisição de Cardiotocógrafo e Eletrocardiógrafo Digital para o HRVJ</t>
  </si>
  <si>
    <t>2.1.2.1.1</t>
  </si>
  <si>
    <t>Aquisição de Estufas e Centrifugas para o HRVJ</t>
  </si>
  <si>
    <t>Aquisição de Aparelhos de Anestesia para o HRVJ</t>
  </si>
  <si>
    <t>Aquisição de Ventilador Pulmonar de Transporte para o HRVJ</t>
  </si>
  <si>
    <t>Aquisição de Válvulas Reguladoras para o HRVJ</t>
  </si>
  <si>
    <t>Aquisição de Mesas para HRVJ</t>
  </si>
  <si>
    <t>Aquisição de Câmaras Mortuárias e Refrigeradas para Lixo para o HRVJ</t>
  </si>
  <si>
    <t>Aquisição de Cadeiras para HRVJ</t>
  </si>
  <si>
    <t>Aquisição de Mobiliário/Utensílio de Nutrição para o HRVJ.</t>
  </si>
  <si>
    <t>Aquisição de Cestos e Estantes para o HRVJ</t>
  </si>
  <si>
    <t>Aquisição de Extrator de Suco Industrial para o HRVJ</t>
  </si>
  <si>
    <t>2.1.2.1.2</t>
  </si>
  <si>
    <t>2.1.2.13.1</t>
  </si>
  <si>
    <t>2.1.2.13.2</t>
  </si>
  <si>
    <t>2.1.2.16</t>
  </si>
  <si>
    <t>Aquisição de Mobiliário Administrativo para o HRVJ</t>
  </si>
  <si>
    <t>Aquisição de Mobiliário Hospitalar e Administrativo para o HRVJ</t>
  </si>
  <si>
    <t>Aquisição de Armários Corta Fogo para o HRVJ</t>
  </si>
  <si>
    <t>2.1.2.15.1</t>
  </si>
  <si>
    <t>2.1.2.15.2</t>
  </si>
  <si>
    <t>Aquisição de Mobiliário Hospitalar para o HRVJ</t>
  </si>
  <si>
    <t>Aquisição de Eletrodomésticos para a Policlínica do Crato</t>
  </si>
  <si>
    <t>Aquisição de Equipamento Diagnóstico para a Policlínica do Crato</t>
  </si>
  <si>
    <t>Aquisição de Equipamento Médico/Apoio Assistencial para a Policlínica do Crato</t>
  </si>
  <si>
    <t>Aquisição de Mobiliário Administrativo para a Policlínica do Crato</t>
  </si>
  <si>
    <t>Aquisição de Cadeira Fixa para a Policlínica do Crato</t>
  </si>
  <si>
    <t>Aquisição de Baldes Porta Detritos e Lixeiras para a Policlínica do Crato</t>
  </si>
  <si>
    <t>Aquisição de Mobiliário Hospitalar para a Policlínica do Crato</t>
  </si>
  <si>
    <t>2.3.1.1.1</t>
  </si>
  <si>
    <t>2.3.1.1.2</t>
  </si>
  <si>
    <t>2.3.1.1.3</t>
  </si>
  <si>
    <t>Aquisição de Cadeira Fixa para a Policlínica de Maracanaú</t>
  </si>
  <si>
    <t>Aquisição de Mobiliário Hospitalar para a Policlínica de Maracanaú</t>
  </si>
  <si>
    <t>Aquisição de Mobiliário Administrativo para a Policlínica de Maracanaú</t>
  </si>
  <si>
    <t>Aquisição de Equipamento Diagnóstico para a Policlínica de Maracanaú</t>
  </si>
  <si>
    <t>Aquisição de Equipamento Médico/Apoio Assistencial para a Policlínica de Maracanaú</t>
  </si>
  <si>
    <t>2.3.3.3.1</t>
  </si>
  <si>
    <t>2.3.3.3.2</t>
  </si>
  <si>
    <t>2.3.1.3.1</t>
  </si>
  <si>
    <t>2.3.1.3.2</t>
  </si>
  <si>
    <t>2.3.3.1.1</t>
  </si>
  <si>
    <t>2.3.3.1.2</t>
  </si>
  <si>
    <t>2.3.3.1.3</t>
  </si>
  <si>
    <t>2.3.3.1.4</t>
  </si>
  <si>
    <t>2.3.4.5</t>
  </si>
  <si>
    <t>Aquisição de Eletrodomésticos para a Policlínica de Canindé</t>
  </si>
  <si>
    <t>Aquisição de Equipamento Médico/Apoio Assistencial para a Policlínica de Canindé</t>
  </si>
  <si>
    <t>Aquisição de Equipamento Diagnóstico para a Policlínica de Canindé</t>
  </si>
  <si>
    <t>2.3.4.1.1</t>
  </si>
  <si>
    <t>2.3.4.1.2</t>
  </si>
  <si>
    <t>2.3.4.1.3</t>
  </si>
  <si>
    <t>2.3.4.1.4</t>
  </si>
  <si>
    <t>Aquisição de Mobiliário Administrativo para a Policlínica de Canindé</t>
  </si>
  <si>
    <t>Aquisição de Mobiliário Hospitalar para a Policlínica de Canindé</t>
  </si>
  <si>
    <t>Aquisição de Cadeira Fixa para a Policlínica de Canindé</t>
  </si>
  <si>
    <t>2.3.4.3.1</t>
  </si>
  <si>
    <t>2.3.4.3.2</t>
  </si>
  <si>
    <t>Aquisição de Baldes Porta Detritos para a Policlínica do Canindé</t>
  </si>
  <si>
    <t>CAPACITAÇÃO (BI)</t>
  </si>
  <si>
    <t>1.4.1.8</t>
  </si>
  <si>
    <t>Aquisição de Equipamentos de Tecnologia da Informação</t>
  </si>
  <si>
    <t>Exclusão</t>
  </si>
  <si>
    <t>Aquisição de Câmaras para o HRVJ</t>
  </si>
  <si>
    <t>2.58</t>
  </si>
  <si>
    <t>2.59</t>
  </si>
  <si>
    <t>2.60</t>
  </si>
  <si>
    <t>2.61</t>
  </si>
  <si>
    <t>2.62</t>
  </si>
  <si>
    <t>2.63</t>
  </si>
  <si>
    <t>Aquisição de Bens/Equipamentos para Implantação de Protocolos Clínicos</t>
  </si>
  <si>
    <t>Aquisição de Televisão para o HRVJ</t>
  </si>
  <si>
    <t>Aquisição de Equipamento Médico Assistencial para a Rede SESA</t>
  </si>
  <si>
    <t>Aquisição de Equipamentos de Diagnóstico - Ultrassom (Cardiológico, geral e portátil) para o HRVJ</t>
  </si>
  <si>
    <t>Aquisição de Equipamentos de Equipamento de Diagnóstico e de Andadeira  para o HRVJ</t>
  </si>
  <si>
    <t>Aquisição de Lavadora Ultrassônica para o HRVJ</t>
  </si>
  <si>
    <t>Aquisição de Processador de Alimentos para o HRVJ</t>
  </si>
  <si>
    <t>Contrato Concluído</t>
  </si>
  <si>
    <t xml:space="preserve">Equipamentos para Policlínicas do Estado </t>
  </si>
  <si>
    <t>Aquisição de equipamentos para a Policlínica do Crato</t>
  </si>
  <si>
    <t>Aquisição de Equipamento Cirúrgico para a Policlínica do Crato</t>
  </si>
  <si>
    <t xml:space="preserve"> Aquisição de equipamentos para Policlínica de Fortaleza HZAN</t>
  </si>
  <si>
    <t>Aquisição de equipamentos para Policlínica do Maracanaú</t>
  </si>
  <si>
    <t>Aquisição de Equipamento Cirúrgico para a Policlínica de Maracanaú</t>
  </si>
  <si>
    <t>Aquisição de Equipamento de Monitorização para a Policlínica de Maracanaú</t>
  </si>
  <si>
    <t>Aquisição de equipamentos para Policlínica do Canindé</t>
  </si>
  <si>
    <t>Aquisição de Equipamento Cirúrgico para a Policlínica de Canindé</t>
  </si>
  <si>
    <t>Aquisição de Equipamento de Monitorização para a Policlínica de Canindé</t>
  </si>
  <si>
    <t>Aquisição de Ambulâncias para municípios</t>
  </si>
  <si>
    <t>Aquisição de Equipamentos Médicos para Unidades nas Macrorregiões de Saúde</t>
  </si>
  <si>
    <t>Expansão do Centro Pediátrico do Câncer</t>
  </si>
  <si>
    <t>Expansão do Centro Pediátrico do Câncer - Obras e Equipamentos</t>
  </si>
  <si>
    <t>Administração do Programa: Gerenciadora e Supervisora das obras do Programa</t>
  </si>
  <si>
    <t>3.6</t>
  </si>
  <si>
    <t>1.4.2.3</t>
  </si>
  <si>
    <t>Aquisição de Equipamento de Radiologia para a Rede SESA</t>
  </si>
  <si>
    <t>Aquisição de Equipamento de Monitorização e Suporte a Vida para a Rede SESA</t>
  </si>
  <si>
    <t>Excluído</t>
  </si>
  <si>
    <t>PA 12</t>
  </si>
  <si>
    <t>3.7</t>
  </si>
  <si>
    <t>3.3.2</t>
  </si>
  <si>
    <t>3.3.3</t>
  </si>
  <si>
    <t>BR12194</t>
  </si>
  <si>
    <t>Computadores</t>
  </si>
  <si>
    <t>1.4.2.3.1</t>
  </si>
  <si>
    <t>1.4.2.3.2</t>
  </si>
  <si>
    <t>1.4.2.3.3</t>
  </si>
  <si>
    <t>SN/CD</t>
  </si>
  <si>
    <t>3.8</t>
  </si>
  <si>
    <t>3.9</t>
  </si>
  <si>
    <t>2</t>
  </si>
  <si>
    <t>PA 14</t>
  </si>
  <si>
    <t>Contratação de Serviço de Software para a Rede SESA</t>
  </si>
  <si>
    <t>Contratação de Serviço de Software visando o enfrentamento às arboviroses causadas pelo Aedes aegypti.</t>
  </si>
  <si>
    <t>Contratação de Serviço de Software para atender as Unidades da Rede SESA</t>
  </si>
  <si>
    <t>Contratação de Serviço  de Software visando a implementação de Serviço em Nuvem</t>
  </si>
  <si>
    <t>FF, Stratégia / MACROPLAM</t>
  </si>
  <si>
    <t>Red Hat Enterprise, Red Hat Middleware Portifólio e Red Hat Cloud Suite.</t>
  </si>
  <si>
    <t xml:space="preserve">Publicado em </t>
  </si>
  <si>
    <t>PA 15</t>
  </si>
  <si>
    <t>2.4.1.1.1</t>
  </si>
  <si>
    <t>2.4.1.2.1</t>
  </si>
  <si>
    <t>2.4.2.3</t>
  </si>
  <si>
    <t>2.4.2.4</t>
  </si>
  <si>
    <t>2.4.2.5</t>
  </si>
  <si>
    <t>Aquisição de Equipamentos de Telecomunicação para o HRVJ</t>
  </si>
  <si>
    <t>Aquisição de Equipamentos de Telecomunicação para o Crato</t>
  </si>
  <si>
    <t>Aquisição de Equipamentos de Telecomunicação para o Maracanaú</t>
  </si>
  <si>
    <t>2.1.2.17</t>
  </si>
  <si>
    <t>2.3.3.5</t>
  </si>
  <si>
    <t>2.3.1.6</t>
  </si>
  <si>
    <t>2.64</t>
  </si>
  <si>
    <t>2.65</t>
  </si>
  <si>
    <t>2.66</t>
  </si>
  <si>
    <t>Apoio a Eventos e Fortalecimento da SESA</t>
  </si>
  <si>
    <t>Contratação de serviço de Impressão dos protocolos IAM e AVC</t>
  </si>
  <si>
    <t>1.2.5.3</t>
  </si>
  <si>
    <t>Aquisição de Equipamentos para Desenvolvimento e Implantação do Protocolo Materno Infantil</t>
  </si>
  <si>
    <t>1.2.3.1</t>
  </si>
  <si>
    <t>1.2.3.2</t>
  </si>
  <si>
    <t>4.6</t>
  </si>
  <si>
    <t>PA 17</t>
  </si>
  <si>
    <t>2.4.2.6</t>
  </si>
  <si>
    <t>Aquisição de Equipamento de Suporte ao Funcionamento da Rede SESA</t>
  </si>
  <si>
    <t>2.67</t>
  </si>
  <si>
    <t>2.68</t>
  </si>
  <si>
    <t>Atualização Nº: 18</t>
  </si>
  <si>
    <t>Aquisição de licenças ANTIVIRUS</t>
  </si>
  <si>
    <t>Redução de $ 114.400,00  para criação da linha 1.4.2.3.4</t>
  </si>
  <si>
    <t>Aumento de $ 114.400,00  vindo da linha 1.4.1.8</t>
  </si>
  <si>
    <t>mudança do status</t>
  </si>
  <si>
    <t>3.10</t>
  </si>
  <si>
    <t>Atualizado em: 19/05/2023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</si>
</sst>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[$-416]mmm\-yy;@"/>
    <numFmt numFmtId="180" formatCode="_-[$$-409]* #,##0.00_ ;_-[$$-409]* \-#,##0.00\ ;_-[$$-409]* &quot;-&quot;??_ ;_-@_ "/>
    <numFmt numFmtId="181" formatCode="0.000"/>
    <numFmt numFmtId="182" formatCode="0.0%"/>
    <numFmt numFmtId="183" formatCode="#,##0.00\ ;&quot; (&quot;#,##0.00\);&quot; -&quot;#\ ;@\ "/>
    <numFmt numFmtId="184" formatCode="_-[$R$-416]* #,##0.00_-;\-[$R$-416]* #,##0.00_-;_-[$R$-416]* &quot;-&quot;??_-;_-@_-"/>
    <numFmt numFmtId="185" formatCode="&quot;R$&quot;#,##0.00"/>
    <numFmt numFmtId="186" formatCode="_-[$R$-416]\ * #,##0.00_-;\-[$R$-416]\ * #,##0.00_-;_-[$R$-416]\ 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[$-416]dddd\,\ d&quot; de &quot;mmmm&quot; de &quot;yyyy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  <numFmt numFmtId="197" formatCode="_-[$$-409]* #,##0.000_ ;_-[$$-409]* \-#,##0.000\ ;_-[$$-409]* &quot;-&quot;??_ ;_-@_ "/>
    <numFmt numFmtId="198" formatCode="_-[$$-409]* #,##0.0000_ ;_-[$$-409]* \-#,##0.0000\ ;_-[$$-409]* &quot;-&quot;??_ ;_-@_ "/>
    <numFmt numFmtId="199" formatCode="_-[$$-409]* #,##0.00000_ ;_-[$$-409]* \-#,##0.00000\ ;_-[$$-409]* &quot;-&quot;??_ ;_-@_ "/>
    <numFmt numFmtId="200" formatCode="_-[$$-409]* #,##0.000000_ ;_-[$$-409]* \-#,##0.000000\ ;_-[$$-409]* &quot;-&quot;??_ ;_-@_ "/>
    <numFmt numFmtId="201" formatCode="_-[$$-409]* #,##0.0000000_ ;_-[$$-409]* \-#,##0.0000000\ ;_-[$$-409]* &quot;-&quot;??_ ;_-@_ "/>
    <numFmt numFmtId="202" formatCode="_-[$$-409]* #,##0.00000000_ ;_-[$$-409]* \-#,##0.00000000\ ;_-[$$-409]* &quot;-&quot;??_ ;_-@_ 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_-* #,##0.0_-;\-* #,##0.0_-;_-* &quot;-&quot;??_-;_-@_-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orbel"/>
      <family val="2"/>
    </font>
    <font>
      <sz val="12"/>
      <name val="Calibri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55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color indexed="18"/>
      <name val="Calibri"/>
      <family val="2"/>
    </font>
    <font>
      <b/>
      <sz val="14"/>
      <color indexed="17"/>
      <name val="Calibri"/>
      <family val="2"/>
    </font>
    <font>
      <sz val="10"/>
      <color indexed="17"/>
      <name val="Calibri"/>
      <family val="2"/>
    </font>
    <font>
      <sz val="16"/>
      <color indexed="10"/>
      <name val="Calibri"/>
      <family val="2"/>
    </font>
    <font>
      <strike/>
      <sz val="12"/>
      <color indexed="17"/>
      <name val="Calibri"/>
      <family val="2"/>
    </font>
    <font>
      <b/>
      <sz val="12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55"/>
      <name val="Calibri"/>
      <family val="2"/>
    </font>
    <font>
      <sz val="14"/>
      <color indexed="17"/>
      <name val="Calibri"/>
      <family val="2"/>
    </font>
    <font>
      <sz val="12"/>
      <color indexed="30"/>
      <name val="Calibri"/>
      <family val="2"/>
    </font>
    <font>
      <b/>
      <sz val="14"/>
      <color indexed="10"/>
      <name val="Calibri"/>
      <family val="2"/>
    </font>
    <font>
      <sz val="14"/>
      <color indexed="13"/>
      <name val="Calibri"/>
      <family val="2"/>
    </font>
    <font>
      <b/>
      <sz val="14"/>
      <color indexed="13"/>
      <name val="Calibri"/>
      <family val="2"/>
    </font>
    <font>
      <b/>
      <sz val="12"/>
      <color indexed="30"/>
      <name val="Calibri"/>
      <family val="2"/>
    </font>
    <font>
      <sz val="14"/>
      <color indexed="30"/>
      <name val="Calibri"/>
      <family val="2"/>
    </font>
    <font>
      <b/>
      <sz val="14"/>
      <color indexed="30"/>
      <name val="Calibri"/>
      <family val="2"/>
    </font>
    <font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 tint="-0.3499799966812134"/>
      <name val="Calibri"/>
      <family val="2"/>
    </font>
    <font>
      <sz val="12"/>
      <color theme="0" tint="-0.24997000396251678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rgb="FF00B050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sz val="12"/>
      <color theme="4" tint="-0.24997000396251678"/>
      <name val="Calibri"/>
      <family val="2"/>
    </font>
    <font>
      <sz val="12"/>
      <color theme="3"/>
      <name val="Calibri"/>
      <family val="2"/>
    </font>
    <font>
      <sz val="12"/>
      <color theme="4" tint="-0.4999699890613556"/>
      <name val="Calibri"/>
      <family val="2"/>
    </font>
    <font>
      <b/>
      <sz val="14"/>
      <color rgb="FF00B050"/>
      <name val="Calibri"/>
      <family val="2"/>
    </font>
    <font>
      <sz val="10"/>
      <color rgb="FF00B050"/>
      <name val="Calibri"/>
      <family val="2"/>
    </font>
    <font>
      <sz val="16"/>
      <color rgb="FFFF0000"/>
      <name val="Calibri"/>
      <family val="2"/>
    </font>
    <font>
      <strike/>
      <sz val="12"/>
      <color rgb="FF00B050"/>
      <name val="Calibri"/>
      <family val="2"/>
    </font>
    <font>
      <b/>
      <sz val="12"/>
      <color theme="4" tint="-0.4999699890613556"/>
      <name val="Calibri"/>
      <family val="2"/>
    </font>
    <font>
      <b/>
      <sz val="12"/>
      <color rgb="FF00B050"/>
      <name val="Calibri"/>
      <family val="2"/>
    </font>
    <font>
      <b/>
      <sz val="12"/>
      <color theme="0" tint="-0.3499799966812134"/>
      <name val="Calibri"/>
      <family val="2"/>
    </font>
    <font>
      <sz val="14"/>
      <color rgb="FF00B050"/>
      <name val="Calibri"/>
      <family val="2"/>
    </font>
    <font>
      <sz val="12"/>
      <color rgb="FF0070C0"/>
      <name val="Calibri"/>
      <family val="2"/>
    </font>
    <font>
      <b/>
      <sz val="14"/>
      <color rgb="FFFF0000"/>
      <name val="Calibri"/>
      <family val="2"/>
    </font>
    <font>
      <sz val="14"/>
      <color rgb="FFFFFF00"/>
      <name val="Calibri"/>
      <family val="2"/>
    </font>
    <font>
      <b/>
      <sz val="14"/>
      <color rgb="FFFFFF00"/>
      <name val="Calibri"/>
      <family val="2"/>
    </font>
    <font>
      <b/>
      <sz val="12"/>
      <color rgb="FF0070C0"/>
      <name val="Calibri"/>
      <family val="2"/>
    </font>
    <font>
      <sz val="14"/>
      <color rgb="FF0070C0"/>
      <name val="Calibri"/>
      <family val="2"/>
    </font>
    <font>
      <b/>
      <sz val="14"/>
      <color rgb="FF0070C0"/>
      <name val="Calibri"/>
      <family val="2"/>
    </font>
    <font>
      <sz val="14"/>
      <color theme="0"/>
      <name val="Calibri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8" fillId="24" borderId="0" applyNumberFormat="0" applyBorder="0" applyAlignment="0" applyProtection="0"/>
    <xf numFmtId="0" fontId="3" fillId="25" borderId="0" applyNumberFormat="0" applyBorder="0" applyAlignment="0" applyProtection="0"/>
    <xf numFmtId="0" fontId="68" fillId="26" borderId="0" applyNumberFormat="0" applyBorder="0" applyAlignment="0" applyProtection="0"/>
    <xf numFmtId="0" fontId="3" fillId="17" borderId="0" applyNumberFormat="0" applyBorder="0" applyAlignment="0" applyProtection="0"/>
    <xf numFmtId="0" fontId="68" fillId="27" borderId="0" applyNumberFormat="0" applyBorder="0" applyAlignment="0" applyProtection="0"/>
    <xf numFmtId="0" fontId="3" fillId="19" borderId="0" applyNumberFormat="0" applyBorder="0" applyAlignment="0" applyProtection="0"/>
    <xf numFmtId="0" fontId="68" fillId="28" borderId="0" applyNumberFormat="0" applyBorder="0" applyAlignment="0" applyProtection="0"/>
    <xf numFmtId="0" fontId="3" fillId="29" borderId="0" applyNumberFormat="0" applyBorder="0" applyAlignment="0" applyProtection="0"/>
    <xf numFmtId="0" fontId="68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3" fillId="33" borderId="0" applyNumberFormat="0" applyBorder="0" applyAlignment="0" applyProtection="0"/>
    <xf numFmtId="0" fontId="68" fillId="34" borderId="0" applyNumberFormat="0" applyBorder="0" applyAlignment="0" applyProtection="0"/>
    <xf numFmtId="0" fontId="3" fillId="35" borderId="0" applyNumberFormat="0" applyBorder="0" applyAlignment="0" applyProtection="0"/>
    <xf numFmtId="0" fontId="68" fillId="36" borderId="0" applyNumberFormat="0" applyBorder="0" applyAlignment="0" applyProtection="0"/>
    <xf numFmtId="0" fontId="3" fillId="37" borderId="0" applyNumberFormat="0" applyBorder="0" applyAlignment="0" applyProtection="0"/>
    <xf numFmtId="0" fontId="68" fillId="38" borderId="0" applyNumberFormat="0" applyBorder="0" applyAlignment="0" applyProtection="0"/>
    <xf numFmtId="0" fontId="3" fillId="39" borderId="0" applyNumberFormat="0" applyBorder="0" applyAlignment="0" applyProtection="0"/>
    <xf numFmtId="0" fontId="68" fillId="40" borderId="0" applyNumberFormat="0" applyBorder="0" applyAlignment="0" applyProtection="0"/>
    <xf numFmtId="0" fontId="3" fillId="29" borderId="0" applyNumberFormat="0" applyBorder="0" applyAlignment="0" applyProtection="0"/>
    <xf numFmtId="0" fontId="68" fillId="41" borderId="0" applyNumberFormat="0" applyBorder="0" applyAlignment="0" applyProtection="0"/>
    <xf numFmtId="0" fontId="3" fillId="31" borderId="0" applyNumberFormat="0" applyBorder="0" applyAlignment="0" applyProtection="0"/>
    <xf numFmtId="0" fontId="68" fillId="42" borderId="0" applyNumberFormat="0" applyBorder="0" applyAlignment="0" applyProtection="0"/>
    <xf numFmtId="0" fontId="3" fillId="43" borderId="0" applyNumberFormat="0" applyBorder="0" applyAlignment="0" applyProtection="0"/>
    <xf numFmtId="0" fontId="69" fillId="44" borderId="0" applyNumberFormat="0" applyBorder="0" applyAlignment="0" applyProtection="0"/>
    <xf numFmtId="0" fontId="4" fillId="5" borderId="0" applyNumberFormat="0" applyBorder="0" applyAlignment="0" applyProtection="0"/>
    <xf numFmtId="0" fontId="70" fillId="45" borderId="1" applyNumberFormat="0" applyAlignment="0" applyProtection="0"/>
    <xf numFmtId="0" fontId="5" fillId="46" borderId="2" applyNumberFormat="0" applyAlignment="0" applyProtection="0"/>
    <xf numFmtId="0" fontId="71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9" borderId="0" applyNumberFormat="0" applyBorder="0" applyAlignment="0" applyProtection="0"/>
    <xf numFmtId="0" fontId="8" fillId="7" borderId="0" applyNumberFormat="0" applyBorder="0" applyAlignment="0" applyProtection="0"/>
    <xf numFmtId="0" fontId="75" fillId="0" borderId="5" applyNumberFormat="0" applyFill="0" applyAlignment="0" applyProtection="0"/>
    <xf numFmtId="0" fontId="9" fillId="0" borderId="6" applyNumberFormat="0" applyFill="0" applyAlignment="0" applyProtection="0"/>
    <xf numFmtId="0" fontId="76" fillId="0" borderId="7" applyNumberFormat="0" applyFill="0" applyAlignment="0" applyProtection="0"/>
    <xf numFmtId="0" fontId="10" fillId="0" borderId="8" applyNumberFormat="0" applyFill="0" applyAlignment="0" applyProtection="0"/>
    <xf numFmtId="0" fontId="77" fillId="0" borderId="9" applyNumberFormat="0" applyFill="0" applyAlignment="0" applyProtection="0"/>
    <xf numFmtId="0" fontId="11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50" borderId="1" applyNumberFormat="0" applyAlignment="0" applyProtection="0"/>
    <xf numFmtId="0" fontId="12" fillId="13" borderId="2" applyNumberFormat="0" applyAlignment="0" applyProtection="0"/>
    <xf numFmtId="0" fontId="80" fillId="0" borderId="11" applyNumberFormat="0" applyFill="0" applyAlignment="0" applyProtection="0"/>
    <xf numFmtId="0" fontId="13" fillId="0" borderId="12" applyNumberFormat="0" applyFill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1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82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0" fontId="8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121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31" fillId="0" borderId="0" xfId="122" applyFont="1" applyFill="1" applyBorder="1" applyAlignment="1">
      <alignment horizontal="left" vertical="center" wrapText="1"/>
      <protection/>
    </xf>
    <xf numFmtId="0" fontId="31" fillId="0" borderId="19" xfId="122" applyFont="1" applyFill="1" applyBorder="1" applyAlignment="1">
      <alignment horizontal="left" vertical="center" wrapText="1"/>
      <protection/>
    </xf>
    <xf numFmtId="0" fontId="86" fillId="0" borderId="0" xfId="0" applyFont="1" applyAlignment="1">
      <alignment/>
    </xf>
    <xf numFmtId="0" fontId="86" fillId="0" borderId="19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86" fillId="0" borderId="0" xfId="0" applyFont="1" applyFill="1" applyAlignment="1">
      <alignment/>
    </xf>
    <xf numFmtId="0" fontId="33" fillId="0" borderId="0" xfId="127" applyFont="1" applyFill="1" applyBorder="1" applyAlignment="1">
      <alignment vertical="center" wrapText="1"/>
      <protection/>
    </xf>
    <xf numFmtId="0" fontId="24" fillId="0" borderId="20" xfId="127" applyFont="1" applyFill="1" applyBorder="1" applyAlignment="1">
      <alignment vertical="center" wrapText="1"/>
      <protection/>
    </xf>
    <xf numFmtId="0" fontId="87" fillId="0" borderId="0" xfId="0" applyFont="1" applyAlignment="1">
      <alignment/>
    </xf>
    <xf numFmtId="0" fontId="19" fillId="55" borderId="21" xfId="122" applyFont="1" applyFill="1" applyBorder="1" applyAlignment="1">
      <alignment horizontal="left" vertical="center" wrapText="1"/>
      <protection/>
    </xf>
    <xf numFmtId="0" fontId="19" fillId="55" borderId="22" xfId="122" applyFont="1" applyFill="1" applyBorder="1" applyAlignment="1">
      <alignment horizontal="left" vertical="center" wrapText="1"/>
      <protection/>
    </xf>
    <xf numFmtId="0" fontId="88" fillId="55" borderId="23" xfId="0" applyFont="1" applyFill="1" applyBorder="1" applyAlignment="1">
      <alignment horizontal="center" vertical="center"/>
    </xf>
    <xf numFmtId="0" fontId="19" fillId="55" borderId="24" xfId="122" applyFont="1" applyFill="1" applyBorder="1" applyAlignment="1">
      <alignment horizontal="left" vertical="center" wrapText="1"/>
      <protection/>
    </xf>
    <xf numFmtId="0" fontId="19" fillId="55" borderId="25" xfId="122" applyFont="1" applyFill="1" applyBorder="1" applyAlignment="1">
      <alignment horizontal="left" vertical="center" wrapText="1"/>
      <protection/>
    </xf>
    <xf numFmtId="0" fontId="87" fillId="0" borderId="26" xfId="0" applyFont="1" applyFill="1" applyBorder="1" applyAlignment="1">
      <alignment horizontal="left" vertical="center" wrapText="1"/>
    </xf>
    <xf numFmtId="0" fontId="24" fillId="0" borderId="27" xfId="127" applyFont="1" applyFill="1" applyBorder="1" applyAlignment="1">
      <alignment vertical="center" wrapText="1"/>
      <protection/>
    </xf>
    <xf numFmtId="0" fontId="24" fillId="0" borderId="28" xfId="127" applyFont="1" applyFill="1" applyBorder="1" applyAlignment="1">
      <alignment vertical="center" wrapText="1"/>
      <protection/>
    </xf>
    <xf numFmtId="0" fontId="24" fillId="0" borderId="26" xfId="0" applyFont="1" applyBorder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0" fontId="24" fillId="0" borderId="29" xfId="127" applyFont="1" applyFill="1" applyBorder="1" applyAlignment="1">
      <alignment vertical="center" wrapText="1"/>
      <protection/>
    </xf>
    <xf numFmtId="0" fontId="24" fillId="0" borderId="0" xfId="12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26" xfId="127" applyFont="1" applyFill="1" applyBorder="1" applyAlignment="1">
      <alignment vertical="center" wrapText="1"/>
      <protection/>
    </xf>
    <xf numFmtId="0" fontId="87" fillId="0" borderId="30" xfId="0" applyFont="1" applyFill="1" applyBorder="1" applyAlignment="1">
      <alignment horizontal="left" vertical="center" wrapText="1"/>
    </xf>
    <xf numFmtId="0" fontId="87" fillId="0" borderId="27" xfId="0" applyFont="1" applyFill="1" applyBorder="1" applyAlignment="1">
      <alignment horizontal="left" vertical="center" wrapText="1"/>
    </xf>
    <xf numFmtId="0" fontId="87" fillId="0" borderId="31" xfId="0" applyFont="1" applyFill="1" applyBorder="1" applyAlignment="1">
      <alignment horizontal="left" vertical="center" wrapText="1"/>
    </xf>
    <xf numFmtId="0" fontId="27" fillId="0" borderId="0" xfId="121" applyFont="1" applyFill="1" applyBorder="1" applyAlignment="1">
      <alignment horizontal="center" vertical="center" wrapText="1"/>
      <protection/>
    </xf>
    <xf numFmtId="0" fontId="89" fillId="0" borderId="0" xfId="0" applyFont="1" applyFill="1" applyBorder="1" applyAlignment="1">
      <alignment horizontal="left" vertical="center" wrapText="1"/>
    </xf>
    <xf numFmtId="49" fontId="89" fillId="0" borderId="20" xfId="0" applyNumberFormat="1" applyFont="1" applyFill="1" applyBorder="1" applyAlignment="1">
      <alignment horizontal="center" vertical="center" wrapText="1"/>
    </xf>
    <xf numFmtId="44" fontId="24" fillId="0" borderId="0" xfId="0" applyNumberFormat="1" applyFont="1" applyFill="1" applyBorder="1" applyAlignment="1">
      <alignment horizontal="left" vertical="center" wrapText="1"/>
    </xf>
    <xf numFmtId="43" fontId="89" fillId="0" borderId="0" xfId="81" applyFont="1" applyFill="1" applyBorder="1" applyAlignment="1">
      <alignment horizontal="left" vertical="center" wrapText="1"/>
    </xf>
    <xf numFmtId="43" fontId="87" fillId="0" borderId="0" xfId="8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87" fillId="0" borderId="0" xfId="0" applyFont="1" applyAlignment="1">
      <alignment horizontal="center" vertical="center"/>
    </xf>
    <xf numFmtId="43" fontId="89" fillId="0" borderId="0" xfId="81" applyFont="1" applyFill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178" fontId="87" fillId="0" borderId="0" xfId="81" applyNumberFormat="1" applyFont="1" applyAlignment="1">
      <alignment vertical="center"/>
    </xf>
    <xf numFmtId="0" fontId="90" fillId="0" borderId="0" xfId="107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Fill="1" applyBorder="1" applyAlignment="1">
      <alignment horizontal="left" vertical="center" wrapText="1"/>
    </xf>
    <xf numFmtId="3" fontId="90" fillId="0" borderId="0" xfId="107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Fill="1" applyBorder="1" applyAlignment="1">
      <alignment horizontal="center" vertical="center" wrapText="1"/>
    </xf>
    <xf numFmtId="0" fontId="90" fillId="0" borderId="0" xfId="121" applyFont="1" applyFill="1" applyBorder="1" applyAlignment="1">
      <alignment horizontal="center" vertical="center" wrapText="1"/>
      <protection/>
    </xf>
    <xf numFmtId="17" fontId="90" fillId="0" borderId="0" xfId="0" applyNumberFormat="1" applyFont="1" applyFill="1" applyBorder="1" applyAlignment="1">
      <alignment horizontal="center" vertical="center" wrapText="1"/>
    </xf>
    <xf numFmtId="14" fontId="90" fillId="0" borderId="0" xfId="123" applyNumberFormat="1" applyFont="1" applyFill="1" applyBorder="1" applyAlignment="1" applyProtection="1">
      <alignment horizontal="center" vertical="center" wrapText="1"/>
      <protection/>
    </xf>
    <xf numFmtId="178" fontId="24" fillId="0" borderId="0" xfId="81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87" fillId="0" borderId="0" xfId="0" applyFont="1" applyAlignment="1">
      <alignment horizontal="center" vertical="center" wrapText="1"/>
    </xf>
    <xf numFmtId="178" fontId="87" fillId="0" borderId="0" xfId="81" applyNumberFormat="1" applyFont="1" applyAlignment="1">
      <alignment vertical="center" wrapText="1"/>
    </xf>
    <xf numFmtId="10" fontId="87" fillId="0" borderId="0" xfId="0" applyNumberFormat="1" applyFont="1" applyAlignment="1">
      <alignment vertical="center" wrapText="1"/>
    </xf>
    <xf numFmtId="0" fontId="87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vertical="center" wrapText="1"/>
    </xf>
    <xf numFmtId="178" fontId="27" fillId="0" borderId="0" xfId="81" applyNumberFormat="1" applyFont="1" applyAlignment="1">
      <alignment horizontal="right" vertical="center" wrapText="1"/>
    </xf>
    <xf numFmtId="0" fontId="90" fillId="0" borderId="0" xfId="0" applyFont="1" applyAlignment="1">
      <alignment vertical="center" wrapText="1"/>
    </xf>
    <xf numFmtId="4" fontId="91" fillId="0" borderId="0" xfId="0" applyNumberFormat="1" applyFont="1" applyAlignment="1">
      <alignment vertical="center" wrapText="1"/>
    </xf>
    <xf numFmtId="0" fontId="87" fillId="0" borderId="0" xfId="0" applyFont="1" applyAlignment="1">
      <alignment horizontal="left" vertical="center" wrapText="1"/>
    </xf>
    <xf numFmtId="0" fontId="89" fillId="0" borderId="0" xfId="0" applyFont="1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0" fontId="89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horizontal="center" vertical="center" wrapText="1"/>
    </xf>
    <xf numFmtId="178" fontId="89" fillId="0" borderId="0" xfId="81" applyNumberFormat="1" applyFont="1" applyAlignment="1">
      <alignment vertical="center" wrapText="1"/>
    </xf>
    <xf numFmtId="0" fontId="24" fillId="56" borderId="0" xfId="0" applyFont="1" applyFill="1" applyBorder="1" applyAlignment="1">
      <alignment vertical="center" wrapText="1"/>
    </xf>
    <xf numFmtId="0" fontId="24" fillId="56" borderId="20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justify" vertical="center"/>
    </xf>
    <xf numFmtId="0" fontId="94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0" fontId="95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24" fillId="56" borderId="0" xfId="0" applyFont="1" applyFill="1" applyBorder="1" applyAlignment="1">
      <alignment horizontal="center" vertical="center" wrapText="1"/>
    </xf>
    <xf numFmtId="0" fontId="95" fillId="56" borderId="20" xfId="0" applyFont="1" applyFill="1" applyBorder="1" applyAlignment="1">
      <alignment horizontal="center" vertical="center" wrapText="1"/>
    </xf>
    <xf numFmtId="17" fontId="95" fillId="56" borderId="20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87" fillId="0" borderId="0" xfId="0" applyFont="1" applyFill="1" applyAlignment="1">
      <alignment vertical="center"/>
    </xf>
    <xf numFmtId="0" fontId="97" fillId="0" borderId="0" xfId="0" applyFont="1" applyFill="1" applyBorder="1" applyAlignment="1">
      <alignment horizontal="left" vertical="center"/>
    </xf>
    <xf numFmtId="0" fontId="87" fillId="0" borderId="32" xfId="0" applyFont="1" applyBorder="1" applyAlignment="1">
      <alignment horizontal="center" vertical="center"/>
    </xf>
    <xf numFmtId="0" fontId="98" fillId="0" borderId="32" xfId="0" applyFont="1" applyFill="1" applyBorder="1" applyAlignment="1">
      <alignment horizontal="left" vertical="center"/>
    </xf>
    <xf numFmtId="0" fontId="87" fillId="0" borderId="32" xfId="0" applyFont="1" applyFill="1" applyBorder="1" applyAlignment="1">
      <alignment vertical="center"/>
    </xf>
    <xf numFmtId="2" fontId="88" fillId="0" borderId="0" xfId="0" applyNumberFormat="1" applyFont="1" applyAlignment="1">
      <alignment vertical="center"/>
    </xf>
    <xf numFmtId="0" fontId="33" fillId="0" borderId="0" xfId="122" applyFont="1" applyFill="1" applyBorder="1" applyAlignment="1">
      <alignment vertical="center" wrapText="1"/>
      <protection/>
    </xf>
    <xf numFmtId="0" fontId="33" fillId="0" borderId="0" xfId="122" applyFont="1" applyFill="1" applyBorder="1" applyAlignment="1">
      <alignment horizontal="center" vertical="center" wrapText="1"/>
      <protection/>
    </xf>
    <xf numFmtId="10" fontId="33" fillId="0" borderId="0" xfId="122" applyNumberFormat="1" applyFont="1" applyFill="1" applyBorder="1" applyAlignment="1">
      <alignment horizontal="center" vertical="center" wrapText="1"/>
      <protection/>
    </xf>
    <xf numFmtId="178" fontId="19" fillId="57" borderId="20" xfId="81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178" fontId="89" fillId="0" borderId="0" xfId="81" applyNumberFormat="1" applyFont="1" applyFill="1" applyBorder="1" applyAlignment="1">
      <alignment vertical="center" wrapText="1"/>
    </xf>
    <xf numFmtId="0" fontId="24" fillId="56" borderId="20" xfId="0" applyFont="1" applyFill="1" applyBorder="1" applyAlignment="1">
      <alignment horizontal="center" vertical="center" wrapText="1"/>
    </xf>
    <xf numFmtId="179" fontId="24" fillId="56" borderId="20" xfId="0" applyNumberFormat="1" applyFont="1" applyFill="1" applyBorder="1" applyAlignment="1">
      <alignment horizontal="center" vertical="center" wrapText="1"/>
    </xf>
    <xf numFmtId="0" fontId="99" fillId="58" borderId="20" xfId="0" applyFont="1" applyFill="1" applyBorder="1" applyAlignment="1">
      <alignment horizontal="right" vertical="center" wrapText="1"/>
    </xf>
    <xf numFmtId="181" fontId="87" fillId="0" borderId="0" xfId="0" applyNumberFormat="1" applyFont="1" applyFill="1" applyBorder="1" applyAlignment="1">
      <alignment vertical="center" wrapText="1"/>
    </xf>
    <xf numFmtId="1" fontId="87" fillId="0" borderId="0" xfId="0" applyNumberFormat="1" applyFont="1" applyFill="1" applyBorder="1" applyAlignment="1">
      <alignment vertical="center" wrapText="1"/>
    </xf>
    <xf numFmtId="0" fontId="87" fillId="56" borderId="0" xfId="0" applyFont="1" applyFill="1" applyAlignment="1">
      <alignment vertical="center" wrapText="1"/>
    </xf>
    <xf numFmtId="0" fontId="0" fillId="0" borderId="0" xfId="0" applyBorder="1" applyAlignment="1" applyProtection="1">
      <alignment vertical="center"/>
      <protection/>
    </xf>
    <xf numFmtId="0" fontId="87" fillId="0" borderId="0" xfId="0" applyFont="1" applyBorder="1" applyAlignment="1">
      <alignment horizontal="center" vertical="center"/>
    </xf>
    <xf numFmtId="0" fontId="24" fillId="59" borderId="20" xfId="0" applyFont="1" applyFill="1" applyBorder="1" applyAlignment="1">
      <alignment horizontal="center" vertical="center" wrapText="1"/>
    </xf>
    <xf numFmtId="0" fontId="19" fillId="57" borderId="20" xfId="121" applyFont="1" applyFill="1" applyBorder="1" applyAlignment="1">
      <alignment horizontal="center" vertical="center" wrapText="1"/>
      <protection/>
    </xf>
    <xf numFmtId="0" fontId="8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8" fontId="100" fillId="0" borderId="20" xfId="81" applyNumberFormat="1" applyFont="1" applyFill="1" applyBorder="1" applyAlignment="1">
      <alignment vertical="center" wrapText="1"/>
    </xf>
    <xf numFmtId="0" fontId="87" fillId="56" borderId="0" xfId="0" applyFont="1" applyFill="1" applyBorder="1" applyAlignment="1">
      <alignment vertical="center" wrapText="1"/>
    </xf>
    <xf numFmtId="181" fontId="87" fillId="56" borderId="0" xfId="0" applyNumberFormat="1" applyFont="1" applyFill="1" applyBorder="1" applyAlignment="1">
      <alignment vertical="center" wrapText="1"/>
    </xf>
    <xf numFmtId="1" fontId="87" fillId="56" borderId="0" xfId="0" applyNumberFormat="1" applyFont="1" applyFill="1" applyBorder="1" applyAlignment="1">
      <alignment vertical="center" wrapText="1"/>
    </xf>
    <xf numFmtId="0" fontId="101" fillId="56" borderId="20" xfId="0" applyFont="1" applyFill="1" applyBorder="1" applyAlignment="1">
      <alignment horizontal="right" vertical="center" wrapText="1"/>
    </xf>
    <xf numFmtId="0" fontId="19" fillId="57" borderId="20" xfId="121" applyFont="1" applyFill="1" applyBorder="1" applyAlignment="1">
      <alignment horizontal="center" vertical="center" wrapText="1"/>
      <protection/>
    </xf>
    <xf numFmtId="179" fontId="24" fillId="56" borderId="0" xfId="0" applyNumberFormat="1" applyFont="1" applyFill="1" applyBorder="1" applyAlignment="1">
      <alignment horizontal="center" vertical="center" wrapText="1"/>
    </xf>
    <xf numFmtId="0" fontId="24" fillId="56" borderId="0" xfId="0" applyNumberFormat="1" applyFont="1" applyFill="1" applyBorder="1" applyAlignment="1">
      <alignment horizontal="center" vertical="center" wrapText="1"/>
    </xf>
    <xf numFmtId="17" fontId="24" fillId="56" borderId="0" xfId="0" applyNumberFormat="1" applyFont="1" applyFill="1" applyBorder="1" applyAlignment="1">
      <alignment horizontal="center" vertical="center" wrapText="1"/>
    </xf>
    <xf numFmtId="0" fontId="95" fillId="56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102" fillId="0" borderId="0" xfId="0" applyFont="1" applyAlignment="1">
      <alignment vertical="center" wrapText="1"/>
    </xf>
    <xf numFmtId="0" fontId="102" fillId="0" borderId="0" xfId="0" applyFont="1" applyAlignment="1">
      <alignment horizontal="center" vertical="center" wrapText="1"/>
    </xf>
    <xf numFmtId="178" fontId="102" fillId="0" borderId="0" xfId="81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78" fontId="24" fillId="0" borderId="0" xfId="81" applyNumberFormat="1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2" fontId="24" fillId="0" borderId="0" xfId="0" applyNumberFormat="1" applyFont="1" applyAlignment="1">
      <alignment vertical="center"/>
    </xf>
    <xf numFmtId="178" fontId="44" fillId="0" borderId="29" xfId="81" applyNumberFormat="1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left" vertical="center"/>
    </xf>
    <xf numFmtId="0" fontId="87" fillId="0" borderId="0" xfId="0" applyFont="1" applyFill="1" applyAlignment="1">
      <alignment horizontal="left" vertical="center"/>
    </xf>
    <xf numFmtId="0" fontId="103" fillId="0" borderId="0" xfId="0" applyFont="1" applyFill="1" applyBorder="1" applyAlignment="1">
      <alignment vertical="center" wrapText="1"/>
    </xf>
    <xf numFmtId="3" fontId="101" fillId="56" borderId="20" xfId="107" applyNumberFormat="1" applyFont="1" applyFill="1" applyBorder="1" applyAlignment="1">
      <alignment horizontal="right" vertical="center" wrapText="1"/>
    </xf>
    <xf numFmtId="0" fontId="101" fillId="56" borderId="0" xfId="0" applyFont="1" applyFill="1" applyBorder="1" applyAlignment="1">
      <alignment vertical="center" wrapText="1"/>
    </xf>
    <xf numFmtId="0" fontId="101" fillId="56" borderId="20" xfId="0" applyFont="1" applyFill="1" applyBorder="1" applyAlignment="1">
      <alignment horizontal="center" vertical="center" wrapText="1"/>
    </xf>
    <xf numFmtId="181" fontId="101" fillId="56" borderId="0" xfId="0" applyNumberFormat="1" applyFont="1" applyFill="1" applyBorder="1" applyAlignment="1">
      <alignment vertical="center" wrapText="1"/>
    </xf>
    <xf numFmtId="1" fontId="101" fillId="56" borderId="0" xfId="0" applyNumberFormat="1" applyFont="1" applyFill="1" applyBorder="1" applyAlignment="1">
      <alignment vertical="center" wrapText="1"/>
    </xf>
    <xf numFmtId="0" fontId="104" fillId="56" borderId="0" xfId="0" applyFont="1" applyFill="1" applyBorder="1" applyAlignment="1">
      <alignment vertical="center" wrapText="1"/>
    </xf>
    <xf numFmtId="17" fontId="105" fillId="56" borderId="20" xfId="0" applyNumberFormat="1" applyFont="1" applyFill="1" applyBorder="1" applyAlignment="1">
      <alignment horizontal="center" vertical="center" wrapText="1"/>
    </xf>
    <xf numFmtId="0" fontId="105" fillId="56" borderId="0" xfId="0" applyFont="1" applyFill="1" applyBorder="1" applyAlignment="1">
      <alignment vertical="center" wrapText="1"/>
    </xf>
    <xf numFmtId="3" fontId="95" fillId="56" borderId="20" xfId="107" applyNumberFormat="1" applyFont="1" applyFill="1" applyBorder="1" applyAlignment="1">
      <alignment horizontal="right" vertical="center" wrapText="1"/>
    </xf>
    <xf numFmtId="0" fontId="95" fillId="56" borderId="20" xfId="0" applyFont="1" applyFill="1" applyBorder="1" applyAlignment="1">
      <alignment horizontal="right" vertical="center" wrapText="1"/>
    </xf>
    <xf numFmtId="181" fontId="95" fillId="56" borderId="0" xfId="0" applyNumberFormat="1" applyFont="1" applyFill="1" applyBorder="1" applyAlignment="1">
      <alignment vertical="center" wrapText="1"/>
    </xf>
    <xf numFmtId="1" fontId="95" fillId="56" borderId="0" xfId="0" applyNumberFormat="1" applyFont="1" applyFill="1" applyBorder="1" applyAlignment="1">
      <alignment vertical="center" wrapText="1"/>
    </xf>
    <xf numFmtId="0" fontId="95" fillId="56" borderId="20" xfId="0" applyNumberFormat="1" applyFont="1" applyFill="1" applyBorder="1" applyAlignment="1">
      <alignment horizontal="center" vertical="center" wrapText="1"/>
    </xf>
    <xf numFmtId="0" fontId="95" fillId="56" borderId="20" xfId="81" applyNumberFormat="1" applyFont="1" applyFill="1" applyBorder="1" applyAlignment="1">
      <alignment horizontal="center" vertical="center" wrapText="1"/>
    </xf>
    <xf numFmtId="179" fontId="95" fillId="56" borderId="20" xfId="0" applyNumberFormat="1" applyFont="1" applyFill="1" applyBorder="1" applyAlignment="1">
      <alignment horizontal="center" vertical="center" wrapText="1"/>
    </xf>
    <xf numFmtId="179" fontId="95" fillId="0" borderId="20" xfId="0" applyNumberFormat="1" applyFont="1" applyFill="1" applyBorder="1" applyAlignment="1">
      <alignment horizontal="center" vertical="center" wrapText="1"/>
    </xf>
    <xf numFmtId="167" fontId="24" fillId="56" borderId="0" xfId="81" applyNumberFormat="1" applyFont="1" applyFill="1" applyBorder="1" applyAlignment="1">
      <alignment horizontal="center" vertical="center" wrapText="1"/>
    </xf>
    <xf numFmtId="3" fontId="95" fillId="56" borderId="0" xfId="107" applyNumberFormat="1" applyFont="1" applyFill="1" applyBorder="1" applyAlignment="1">
      <alignment horizontal="right" vertical="center" wrapText="1"/>
    </xf>
    <xf numFmtId="0" fontId="95" fillId="58" borderId="20" xfId="0" applyFont="1" applyFill="1" applyBorder="1" applyAlignment="1">
      <alignment horizontal="left" vertical="center" wrapText="1"/>
    </xf>
    <xf numFmtId="4" fontId="106" fillId="0" borderId="20" xfId="0" applyNumberFormat="1" applyFont="1" applyFill="1" applyBorder="1" applyAlignment="1">
      <alignment horizontal="right" vertical="center" wrapText="1"/>
    </xf>
    <xf numFmtId="0" fontId="95" fillId="0" borderId="0" xfId="0" applyFont="1" applyAlignment="1">
      <alignment vertical="center" wrapText="1"/>
    </xf>
    <xf numFmtId="0" fontId="95" fillId="58" borderId="20" xfId="0" applyFont="1" applyFill="1" applyBorder="1" applyAlignment="1">
      <alignment vertical="center" wrapText="1"/>
    </xf>
    <xf numFmtId="0" fontId="95" fillId="58" borderId="20" xfId="0" applyNumberFormat="1" applyFont="1" applyFill="1" applyBorder="1" applyAlignment="1">
      <alignment horizontal="right" vertical="center" wrapText="1"/>
    </xf>
    <xf numFmtId="181" fontId="95" fillId="0" borderId="0" xfId="0" applyNumberFormat="1" applyFont="1" applyFill="1" applyBorder="1" applyAlignment="1">
      <alignment vertical="center" wrapText="1"/>
    </xf>
    <xf numFmtId="1" fontId="95" fillId="0" borderId="0" xfId="0" applyNumberFormat="1" applyFont="1" applyFill="1" applyBorder="1" applyAlignment="1">
      <alignment vertical="center" wrapText="1"/>
    </xf>
    <xf numFmtId="0" fontId="95" fillId="58" borderId="20" xfId="0" applyFont="1" applyFill="1" applyBorder="1" applyAlignment="1">
      <alignment horizontal="right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95" fillId="0" borderId="20" xfId="0" applyFont="1" applyFill="1" applyBorder="1" applyAlignment="1">
      <alignment vertical="center" wrapText="1"/>
    </xf>
    <xf numFmtId="0" fontId="95" fillId="0" borderId="20" xfId="0" applyNumberFormat="1" applyFont="1" applyFill="1" applyBorder="1" applyAlignment="1">
      <alignment horizontal="center" vertical="center" wrapText="1"/>
    </xf>
    <xf numFmtId="0" fontId="95" fillId="0" borderId="20" xfId="81" applyNumberFormat="1" applyFont="1" applyFill="1" applyBorder="1" applyAlignment="1">
      <alignment horizontal="center" vertical="center" wrapText="1"/>
    </xf>
    <xf numFmtId="17" fontId="95" fillId="0" borderId="20" xfId="0" applyNumberFormat="1" applyFont="1" applyFill="1" applyBorder="1" applyAlignment="1">
      <alignment horizontal="center" vertical="center" wrapText="1"/>
    </xf>
    <xf numFmtId="0" fontId="95" fillId="59" borderId="0" xfId="0" applyFont="1" applyFill="1" applyAlignment="1">
      <alignment vertical="center" wrapText="1"/>
    </xf>
    <xf numFmtId="3" fontId="95" fillId="59" borderId="20" xfId="107" applyNumberFormat="1" applyFont="1" applyFill="1" applyBorder="1" applyAlignment="1">
      <alignment horizontal="right" vertical="center" wrapText="1"/>
    </xf>
    <xf numFmtId="0" fontId="95" fillId="59" borderId="0" xfId="0" applyFont="1" applyFill="1" applyBorder="1" applyAlignment="1">
      <alignment vertical="center" wrapText="1"/>
    </xf>
    <xf numFmtId="0" fontId="95" fillId="59" borderId="20" xfId="0" applyFont="1" applyFill="1" applyBorder="1" applyAlignment="1">
      <alignment horizontal="right" vertical="center" wrapText="1"/>
    </xf>
    <xf numFmtId="181" fontId="95" fillId="59" borderId="0" xfId="0" applyNumberFormat="1" applyFont="1" applyFill="1" applyBorder="1" applyAlignment="1">
      <alignment vertical="center" wrapText="1"/>
    </xf>
    <xf numFmtId="1" fontId="95" fillId="59" borderId="0" xfId="0" applyNumberFormat="1" applyFont="1" applyFill="1" applyBorder="1" applyAlignment="1">
      <alignment vertical="center" wrapText="1"/>
    </xf>
    <xf numFmtId="2" fontId="95" fillId="0" borderId="20" xfId="0" applyNumberFormat="1" applyFont="1" applyFill="1" applyBorder="1" applyAlignment="1">
      <alignment horizontal="center" vertical="center" wrapText="1"/>
    </xf>
    <xf numFmtId="0" fontId="101" fillId="56" borderId="20" xfId="0" applyNumberFormat="1" applyFont="1" applyFill="1" applyBorder="1" applyAlignment="1">
      <alignment horizontal="center" vertical="center" wrapText="1"/>
    </xf>
    <xf numFmtId="0" fontId="95" fillId="56" borderId="20" xfId="0" applyNumberFormat="1" applyFont="1" applyFill="1" applyBorder="1" applyAlignment="1">
      <alignment horizontal="center" vertical="center" wrapText="1"/>
    </xf>
    <xf numFmtId="0" fontId="95" fillId="56" borderId="20" xfId="0" applyFont="1" applyFill="1" applyBorder="1" applyAlignment="1">
      <alignment horizontal="left" vertical="center" wrapText="1"/>
    </xf>
    <xf numFmtId="0" fontId="95" fillId="0" borderId="0" xfId="0" applyFont="1" applyFill="1" applyAlignment="1">
      <alignment vertical="center" wrapText="1"/>
    </xf>
    <xf numFmtId="0" fontId="95" fillId="56" borderId="20" xfId="0" applyFont="1" applyFill="1" applyBorder="1" applyAlignment="1">
      <alignment vertical="center" wrapText="1"/>
    </xf>
    <xf numFmtId="0" fontId="95" fillId="56" borderId="20" xfId="0" applyFont="1" applyFill="1" applyBorder="1" applyAlignment="1">
      <alignment horizontal="justify" vertical="center" wrapText="1"/>
    </xf>
    <xf numFmtId="0" fontId="95" fillId="56" borderId="0" xfId="0" applyFont="1" applyFill="1" applyAlignment="1">
      <alignment vertical="center" wrapText="1"/>
    </xf>
    <xf numFmtId="0" fontId="107" fillId="0" borderId="20" xfId="122" applyFont="1" applyFill="1" applyBorder="1" applyAlignment="1">
      <alignment vertical="center" wrapText="1"/>
      <protection/>
    </xf>
    <xf numFmtId="0" fontId="107" fillId="56" borderId="20" xfId="122" applyFont="1" applyFill="1" applyBorder="1" applyAlignment="1">
      <alignment vertical="center" wrapText="1"/>
      <protection/>
    </xf>
    <xf numFmtId="4" fontId="106" fillId="56" borderId="20" xfId="0" applyNumberFormat="1" applyFont="1" applyFill="1" applyBorder="1" applyAlignment="1">
      <alignment horizontal="right" vertical="center" wrapText="1"/>
    </xf>
    <xf numFmtId="17" fontId="95" fillId="56" borderId="20" xfId="0" applyNumberFormat="1" applyFont="1" applyFill="1" applyBorder="1" applyAlignment="1">
      <alignment horizontal="center" vertical="center" wrapText="1"/>
    </xf>
    <xf numFmtId="0" fontId="107" fillId="56" borderId="20" xfId="122" applyFont="1" applyFill="1" applyBorder="1" applyAlignment="1">
      <alignment horizontal="center" vertical="center" wrapText="1"/>
      <protection/>
    </xf>
    <xf numFmtId="3" fontId="24" fillId="0" borderId="0" xfId="107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24" fillId="56" borderId="0" xfId="0" applyFont="1" applyFill="1" applyBorder="1" applyAlignment="1">
      <alignment vertical="center" wrapText="1"/>
    </xf>
    <xf numFmtId="0" fontId="24" fillId="56" borderId="20" xfId="0" applyFont="1" applyFill="1" applyBorder="1" applyAlignment="1">
      <alignment horizontal="center" vertical="center" wrapText="1"/>
    </xf>
    <xf numFmtId="3" fontId="24" fillId="56" borderId="20" xfId="107" applyNumberFormat="1" applyFont="1" applyFill="1" applyBorder="1" applyAlignment="1">
      <alignment horizontal="right" vertical="center" wrapText="1"/>
    </xf>
    <xf numFmtId="0" fontId="104" fillId="0" borderId="20" xfId="0" applyFont="1" applyFill="1" applyBorder="1" applyAlignment="1">
      <alignment vertical="center" wrapText="1"/>
    </xf>
    <xf numFmtId="0" fontId="95" fillId="0" borderId="20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 vertical="center"/>
    </xf>
    <xf numFmtId="0" fontId="103" fillId="0" borderId="0" xfId="0" applyFont="1" applyFill="1" applyAlignment="1">
      <alignment vertical="center" wrapText="1"/>
    </xf>
    <xf numFmtId="3" fontId="103" fillId="56" borderId="20" xfId="107" applyNumberFormat="1" applyFont="1" applyFill="1" applyBorder="1" applyAlignment="1">
      <alignment horizontal="right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109" fillId="56" borderId="20" xfId="0" applyNumberFormat="1" applyFont="1" applyFill="1" applyBorder="1" applyAlignment="1">
      <alignment horizontal="center" vertical="center" wrapText="1"/>
    </xf>
    <xf numFmtId="43" fontId="100" fillId="0" borderId="20" xfId="81" applyNumberFormat="1" applyFont="1" applyFill="1" applyBorder="1" applyAlignment="1">
      <alignment vertical="center" wrapText="1"/>
    </xf>
    <xf numFmtId="17" fontId="95" fillId="56" borderId="20" xfId="0" applyNumberFormat="1" applyFont="1" applyFill="1" applyBorder="1" applyAlignment="1">
      <alignment horizontal="center" vertical="center" wrapText="1"/>
    </xf>
    <xf numFmtId="3" fontId="95" fillId="56" borderId="20" xfId="0" applyNumberFormat="1" applyFont="1" applyFill="1" applyBorder="1" applyAlignment="1">
      <alignment horizontal="center" vertical="center" wrapText="1"/>
    </xf>
    <xf numFmtId="0" fontId="27" fillId="59" borderId="20" xfId="0" applyFont="1" applyFill="1" applyBorder="1" applyAlignment="1">
      <alignment horizontal="center" vertical="center" wrapText="1"/>
    </xf>
    <xf numFmtId="0" fontId="27" fillId="56" borderId="20" xfId="0" applyFon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 vertical="center" wrapText="1"/>
    </xf>
    <xf numFmtId="0" fontId="89" fillId="56" borderId="0" xfId="0" applyFont="1" applyFill="1" applyBorder="1" applyAlignment="1">
      <alignment vertical="center" wrapText="1"/>
    </xf>
    <xf numFmtId="17" fontId="110" fillId="56" borderId="20" xfId="0" applyNumberFormat="1" applyFont="1" applyFill="1" applyBorder="1" applyAlignment="1">
      <alignment horizontal="center" vertical="center" wrapText="1"/>
    </xf>
    <xf numFmtId="0" fontId="110" fillId="56" borderId="0" xfId="0" applyFont="1" applyFill="1" applyBorder="1" applyAlignment="1">
      <alignment vertical="center" wrapText="1"/>
    </xf>
    <xf numFmtId="0" fontId="111" fillId="56" borderId="0" xfId="0" applyFont="1" applyFill="1" applyBorder="1" applyAlignment="1">
      <alignment vertical="center" wrapText="1"/>
    </xf>
    <xf numFmtId="0" fontId="112" fillId="0" borderId="0" xfId="0" applyFont="1" applyAlignment="1">
      <alignment vertical="center" wrapText="1"/>
    </xf>
    <xf numFmtId="0" fontId="112" fillId="0" borderId="0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17" fontId="95" fillId="56" borderId="20" xfId="0" applyNumberFormat="1" applyFont="1" applyFill="1" applyBorder="1" applyAlignment="1">
      <alignment horizontal="center" vertical="center" wrapText="1"/>
    </xf>
    <xf numFmtId="17" fontId="101" fillId="56" borderId="20" xfId="0" applyNumberFormat="1" applyFont="1" applyFill="1" applyBorder="1" applyAlignment="1">
      <alignment horizontal="center" vertical="center" wrapText="1"/>
    </xf>
    <xf numFmtId="3" fontId="97" fillId="56" borderId="2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 applyProtection="1">
      <alignment vertical="center"/>
      <protection/>
    </xf>
    <xf numFmtId="3" fontId="87" fillId="0" borderId="0" xfId="81" applyNumberFormat="1" applyFont="1" applyAlignment="1">
      <alignment vertical="center"/>
    </xf>
    <xf numFmtId="3" fontId="88" fillId="0" borderId="0" xfId="0" applyNumberFormat="1" applyFont="1" applyAlignment="1">
      <alignment vertical="center"/>
    </xf>
    <xf numFmtId="3" fontId="98" fillId="0" borderId="32" xfId="0" applyNumberFormat="1" applyFont="1" applyFill="1" applyBorder="1" applyAlignment="1">
      <alignment horizontal="left" vertical="center"/>
    </xf>
    <xf numFmtId="3" fontId="19" fillId="57" borderId="20" xfId="81" applyNumberFormat="1" applyFont="1" applyFill="1" applyBorder="1" applyAlignment="1">
      <alignment horizontal="center" vertical="center" wrapText="1"/>
    </xf>
    <xf numFmtId="3" fontId="113" fillId="56" borderId="20" xfId="0" applyNumberFormat="1" applyFont="1" applyFill="1" applyBorder="1" applyAlignment="1">
      <alignment horizontal="right" vertical="center" wrapText="1"/>
    </xf>
    <xf numFmtId="3" fontId="113" fillId="0" borderId="20" xfId="0" applyNumberFormat="1" applyFont="1" applyFill="1" applyBorder="1" applyAlignment="1">
      <alignment horizontal="right" vertical="center" wrapText="1"/>
    </xf>
    <xf numFmtId="3" fontId="106" fillId="56" borderId="20" xfId="0" applyNumberFormat="1" applyFont="1" applyFill="1" applyBorder="1" applyAlignment="1">
      <alignment horizontal="right" vertical="center" wrapText="1"/>
    </xf>
    <xf numFmtId="3" fontId="97" fillId="56" borderId="0" xfId="0" applyNumberFormat="1" applyFont="1" applyFill="1" applyBorder="1" applyAlignment="1">
      <alignment horizontal="right" vertical="center" wrapText="1"/>
    </xf>
    <xf numFmtId="3" fontId="27" fillId="0" borderId="0" xfId="81" applyNumberFormat="1" applyFont="1" applyAlignment="1">
      <alignment horizontal="right" vertical="center" wrapText="1"/>
    </xf>
    <xf numFmtId="3" fontId="89" fillId="0" borderId="0" xfId="81" applyNumberFormat="1" applyFont="1" applyFill="1" applyBorder="1" applyAlignment="1">
      <alignment vertical="center" wrapText="1"/>
    </xf>
    <xf numFmtId="3" fontId="87" fillId="0" borderId="0" xfId="81" applyNumberFormat="1" applyFont="1" applyAlignment="1">
      <alignment vertical="center" wrapText="1"/>
    </xf>
    <xf numFmtId="3" fontId="87" fillId="0" borderId="0" xfId="0" applyNumberFormat="1" applyFont="1" applyAlignment="1">
      <alignment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3" fontId="89" fillId="0" borderId="0" xfId="81" applyNumberFormat="1" applyFont="1" applyAlignment="1">
      <alignment vertical="center" wrapText="1"/>
    </xf>
    <xf numFmtId="3" fontId="87" fillId="56" borderId="0" xfId="107" applyNumberFormat="1" applyFont="1" applyFill="1" applyBorder="1" applyAlignment="1">
      <alignment horizontal="right" vertical="center" wrapText="1"/>
    </xf>
    <xf numFmtId="0" fontId="95" fillId="56" borderId="20" xfId="0" applyNumberFormat="1" applyFont="1" applyFill="1" applyBorder="1" applyAlignment="1">
      <alignment vertical="center" wrapText="1"/>
    </xf>
    <xf numFmtId="0" fontId="104" fillId="0" borderId="0" xfId="0" applyFont="1" applyFill="1" applyBorder="1" applyAlignment="1">
      <alignment vertical="center" wrapText="1"/>
    </xf>
    <xf numFmtId="3" fontId="44" fillId="58" borderId="29" xfId="0" applyNumberFormat="1" applyFont="1" applyFill="1" applyBorder="1" applyAlignment="1">
      <alignment horizontal="right" vertical="center" wrapText="1"/>
    </xf>
    <xf numFmtId="3" fontId="92" fillId="58" borderId="29" xfId="0" applyNumberFormat="1" applyFont="1" applyFill="1" applyBorder="1" applyAlignment="1">
      <alignment horizontal="right" vertical="center" wrapText="1"/>
    </xf>
    <xf numFmtId="182" fontId="27" fillId="0" borderId="0" xfId="122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Border="1" applyAlignment="1" applyProtection="1">
      <alignment vertical="center"/>
      <protection/>
    </xf>
    <xf numFmtId="182" fontId="87" fillId="0" borderId="0" xfId="0" applyNumberFormat="1" applyFont="1" applyAlignment="1">
      <alignment vertical="center"/>
    </xf>
    <xf numFmtId="182" fontId="24" fillId="0" borderId="0" xfId="0" applyNumberFormat="1" applyFont="1" applyAlignment="1">
      <alignment vertical="center"/>
    </xf>
    <xf numFmtId="182" fontId="19" fillId="57" borderId="20" xfId="121" applyNumberFormat="1" applyFont="1" applyFill="1" applyBorder="1" applyAlignment="1">
      <alignment horizontal="center" vertical="center" wrapText="1"/>
      <protection/>
    </xf>
    <xf numFmtId="182" fontId="95" fillId="56" borderId="20" xfId="0" applyNumberFormat="1" applyFont="1" applyFill="1" applyBorder="1" applyAlignment="1">
      <alignment horizontal="center" vertical="center" wrapText="1"/>
    </xf>
    <xf numFmtId="182" fontId="95" fillId="0" borderId="20" xfId="0" applyNumberFormat="1" applyFont="1" applyFill="1" applyBorder="1" applyAlignment="1">
      <alignment horizontal="center" vertical="center" wrapText="1"/>
    </xf>
    <xf numFmtId="182" fontId="87" fillId="0" borderId="0" xfId="0" applyNumberFormat="1" applyFont="1" applyAlignment="1">
      <alignment vertical="center" wrapText="1"/>
    </xf>
    <xf numFmtId="182" fontId="24" fillId="0" borderId="0" xfId="121" applyNumberFormat="1" applyFont="1" applyFill="1" applyBorder="1" applyAlignment="1">
      <alignment vertical="center" wrapText="1"/>
      <protection/>
    </xf>
    <xf numFmtId="182" fontId="95" fillId="56" borderId="20" xfId="134" applyNumberFormat="1" applyFont="1" applyFill="1" applyBorder="1" applyAlignment="1">
      <alignment horizontal="center" vertical="center" wrapText="1"/>
    </xf>
    <xf numFmtId="182" fontId="95" fillId="56" borderId="20" xfId="0" applyNumberFormat="1" applyFont="1" applyFill="1" applyBorder="1" applyAlignment="1">
      <alignment horizontal="justify" vertical="center" wrapText="1"/>
    </xf>
    <xf numFmtId="182" fontId="90" fillId="0" borderId="0" xfId="135" applyNumberFormat="1" applyFont="1" applyFill="1" applyBorder="1" applyAlignment="1">
      <alignment horizontal="center" vertical="center" wrapText="1"/>
    </xf>
    <xf numFmtId="182" fontId="95" fillId="56" borderId="20" xfId="123" applyNumberFormat="1" applyFont="1" applyFill="1" applyBorder="1" applyAlignment="1" applyProtection="1">
      <alignment horizontal="center" vertical="center" wrapText="1"/>
      <protection locked="0"/>
    </xf>
    <xf numFmtId="182" fontId="31" fillId="57" borderId="20" xfId="122" applyNumberFormat="1" applyFont="1" applyFill="1" applyBorder="1" applyAlignment="1">
      <alignment horizontal="center" vertical="center" wrapText="1"/>
      <protection/>
    </xf>
    <xf numFmtId="182" fontId="33" fillId="0" borderId="0" xfId="122" applyNumberFormat="1" applyFont="1" applyFill="1" applyBorder="1" applyAlignment="1">
      <alignment vertical="center" wrapText="1"/>
      <protection/>
    </xf>
    <xf numFmtId="182" fontId="19" fillId="57" borderId="20" xfId="122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89" fillId="0" borderId="0" xfId="0" applyNumberFormat="1" applyFont="1" applyFill="1" applyBorder="1" applyAlignment="1">
      <alignment horizontal="left" vertical="center" wrapText="1"/>
    </xf>
    <xf numFmtId="182" fontId="24" fillId="0" borderId="0" xfId="0" applyNumberFormat="1" applyFont="1" applyFill="1" applyBorder="1" applyAlignment="1">
      <alignment horizontal="left" vertical="center" wrapText="1"/>
    </xf>
    <xf numFmtId="182" fontId="89" fillId="0" borderId="0" xfId="0" applyNumberFormat="1" applyFont="1" applyFill="1" applyBorder="1" applyAlignment="1">
      <alignment vertical="center" wrapText="1"/>
    </xf>
    <xf numFmtId="182" fontId="89" fillId="0" borderId="0" xfId="0" applyNumberFormat="1" applyFont="1" applyAlignment="1">
      <alignment vertical="center" wrapText="1"/>
    </xf>
    <xf numFmtId="182" fontId="87" fillId="0" borderId="32" xfId="0" applyNumberFormat="1" applyFont="1" applyFill="1" applyBorder="1" applyAlignment="1">
      <alignment vertical="center"/>
    </xf>
    <xf numFmtId="182" fontId="98" fillId="0" borderId="32" xfId="0" applyNumberFormat="1" applyFont="1" applyFill="1" applyBorder="1" applyAlignment="1">
      <alignment horizontal="left" vertical="center"/>
    </xf>
    <xf numFmtId="182" fontId="87" fillId="0" borderId="0" xfId="0" applyNumberFormat="1" applyFont="1" applyAlignment="1">
      <alignment horizontal="center" vertical="center" wrapText="1"/>
    </xf>
    <xf numFmtId="182" fontId="24" fillId="0" borderId="0" xfId="121" applyNumberFormat="1" applyFont="1" applyFill="1" applyBorder="1" applyAlignment="1">
      <alignment horizontal="center" vertical="center" wrapText="1"/>
      <protection/>
    </xf>
    <xf numFmtId="182" fontId="33" fillId="0" borderId="0" xfId="122" applyNumberFormat="1" applyFont="1" applyFill="1" applyBorder="1" applyAlignment="1">
      <alignment horizontal="center" vertical="center" wrapText="1"/>
      <protection/>
    </xf>
    <xf numFmtId="9" fontId="95" fillId="56" borderId="20" xfId="0" applyNumberFormat="1" applyFont="1" applyFill="1" applyBorder="1" applyAlignment="1">
      <alignment horizontal="center" vertical="center" wrapText="1"/>
    </xf>
    <xf numFmtId="10" fontId="27" fillId="0" borderId="0" xfId="134" applyNumberFormat="1" applyFont="1" applyFill="1" applyBorder="1" applyAlignment="1">
      <alignment horizontal="center" vertical="center" wrapText="1"/>
    </xf>
    <xf numFmtId="10" fontId="27" fillId="0" borderId="0" xfId="122" applyNumberFormat="1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 horizontal="center"/>
    </xf>
    <xf numFmtId="182" fontId="24" fillId="56" borderId="20" xfId="134" applyNumberFormat="1" applyFont="1" applyFill="1" applyBorder="1" applyAlignment="1">
      <alignment horizontal="center" vertical="center" wrapText="1"/>
    </xf>
    <xf numFmtId="0" fontId="104" fillId="60" borderId="20" xfId="0" applyFont="1" applyFill="1" applyBorder="1" applyAlignment="1">
      <alignment horizontal="center" vertical="center" wrapText="1"/>
    </xf>
    <xf numFmtId="182" fontId="27" fillId="56" borderId="20" xfId="0" applyNumberFormat="1" applyFont="1" applyFill="1" applyBorder="1" applyAlignment="1">
      <alignment horizontal="center" vertical="center" wrapText="1"/>
    </xf>
    <xf numFmtId="0" fontId="101" fillId="60" borderId="20" xfId="0" applyFont="1" applyFill="1" applyBorder="1" applyAlignment="1">
      <alignment horizontal="center" vertical="center" wrapText="1"/>
    </xf>
    <xf numFmtId="17" fontId="101" fillId="60" borderId="20" xfId="0" applyNumberFormat="1" applyFont="1" applyFill="1" applyBorder="1" applyAlignment="1">
      <alignment horizontal="center" vertical="center" wrapText="1"/>
    </xf>
    <xf numFmtId="0" fontId="24" fillId="60" borderId="20" xfId="0" applyFont="1" applyFill="1" applyBorder="1" applyAlignment="1">
      <alignment horizontal="center" vertical="center" wrapText="1"/>
    </xf>
    <xf numFmtId="0" fontId="24" fillId="60" borderId="0" xfId="0" applyFont="1" applyFill="1" applyBorder="1" applyAlignment="1">
      <alignment vertical="center" wrapText="1"/>
    </xf>
    <xf numFmtId="0" fontId="95" fillId="60" borderId="20" xfId="0" applyFont="1" applyFill="1" applyBorder="1" applyAlignment="1">
      <alignment horizontal="center" vertical="center" wrapText="1"/>
    </xf>
    <xf numFmtId="0" fontId="95" fillId="60" borderId="0" xfId="0" applyFont="1" applyFill="1" applyBorder="1" applyAlignment="1">
      <alignment vertical="center" wrapText="1"/>
    </xf>
    <xf numFmtId="0" fontId="105" fillId="60" borderId="20" xfId="0" applyFont="1" applyFill="1" applyBorder="1" applyAlignment="1">
      <alignment horizontal="center" vertical="center" wrapText="1"/>
    </xf>
    <xf numFmtId="17" fontId="105" fillId="60" borderId="20" xfId="0" applyNumberFormat="1" applyFont="1" applyFill="1" applyBorder="1" applyAlignment="1">
      <alignment horizontal="center" vertical="center" wrapText="1"/>
    </xf>
    <xf numFmtId="0" fontId="105" fillId="60" borderId="0" xfId="0" applyFont="1" applyFill="1" applyBorder="1" applyAlignment="1">
      <alignment vertical="center" wrapText="1"/>
    </xf>
    <xf numFmtId="0" fontId="101" fillId="60" borderId="0" xfId="0" applyFont="1" applyFill="1" applyBorder="1" applyAlignment="1">
      <alignment vertical="center" wrapText="1"/>
    </xf>
    <xf numFmtId="3" fontId="101" fillId="60" borderId="20" xfId="107" applyNumberFormat="1" applyFont="1" applyFill="1" applyBorder="1" applyAlignment="1">
      <alignment horizontal="right" vertical="center" wrapText="1"/>
    </xf>
    <xf numFmtId="3" fontId="104" fillId="60" borderId="20" xfId="107" applyNumberFormat="1" applyFont="1" applyFill="1" applyBorder="1" applyAlignment="1">
      <alignment horizontal="right" vertical="center" wrapText="1"/>
    </xf>
    <xf numFmtId="0" fontId="87" fillId="60" borderId="0" xfId="0" applyFont="1" applyFill="1" applyBorder="1" applyAlignment="1">
      <alignment vertical="center" wrapText="1"/>
    </xf>
    <xf numFmtId="17" fontId="110" fillId="56" borderId="33" xfId="0" applyNumberFormat="1" applyFont="1" applyFill="1" applyBorder="1" applyAlignment="1">
      <alignment horizontal="center" vertical="center" wrapText="1"/>
    </xf>
    <xf numFmtId="0" fontId="103" fillId="60" borderId="20" xfId="0" applyFont="1" applyFill="1" applyBorder="1" applyAlignment="1">
      <alignment horizontal="center" vertical="center" wrapText="1"/>
    </xf>
    <xf numFmtId="3" fontId="103" fillId="60" borderId="20" xfId="107" applyNumberFormat="1" applyFont="1" applyFill="1" applyBorder="1" applyAlignment="1">
      <alignment horizontal="right" vertical="center" wrapText="1"/>
    </xf>
    <xf numFmtId="0" fontId="103" fillId="60" borderId="20" xfId="0" applyFont="1" applyFill="1" applyBorder="1" applyAlignment="1">
      <alignment vertical="center" wrapText="1"/>
    </xf>
    <xf numFmtId="0" fontId="27" fillId="59" borderId="33" xfId="0" applyFont="1" applyFill="1" applyBorder="1" applyAlignment="1">
      <alignment horizontal="center" vertical="center" wrapText="1"/>
    </xf>
    <xf numFmtId="0" fontId="27" fillId="59" borderId="29" xfId="0" applyFont="1" applyFill="1" applyBorder="1" applyAlignment="1">
      <alignment horizontal="center" vertical="center" wrapText="1"/>
    </xf>
    <xf numFmtId="0" fontId="87" fillId="60" borderId="0" xfId="0" applyFont="1" applyFill="1" applyAlignment="1">
      <alignment vertical="center" wrapText="1"/>
    </xf>
    <xf numFmtId="178" fontId="87" fillId="0" borderId="0" xfId="0" applyNumberFormat="1" applyFont="1" applyAlignment="1">
      <alignment vertical="center" wrapText="1"/>
    </xf>
    <xf numFmtId="0" fontId="95" fillId="61" borderId="0" xfId="0" applyFont="1" applyFill="1" applyBorder="1" applyAlignment="1">
      <alignment vertical="center" wrapText="1"/>
    </xf>
    <xf numFmtId="0" fontId="101" fillId="61" borderId="20" xfId="0" applyFont="1" applyFill="1" applyBorder="1" applyAlignment="1">
      <alignment horizontal="center" vertical="center" wrapText="1"/>
    </xf>
    <xf numFmtId="0" fontId="101" fillId="61" borderId="0" xfId="0" applyFont="1" applyFill="1" applyBorder="1" applyAlignment="1">
      <alignment vertical="center" wrapText="1"/>
    </xf>
    <xf numFmtId="0" fontId="104" fillId="60" borderId="20" xfId="0" applyFont="1" applyFill="1" applyBorder="1" applyAlignment="1">
      <alignment vertical="center" wrapText="1"/>
    </xf>
    <xf numFmtId="0" fontId="101" fillId="60" borderId="20" xfId="0" applyFont="1" applyFill="1" applyBorder="1" applyAlignment="1">
      <alignment vertical="center" wrapText="1"/>
    </xf>
    <xf numFmtId="17" fontId="105" fillId="45" borderId="20" xfId="0" applyNumberFormat="1" applyFont="1" applyFill="1" applyBorder="1" applyAlignment="1">
      <alignment horizontal="center" vertical="center" wrapText="1"/>
    </xf>
    <xf numFmtId="0" fontId="105" fillId="45" borderId="0" xfId="0" applyFont="1" applyFill="1" applyBorder="1" applyAlignment="1">
      <alignment vertical="center" wrapText="1"/>
    </xf>
    <xf numFmtId="0" fontId="95" fillId="45" borderId="0" xfId="0" applyFont="1" applyFill="1" applyBorder="1" applyAlignment="1">
      <alignment vertical="center" wrapText="1"/>
    </xf>
    <xf numFmtId="0" fontId="19" fillId="57" borderId="20" xfId="122" applyFont="1" applyFill="1" applyBorder="1" applyAlignment="1">
      <alignment horizontal="center" vertical="center" wrapText="1"/>
      <protection/>
    </xf>
    <xf numFmtId="0" fontId="19" fillId="57" borderId="20" xfId="121" applyFont="1" applyFill="1" applyBorder="1" applyAlignment="1">
      <alignment horizontal="center" vertical="center" wrapText="1"/>
      <protection/>
    </xf>
    <xf numFmtId="17" fontId="95" fillId="56" borderId="20" xfId="0" applyNumberFormat="1" applyFont="1" applyFill="1" applyBorder="1" applyAlignment="1">
      <alignment horizontal="center" vertical="center" wrapText="1"/>
    </xf>
    <xf numFmtId="0" fontId="31" fillId="57" borderId="20" xfId="122" applyFont="1" applyFill="1" applyBorder="1" applyAlignment="1">
      <alignment horizontal="center" vertical="center" wrapText="1"/>
      <protection/>
    </xf>
    <xf numFmtId="0" fontId="8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1" fillId="56" borderId="0" xfId="0" applyFont="1" applyFill="1" applyAlignment="1">
      <alignment vertical="center" wrapText="1"/>
    </xf>
    <xf numFmtId="3" fontId="44" fillId="56" borderId="20" xfId="0" applyNumberFormat="1" applyFont="1" applyFill="1" applyBorder="1" applyAlignment="1">
      <alignment horizontal="right" vertical="center" wrapText="1"/>
    </xf>
    <xf numFmtId="3" fontId="24" fillId="56" borderId="20" xfId="0" applyNumberFormat="1" applyFont="1" applyFill="1" applyBorder="1" applyAlignment="1">
      <alignment horizontal="center" vertical="center" wrapText="1"/>
    </xf>
    <xf numFmtId="3" fontId="101" fillId="56" borderId="0" xfId="107" applyNumberFormat="1" applyFont="1" applyFill="1" applyBorder="1" applyAlignment="1">
      <alignment horizontal="right" vertical="center" wrapText="1"/>
    </xf>
    <xf numFmtId="0" fontId="87" fillId="56" borderId="20" xfId="0" applyFont="1" applyFill="1" applyBorder="1" applyAlignment="1">
      <alignment horizontal="right" vertical="center" wrapText="1"/>
    </xf>
    <xf numFmtId="0" fontId="24" fillId="56" borderId="20" xfId="0" applyFont="1" applyFill="1" applyBorder="1" applyAlignment="1">
      <alignment horizontal="right" vertical="center" wrapText="1"/>
    </xf>
    <xf numFmtId="181" fontId="24" fillId="56" borderId="0" xfId="0" applyNumberFormat="1" applyFont="1" applyFill="1" applyBorder="1" applyAlignment="1">
      <alignment vertical="center" wrapText="1"/>
    </xf>
    <xf numFmtId="1" fontId="24" fillId="56" borderId="0" xfId="0" applyNumberFormat="1" applyFont="1" applyFill="1" applyBorder="1" applyAlignment="1">
      <alignment vertical="center" wrapText="1"/>
    </xf>
    <xf numFmtId="0" fontId="24" fillId="56" borderId="0" xfId="0" applyFont="1" applyFill="1" applyAlignment="1">
      <alignment vertical="center" wrapText="1"/>
    </xf>
    <xf numFmtId="3" fontId="24" fillId="56" borderId="0" xfId="107" applyNumberFormat="1" applyFont="1" applyFill="1" applyBorder="1" applyAlignment="1">
      <alignment horizontal="right" vertical="center" wrapText="1"/>
    </xf>
    <xf numFmtId="0" fontId="24" fillId="60" borderId="0" xfId="0" applyFont="1" applyFill="1" applyAlignment="1">
      <alignment vertical="center" wrapText="1"/>
    </xf>
    <xf numFmtId="179" fontId="101" fillId="56" borderId="20" xfId="0" applyNumberFormat="1" applyFont="1" applyFill="1" applyBorder="1" applyAlignment="1">
      <alignment horizontal="center" vertical="center" wrapText="1"/>
    </xf>
    <xf numFmtId="3" fontId="97" fillId="0" borderId="20" xfId="0" applyNumberFormat="1" applyFont="1" applyFill="1" applyBorder="1" applyAlignment="1">
      <alignment horizontal="right" vertical="center" wrapText="1"/>
    </xf>
    <xf numFmtId="0" fontId="24" fillId="56" borderId="34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43" fontId="27" fillId="0" borderId="29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vertical="center" wrapText="1"/>
    </xf>
    <xf numFmtId="0" fontId="101" fillId="0" borderId="20" xfId="0" applyFont="1" applyFill="1" applyBorder="1" applyAlignment="1">
      <alignment vertical="center" wrapText="1"/>
    </xf>
    <xf numFmtId="0" fontId="114" fillId="56" borderId="2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3" fontId="115" fillId="56" borderId="20" xfId="0" applyNumberFormat="1" applyFont="1" applyFill="1" applyBorder="1" applyAlignment="1">
      <alignment horizontal="right" vertical="center" wrapText="1"/>
    </xf>
    <xf numFmtId="3" fontId="101" fillId="56" borderId="20" xfId="0" applyNumberFormat="1" applyFont="1" applyFill="1" applyBorder="1" applyAlignment="1">
      <alignment horizontal="center" vertical="center" wrapText="1"/>
    </xf>
    <xf numFmtId="178" fontId="100" fillId="0" borderId="29" xfId="81" applyNumberFormat="1" applyFont="1" applyFill="1" applyBorder="1" applyAlignment="1">
      <alignment vertical="center" wrapText="1"/>
    </xf>
    <xf numFmtId="0" fontId="87" fillId="56" borderId="20" xfId="0" applyFont="1" applyFill="1" applyBorder="1" applyAlignment="1">
      <alignment horizontal="center" vertical="center" wrapText="1"/>
    </xf>
    <xf numFmtId="43" fontId="87" fillId="56" borderId="20" xfId="81" applyFont="1" applyFill="1" applyBorder="1" applyAlignment="1">
      <alignment horizontal="center" vertical="center" wrapText="1"/>
    </xf>
    <xf numFmtId="0" fontId="87" fillId="56" borderId="20" xfId="0" applyNumberFormat="1" applyFont="1" applyFill="1" applyBorder="1" applyAlignment="1">
      <alignment horizontal="center" vertical="center" wrapText="1"/>
    </xf>
    <xf numFmtId="3" fontId="93" fillId="56" borderId="20" xfId="0" applyNumberFormat="1" applyFont="1" applyFill="1" applyBorder="1" applyAlignment="1">
      <alignment horizontal="right" vertical="center" wrapText="1"/>
    </xf>
    <xf numFmtId="9" fontId="87" fillId="56" borderId="20" xfId="0" applyNumberFormat="1" applyFont="1" applyFill="1" applyBorder="1" applyAlignment="1">
      <alignment horizontal="center" vertical="center" wrapText="1"/>
    </xf>
    <xf numFmtId="0" fontId="87" fillId="56" borderId="20" xfId="81" applyNumberFormat="1" applyFont="1" applyFill="1" applyBorder="1" applyAlignment="1">
      <alignment horizontal="center" vertical="center" wrapText="1"/>
    </xf>
    <xf numFmtId="179" fontId="87" fillId="56" borderId="20" xfId="0" applyNumberFormat="1" applyFont="1" applyFill="1" applyBorder="1" applyAlignment="1">
      <alignment horizontal="center" vertical="center" wrapText="1"/>
    </xf>
    <xf numFmtId="17" fontId="87" fillId="56" borderId="20" xfId="0" applyNumberFormat="1" applyFont="1" applyFill="1" applyBorder="1" applyAlignment="1">
      <alignment horizontal="center" vertical="center" wrapText="1"/>
    </xf>
    <xf numFmtId="0" fontId="87" fillId="56" borderId="20" xfId="0" applyNumberFormat="1" applyFont="1" applyFill="1" applyBorder="1" applyAlignment="1">
      <alignment horizontal="center" vertical="center" wrapText="1"/>
    </xf>
    <xf numFmtId="0" fontId="87" fillId="56" borderId="20" xfId="0" applyFont="1" applyFill="1" applyBorder="1" applyAlignment="1">
      <alignment vertical="center" wrapText="1"/>
    </xf>
    <xf numFmtId="3" fontId="100" fillId="56" borderId="20" xfId="0" applyNumberFormat="1" applyFont="1" applyFill="1" applyBorder="1" applyAlignment="1">
      <alignment horizontal="right" vertical="center" wrapText="1"/>
    </xf>
    <xf numFmtId="3" fontId="87" fillId="56" borderId="20" xfId="0" applyNumberFormat="1" applyFont="1" applyFill="1" applyBorder="1" applyAlignment="1">
      <alignment horizontal="center" vertical="center" wrapText="1"/>
    </xf>
    <xf numFmtId="3" fontId="114" fillId="56" borderId="20" xfId="107" applyNumberFormat="1" applyFont="1" applyFill="1" applyBorder="1" applyAlignment="1">
      <alignment horizontal="right" vertical="center" wrapText="1"/>
    </xf>
    <xf numFmtId="0" fontId="114" fillId="56" borderId="0" xfId="0" applyFont="1" applyFill="1" applyBorder="1" applyAlignment="1">
      <alignment vertical="center" wrapText="1"/>
    </xf>
    <xf numFmtId="17" fontId="95" fillId="60" borderId="20" xfId="0" applyNumberFormat="1" applyFont="1" applyFill="1" applyBorder="1" applyAlignment="1">
      <alignment horizontal="center" vertical="center" wrapText="1"/>
    </xf>
    <xf numFmtId="3" fontId="113" fillId="60" borderId="20" xfId="0" applyNumberFormat="1" applyFont="1" applyFill="1" applyBorder="1" applyAlignment="1">
      <alignment horizontal="right" vertical="center" wrapText="1"/>
    </xf>
    <xf numFmtId="0" fontId="95" fillId="60" borderId="20" xfId="81" applyNumberFormat="1" applyFont="1" applyFill="1" applyBorder="1" applyAlignment="1">
      <alignment horizontal="center" vertical="center" wrapText="1"/>
    </xf>
    <xf numFmtId="179" fontId="95" fillId="60" borderId="20" xfId="0" applyNumberFormat="1" applyFont="1" applyFill="1" applyBorder="1" applyAlignment="1">
      <alignment horizontal="center" vertical="center" wrapText="1"/>
    </xf>
    <xf numFmtId="0" fontId="87" fillId="60" borderId="20" xfId="0" applyFont="1" applyFill="1" applyBorder="1" applyAlignment="1">
      <alignment horizontal="center" vertical="center" wrapText="1"/>
    </xf>
    <xf numFmtId="0" fontId="87" fillId="60" borderId="20" xfId="0" applyNumberFormat="1" applyFont="1" applyFill="1" applyBorder="1" applyAlignment="1">
      <alignment horizontal="center" vertical="center" wrapText="1"/>
    </xf>
    <xf numFmtId="3" fontId="93" fillId="60" borderId="20" xfId="0" applyNumberFormat="1" applyFont="1" applyFill="1" applyBorder="1" applyAlignment="1">
      <alignment horizontal="right" vertical="center" wrapText="1"/>
    </xf>
    <xf numFmtId="9" fontId="87" fillId="60" borderId="20" xfId="0" applyNumberFormat="1" applyFont="1" applyFill="1" applyBorder="1" applyAlignment="1">
      <alignment horizontal="center" vertical="center" wrapText="1"/>
    </xf>
    <xf numFmtId="0" fontId="87" fillId="60" borderId="20" xfId="81" applyNumberFormat="1" applyFont="1" applyFill="1" applyBorder="1" applyAlignment="1">
      <alignment horizontal="center" vertical="center" wrapText="1"/>
    </xf>
    <xf numFmtId="179" fontId="87" fillId="60" borderId="20" xfId="0" applyNumberFormat="1" applyFont="1" applyFill="1" applyBorder="1" applyAlignment="1">
      <alignment horizontal="center" vertical="center" wrapText="1"/>
    </xf>
    <xf numFmtId="17" fontId="87" fillId="60" borderId="20" xfId="0" applyNumberFormat="1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178" fontId="96" fillId="0" borderId="20" xfId="0" applyNumberFormat="1" applyFont="1" applyFill="1" applyBorder="1" applyAlignment="1">
      <alignment vertical="center" wrapText="1"/>
    </xf>
    <xf numFmtId="3" fontId="96" fillId="0" borderId="20" xfId="0" applyNumberFormat="1" applyFont="1" applyFill="1" applyBorder="1" applyAlignment="1">
      <alignment vertical="center" wrapText="1"/>
    </xf>
    <xf numFmtId="0" fontId="27" fillId="62" borderId="20" xfId="0" applyFont="1" applyFill="1" applyBorder="1" applyAlignment="1">
      <alignment horizontal="center" vertical="center" wrapText="1"/>
    </xf>
    <xf numFmtId="43" fontId="27" fillId="62" borderId="20" xfId="81" applyFont="1" applyFill="1" applyBorder="1" applyAlignment="1">
      <alignment horizontal="center" vertical="center" wrapText="1"/>
    </xf>
    <xf numFmtId="3" fontId="92" fillId="62" borderId="20" xfId="0" applyNumberFormat="1" applyFont="1" applyFill="1" applyBorder="1" applyAlignment="1">
      <alignment horizontal="right" vertical="center" wrapText="1"/>
    </xf>
    <xf numFmtId="9" fontId="27" fillId="62" borderId="20" xfId="0" applyNumberFormat="1" applyFont="1" applyFill="1" applyBorder="1" applyAlignment="1">
      <alignment horizontal="center" vertical="center" wrapText="1"/>
    </xf>
    <xf numFmtId="0" fontId="27" fillId="62" borderId="20" xfId="81" applyNumberFormat="1" applyFont="1" applyFill="1" applyBorder="1" applyAlignment="1">
      <alignment horizontal="center" vertical="center" wrapText="1"/>
    </xf>
    <xf numFmtId="179" fontId="27" fillId="62" borderId="20" xfId="0" applyNumberFormat="1" applyFont="1" applyFill="1" applyBorder="1" applyAlignment="1">
      <alignment horizontal="center" vertical="center" wrapText="1"/>
    </xf>
    <xf numFmtId="0" fontId="27" fillId="62" borderId="20" xfId="0" applyNumberFormat="1" applyFont="1" applyFill="1" applyBorder="1" applyAlignment="1">
      <alignment horizontal="center" vertical="center" wrapText="1"/>
    </xf>
    <xf numFmtId="17" fontId="27" fillId="62" borderId="20" xfId="0" applyNumberFormat="1" applyFont="1" applyFill="1" applyBorder="1" applyAlignment="1">
      <alignment horizontal="center" vertical="center" wrapText="1"/>
    </xf>
    <xf numFmtId="0" fontId="104" fillId="62" borderId="20" xfId="0" applyFont="1" applyFill="1" applyBorder="1" applyAlignment="1">
      <alignment horizontal="center" vertical="center" wrapText="1"/>
    </xf>
    <xf numFmtId="0" fontId="104" fillId="62" borderId="0" xfId="0" applyFont="1" applyFill="1" applyBorder="1" applyAlignment="1">
      <alignment vertical="center" wrapText="1"/>
    </xf>
    <xf numFmtId="3" fontId="44" fillId="62" borderId="20" xfId="0" applyNumberFormat="1" applyFont="1" applyFill="1" applyBorder="1" applyAlignment="1">
      <alignment horizontal="right" vertical="center" wrapText="1"/>
    </xf>
    <xf numFmtId="0" fontId="24" fillId="59" borderId="0" xfId="0" applyFont="1" applyFill="1" applyBorder="1" applyAlignment="1">
      <alignment vertical="center" wrapText="1"/>
    </xf>
    <xf numFmtId="179" fontId="87" fillId="0" borderId="20" xfId="0" applyNumberFormat="1" applyFont="1" applyFill="1" applyBorder="1" applyAlignment="1">
      <alignment horizontal="center" vertical="center" wrapText="1"/>
    </xf>
    <xf numFmtId="3" fontId="93" fillId="0" borderId="20" xfId="0" applyNumberFormat="1" applyFont="1" applyFill="1" applyBorder="1" applyAlignment="1">
      <alignment horizontal="right" vertical="center" wrapText="1"/>
    </xf>
    <xf numFmtId="0" fontId="87" fillId="0" borderId="20" xfId="81" applyNumberFormat="1" applyFont="1" applyFill="1" applyBorder="1" applyAlignment="1">
      <alignment horizontal="center" vertical="center" wrapText="1"/>
    </xf>
    <xf numFmtId="17" fontId="87" fillId="0" borderId="20" xfId="0" applyNumberFormat="1" applyFont="1" applyFill="1" applyBorder="1" applyAlignment="1">
      <alignment horizontal="center" vertical="center" wrapText="1"/>
    </xf>
    <xf numFmtId="0" fontId="87" fillId="59" borderId="20" xfId="0" applyFont="1" applyFill="1" applyBorder="1" applyAlignment="1">
      <alignment horizontal="center" vertical="center" wrapText="1"/>
    </xf>
    <xf numFmtId="3" fontId="93" fillId="59" borderId="20" xfId="0" applyNumberFormat="1" applyFont="1" applyFill="1" applyBorder="1" applyAlignment="1">
      <alignment horizontal="right" vertical="center" wrapText="1"/>
    </xf>
    <xf numFmtId="182" fontId="87" fillId="59" borderId="20" xfId="0" applyNumberFormat="1" applyFont="1" applyFill="1" applyBorder="1" applyAlignment="1">
      <alignment horizontal="center" vertical="center" wrapText="1"/>
    </xf>
    <xf numFmtId="0" fontId="87" fillId="59" borderId="20" xfId="81" applyNumberFormat="1" applyFont="1" applyFill="1" applyBorder="1" applyAlignment="1">
      <alignment horizontal="center" vertical="center" wrapText="1"/>
    </xf>
    <xf numFmtId="179" fontId="87" fillId="59" borderId="20" xfId="0" applyNumberFormat="1" applyFont="1" applyFill="1" applyBorder="1" applyAlignment="1">
      <alignment horizontal="center" vertical="center" wrapText="1"/>
    </xf>
    <xf numFmtId="17" fontId="87" fillId="59" borderId="20" xfId="0" applyNumberFormat="1" applyFont="1" applyFill="1" applyBorder="1" applyAlignment="1">
      <alignment horizontal="center" vertical="center" wrapText="1"/>
    </xf>
    <xf numFmtId="0" fontId="87" fillId="59" borderId="20" xfId="0" applyNumberFormat="1" applyFont="1" applyFill="1" applyBorder="1" applyAlignment="1">
      <alignment horizontal="center" vertical="center" wrapText="1"/>
    </xf>
    <xf numFmtId="0" fontId="88" fillId="63" borderId="33" xfId="0" applyFont="1" applyFill="1" applyBorder="1" applyAlignment="1">
      <alignment vertical="center"/>
    </xf>
    <xf numFmtId="9" fontId="95" fillId="60" borderId="20" xfId="0" applyNumberFormat="1" applyFont="1" applyFill="1" applyBorder="1" applyAlignment="1">
      <alignment horizontal="center" vertical="center" wrapText="1"/>
    </xf>
    <xf numFmtId="0" fontId="95" fillId="59" borderId="20" xfId="0" applyFont="1" applyFill="1" applyBorder="1" applyAlignment="1">
      <alignment horizontal="center" vertical="center" wrapText="1"/>
    </xf>
    <xf numFmtId="0" fontId="95" fillId="59" borderId="20" xfId="0" applyNumberFormat="1" applyFont="1" applyFill="1" applyBorder="1" applyAlignment="1">
      <alignment horizontal="center" vertical="center" wrapText="1"/>
    </xf>
    <xf numFmtId="3" fontId="113" fillId="59" borderId="20" xfId="0" applyNumberFormat="1" applyFont="1" applyFill="1" applyBorder="1" applyAlignment="1">
      <alignment horizontal="right" vertical="center" wrapText="1"/>
    </xf>
    <xf numFmtId="9" fontId="95" fillId="59" borderId="20" xfId="0" applyNumberFormat="1" applyFont="1" applyFill="1" applyBorder="1" applyAlignment="1">
      <alignment horizontal="center" vertical="center" wrapText="1"/>
    </xf>
    <xf numFmtId="0" fontId="19" fillId="57" borderId="36" xfId="121" applyFont="1" applyFill="1" applyBorder="1" applyAlignment="1">
      <alignment vertical="center" wrapText="1"/>
      <protection/>
    </xf>
    <xf numFmtId="0" fontId="19" fillId="57" borderId="37" xfId="121" applyFont="1" applyFill="1" applyBorder="1" applyAlignment="1">
      <alignment vertical="center" wrapText="1"/>
      <protection/>
    </xf>
    <xf numFmtId="0" fontId="95" fillId="59" borderId="20" xfId="81" applyNumberFormat="1" applyFont="1" applyFill="1" applyBorder="1" applyAlignment="1">
      <alignment horizontal="center" vertical="center" wrapText="1"/>
    </xf>
    <xf numFmtId="0" fontId="111" fillId="62" borderId="20" xfId="0" applyFont="1" applyFill="1" applyBorder="1" applyAlignment="1">
      <alignment horizontal="center" vertical="center" wrapText="1"/>
    </xf>
    <xf numFmtId="3" fontId="106" fillId="62" borderId="20" xfId="0" applyNumberFormat="1" applyFont="1" applyFill="1" applyBorder="1" applyAlignment="1">
      <alignment horizontal="right" vertical="center" wrapText="1"/>
    </xf>
    <xf numFmtId="0" fontId="111" fillId="62" borderId="20" xfId="0" applyNumberFormat="1" applyFont="1" applyFill="1" applyBorder="1" applyAlignment="1">
      <alignment horizontal="center" vertical="center" wrapText="1"/>
    </xf>
    <xf numFmtId="9" fontId="111" fillId="62" borderId="20" xfId="0" applyNumberFormat="1" applyFont="1" applyFill="1" applyBorder="1" applyAlignment="1">
      <alignment horizontal="center" vertical="center" wrapText="1"/>
    </xf>
    <xf numFmtId="0" fontId="111" fillId="62" borderId="20" xfId="81" applyNumberFormat="1" applyFont="1" applyFill="1" applyBorder="1" applyAlignment="1">
      <alignment horizontal="center" vertical="center" wrapText="1"/>
    </xf>
    <xf numFmtId="0" fontId="89" fillId="62" borderId="20" xfId="0" applyFont="1" applyFill="1" applyBorder="1" applyAlignment="1">
      <alignment horizontal="center" vertical="center" wrapText="1"/>
    </xf>
    <xf numFmtId="3" fontId="100" fillId="62" borderId="20" xfId="0" applyNumberFormat="1" applyFont="1" applyFill="1" applyBorder="1" applyAlignment="1">
      <alignment horizontal="right" vertical="center" wrapText="1"/>
    </xf>
    <xf numFmtId="0" fontId="89" fillId="62" borderId="20" xfId="0" applyNumberFormat="1" applyFont="1" applyFill="1" applyBorder="1" applyAlignment="1">
      <alignment horizontal="center" vertical="center" wrapText="1"/>
    </xf>
    <xf numFmtId="182" fontId="89" fillId="62" borderId="20" xfId="0" applyNumberFormat="1" applyFont="1" applyFill="1" applyBorder="1" applyAlignment="1">
      <alignment horizontal="center" vertical="center" wrapText="1"/>
    </xf>
    <xf numFmtId="179" fontId="89" fillId="62" borderId="20" xfId="0" applyNumberFormat="1" applyFont="1" applyFill="1" applyBorder="1" applyAlignment="1">
      <alignment horizontal="center" vertical="center" wrapText="1"/>
    </xf>
    <xf numFmtId="17" fontId="89" fillId="62" borderId="20" xfId="0" applyNumberFormat="1" applyFont="1" applyFill="1" applyBorder="1" applyAlignment="1">
      <alignment horizontal="center" vertical="center" wrapText="1"/>
    </xf>
    <xf numFmtId="179" fontId="95" fillId="59" borderId="20" xfId="0" applyNumberFormat="1" applyFont="1" applyFill="1" applyBorder="1" applyAlignment="1">
      <alignment horizontal="center" vertical="center" wrapText="1"/>
    </xf>
    <xf numFmtId="17" fontId="95" fillId="59" borderId="20" xfId="0" applyNumberFormat="1" applyFont="1" applyFill="1" applyBorder="1" applyAlignment="1">
      <alignment horizontal="center" vertical="center" wrapText="1"/>
    </xf>
    <xf numFmtId="3" fontId="87" fillId="56" borderId="20" xfId="107" applyNumberFormat="1" applyFont="1" applyFill="1" applyBorder="1" applyAlignment="1">
      <alignment horizontal="right" vertical="center" wrapText="1"/>
    </xf>
    <xf numFmtId="0" fontId="89" fillId="62" borderId="20" xfId="81" applyNumberFormat="1" applyFont="1" applyFill="1" applyBorder="1" applyAlignment="1">
      <alignment horizontal="center" vertical="center" wrapText="1"/>
    </xf>
    <xf numFmtId="178" fontId="96" fillId="0" borderId="0" xfId="0" applyNumberFormat="1" applyFont="1" applyFill="1" applyBorder="1" applyAlignment="1">
      <alignment vertical="center" wrapText="1"/>
    </xf>
    <xf numFmtId="3" fontId="116" fillId="59" borderId="20" xfId="0" applyNumberFormat="1" applyFont="1" applyFill="1" applyBorder="1" applyAlignment="1">
      <alignment horizontal="right" vertical="center" wrapText="1"/>
    </xf>
    <xf numFmtId="3" fontId="116" fillId="60" borderId="20" xfId="0" applyNumberFormat="1" applyFont="1" applyFill="1" applyBorder="1" applyAlignment="1">
      <alignment horizontal="right" vertical="center" wrapText="1"/>
    </xf>
    <xf numFmtId="3" fontId="117" fillId="62" borderId="20" xfId="0" applyNumberFormat="1" applyFont="1" applyFill="1" applyBorder="1" applyAlignment="1">
      <alignment horizontal="right" vertical="center" wrapText="1"/>
    </xf>
    <xf numFmtId="9" fontId="95" fillId="0" borderId="20" xfId="0" applyNumberFormat="1" applyFont="1" applyFill="1" applyBorder="1" applyAlignment="1">
      <alignment horizontal="center" vertical="center" wrapText="1"/>
    </xf>
    <xf numFmtId="0" fontId="95" fillId="56" borderId="0" xfId="0" applyNumberFormat="1" applyFont="1" applyFill="1" applyBorder="1" applyAlignment="1">
      <alignment horizontal="center" vertical="center" wrapText="1"/>
    </xf>
    <xf numFmtId="0" fontId="95" fillId="56" borderId="0" xfId="0" applyFont="1" applyFill="1" applyBorder="1" applyAlignment="1">
      <alignment horizontal="center" vertical="center" wrapText="1"/>
    </xf>
    <xf numFmtId="9" fontId="95" fillId="56" borderId="0" xfId="0" applyNumberFormat="1" applyFont="1" applyFill="1" applyBorder="1" applyAlignment="1">
      <alignment horizontal="center" vertical="center" wrapText="1"/>
    </xf>
    <xf numFmtId="3" fontId="95" fillId="56" borderId="0" xfId="0" applyNumberFormat="1" applyFont="1" applyFill="1" applyBorder="1" applyAlignment="1">
      <alignment horizontal="center" vertical="center" wrapText="1"/>
    </xf>
    <xf numFmtId="179" fontId="95" fillId="56" borderId="0" xfId="0" applyNumberFormat="1" applyFont="1" applyFill="1" applyBorder="1" applyAlignment="1">
      <alignment horizontal="center" vertical="center" wrapText="1"/>
    </xf>
    <xf numFmtId="0" fontId="95" fillId="56" borderId="0" xfId="0" applyFont="1" applyFill="1" applyBorder="1" applyAlignment="1">
      <alignment horizontal="right" vertical="center" wrapText="1"/>
    </xf>
    <xf numFmtId="3" fontId="113" fillId="61" borderId="20" xfId="0" applyNumberFormat="1" applyFont="1" applyFill="1" applyBorder="1" applyAlignment="1">
      <alignment horizontal="right" vertical="center" wrapText="1"/>
    </xf>
    <xf numFmtId="0" fontId="87" fillId="0" borderId="20" xfId="0" applyFont="1" applyFill="1" applyBorder="1" applyAlignment="1">
      <alignment vertical="center" wrapText="1"/>
    </xf>
    <xf numFmtId="0" fontId="87" fillId="60" borderId="20" xfId="0" applyFont="1" applyFill="1" applyBorder="1" applyAlignment="1">
      <alignment vertical="center" wrapText="1"/>
    </xf>
    <xf numFmtId="3" fontId="93" fillId="61" borderId="20" xfId="0" applyNumberFormat="1" applyFont="1" applyFill="1" applyBorder="1" applyAlignment="1">
      <alignment horizontal="right" vertical="center" wrapText="1"/>
    </xf>
    <xf numFmtId="3" fontId="87" fillId="0" borderId="0" xfId="0" applyNumberFormat="1" applyFont="1" applyAlignment="1">
      <alignment vertical="center"/>
    </xf>
    <xf numFmtId="184" fontId="24" fillId="60" borderId="0" xfId="0" applyNumberFormat="1" applyFont="1" applyFill="1" applyBorder="1" applyAlignment="1">
      <alignment vertical="center" wrapText="1"/>
    </xf>
    <xf numFmtId="182" fontId="87" fillId="60" borderId="20" xfId="0" applyNumberFormat="1" applyFont="1" applyFill="1" applyBorder="1" applyAlignment="1">
      <alignment horizontal="center" vertical="center" wrapText="1"/>
    </xf>
    <xf numFmtId="9" fontId="87" fillId="59" borderId="20" xfId="0" applyNumberFormat="1" applyFont="1" applyFill="1" applyBorder="1" applyAlignment="1">
      <alignment horizontal="center" vertical="center" wrapText="1"/>
    </xf>
    <xf numFmtId="180" fontId="24" fillId="0" borderId="0" xfId="121" applyNumberFormat="1" applyFont="1" applyFill="1" applyBorder="1" applyAlignment="1">
      <alignment horizontal="center" vertical="center" wrapText="1"/>
      <protection/>
    </xf>
    <xf numFmtId="9" fontId="87" fillId="56" borderId="20" xfId="123" applyNumberFormat="1" applyFont="1" applyFill="1" applyBorder="1" applyAlignment="1" applyProtection="1">
      <alignment horizontal="center" vertical="center" wrapText="1"/>
      <protection locked="0"/>
    </xf>
    <xf numFmtId="3" fontId="87" fillId="60" borderId="20" xfId="0" applyNumberFormat="1" applyFont="1" applyFill="1" applyBorder="1" applyAlignment="1">
      <alignment horizontal="center" vertical="center" wrapText="1"/>
    </xf>
    <xf numFmtId="0" fontId="87" fillId="62" borderId="20" xfId="0" applyFont="1" applyFill="1" applyBorder="1" applyAlignment="1">
      <alignment horizontal="center" vertical="center" wrapText="1"/>
    </xf>
    <xf numFmtId="43" fontId="89" fillId="62" borderId="20" xfId="81" applyFont="1" applyFill="1" applyBorder="1" applyAlignment="1">
      <alignment horizontal="center" vertical="center" wrapText="1"/>
    </xf>
    <xf numFmtId="10" fontId="89" fillId="62" borderId="20" xfId="0" applyNumberFormat="1" applyFont="1" applyFill="1" applyBorder="1" applyAlignment="1">
      <alignment horizontal="center" vertical="center" wrapText="1"/>
    </xf>
    <xf numFmtId="44" fontId="87" fillId="62" borderId="20" xfId="83" applyFont="1" applyFill="1" applyBorder="1" applyAlignment="1">
      <alignment horizontal="center" vertical="center" wrapText="1"/>
    </xf>
    <xf numFmtId="179" fontId="87" fillId="62" borderId="20" xfId="0" applyNumberFormat="1" applyFont="1" applyFill="1" applyBorder="1" applyAlignment="1">
      <alignment horizontal="center" vertical="center" wrapText="1"/>
    </xf>
    <xf numFmtId="0" fontId="87" fillId="62" borderId="20" xfId="0" applyNumberFormat="1" applyFont="1" applyFill="1" applyBorder="1" applyAlignment="1">
      <alignment horizontal="center" vertical="center" wrapText="1"/>
    </xf>
    <xf numFmtId="17" fontId="87" fillId="62" borderId="20" xfId="0" applyNumberFormat="1" applyFont="1" applyFill="1" applyBorder="1" applyAlignment="1">
      <alignment horizontal="center" vertical="center" wrapText="1"/>
    </xf>
    <xf numFmtId="4" fontId="87" fillId="59" borderId="20" xfId="0" applyNumberFormat="1" applyFont="1" applyFill="1" applyBorder="1" applyAlignment="1">
      <alignment horizontal="center" vertical="center" wrapText="1"/>
    </xf>
    <xf numFmtId="3" fontId="87" fillId="59" borderId="20" xfId="0" applyNumberFormat="1" applyFont="1" applyFill="1" applyBorder="1" applyAlignment="1">
      <alignment horizontal="center" vertical="center" wrapText="1"/>
    </xf>
    <xf numFmtId="3" fontId="89" fillId="62" borderId="20" xfId="81" applyNumberFormat="1" applyFont="1" applyFill="1" applyBorder="1" applyAlignment="1">
      <alignment horizontal="center" vertical="center" wrapText="1"/>
    </xf>
    <xf numFmtId="9" fontId="87" fillId="62" borderId="20" xfId="0" applyNumberFormat="1" applyFont="1" applyFill="1" applyBorder="1" applyAlignment="1">
      <alignment horizontal="center" vertical="center" wrapText="1"/>
    </xf>
    <xf numFmtId="0" fontId="87" fillId="62" borderId="20" xfId="81" applyNumberFormat="1" applyFont="1" applyFill="1" applyBorder="1" applyAlignment="1">
      <alignment horizontal="center" vertical="center" wrapText="1"/>
    </xf>
    <xf numFmtId="0" fontId="87" fillId="60" borderId="33" xfId="0" applyFont="1" applyFill="1" applyBorder="1" applyAlignment="1">
      <alignment horizontal="center" vertical="center" wrapText="1"/>
    </xf>
    <xf numFmtId="9" fontId="87" fillId="60" borderId="33" xfId="0" applyNumberFormat="1" applyFont="1" applyFill="1" applyBorder="1" applyAlignment="1">
      <alignment horizontal="center" vertical="center" wrapText="1"/>
    </xf>
    <xf numFmtId="0" fontId="87" fillId="60" borderId="33" xfId="81" applyNumberFormat="1" applyFont="1" applyFill="1" applyBorder="1" applyAlignment="1">
      <alignment horizontal="center" vertical="center" wrapText="1"/>
    </xf>
    <xf numFmtId="17" fontId="87" fillId="60" borderId="33" xfId="0" applyNumberFormat="1" applyFont="1" applyFill="1" applyBorder="1" applyAlignment="1">
      <alignment horizontal="center" vertical="center" wrapText="1"/>
    </xf>
    <xf numFmtId="0" fontId="87" fillId="56" borderId="33" xfId="0" applyFont="1" applyFill="1" applyBorder="1" applyAlignment="1">
      <alignment horizontal="center" vertical="center" wrapText="1"/>
    </xf>
    <xf numFmtId="3" fontId="93" fillId="60" borderId="33" xfId="0" applyNumberFormat="1" applyFont="1" applyFill="1" applyBorder="1" applyAlignment="1">
      <alignment horizontal="right" vertical="center" wrapText="1"/>
    </xf>
    <xf numFmtId="43" fontId="87" fillId="56" borderId="20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 wrapText="1"/>
    </xf>
    <xf numFmtId="3" fontId="92" fillId="0" borderId="0" xfId="0" applyNumberFormat="1" applyFont="1" applyFill="1" applyBorder="1" applyAlignment="1">
      <alignment horizontal="right" vertical="center" wrapText="1"/>
    </xf>
    <xf numFmtId="3" fontId="87" fillId="0" borderId="0" xfId="0" applyNumberFormat="1" applyFont="1" applyFill="1" applyAlignment="1">
      <alignment vertical="center" wrapText="1"/>
    </xf>
    <xf numFmtId="3" fontId="89" fillId="0" borderId="0" xfId="0" applyNumberFormat="1" applyFont="1" applyFill="1" applyAlignment="1">
      <alignment horizontal="center" vertical="center" wrapText="1"/>
    </xf>
    <xf numFmtId="182" fontId="87" fillId="0" borderId="0" xfId="0" applyNumberFormat="1" applyFont="1" applyFill="1" applyAlignment="1">
      <alignment vertical="center" wrapText="1"/>
    </xf>
    <xf numFmtId="3" fontId="19" fillId="63" borderId="20" xfId="81" applyNumberFormat="1" applyFont="1" applyFill="1" applyBorder="1" applyAlignment="1">
      <alignment horizontal="center" vertical="center" wrapText="1"/>
    </xf>
    <xf numFmtId="182" fontId="19" fillId="63" borderId="20" xfId="121" applyNumberFormat="1" applyFont="1" applyFill="1" applyBorder="1" applyAlignment="1">
      <alignment horizontal="center" vertical="center" wrapText="1"/>
      <protection/>
    </xf>
    <xf numFmtId="0" fontId="19" fillId="63" borderId="20" xfId="121" applyFont="1" applyFill="1" applyBorder="1" applyAlignment="1">
      <alignment horizontal="center" vertical="center" wrapText="1"/>
      <protection/>
    </xf>
    <xf numFmtId="180" fontId="24" fillId="60" borderId="0" xfId="0" applyNumberFormat="1" applyFont="1" applyFill="1" applyBorder="1" applyAlignment="1">
      <alignment vertical="center" wrapText="1"/>
    </xf>
    <xf numFmtId="180" fontId="87" fillId="60" borderId="0" xfId="0" applyNumberFormat="1" applyFont="1" applyFill="1" applyBorder="1" applyAlignment="1">
      <alignment vertical="center" wrapText="1"/>
    </xf>
    <xf numFmtId="3" fontId="87" fillId="56" borderId="20" xfId="81" applyNumberFormat="1" applyFont="1" applyFill="1" applyBorder="1" applyAlignment="1">
      <alignment horizontal="center" vertical="center" wrapText="1"/>
    </xf>
    <xf numFmtId="17" fontId="95" fillId="56" borderId="20" xfId="0" applyNumberFormat="1" applyFont="1" applyFill="1" applyBorder="1" applyAlignment="1">
      <alignment horizontal="center" vertical="center" wrapText="1"/>
    </xf>
    <xf numFmtId="43" fontId="87" fillId="60" borderId="20" xfId="81" applyFont="1" applyFill="1" applyBorder="1" applyAlignment="1">
      <alignment horizontal="center" vertical="center" wrapText="1"/>
    </xf>
    <xf numFmtId="184" fontId="87" fillId="56" borderId="20" xfId="107" applyNumberFormat="1" applyFont="1" applyFill="1" applyBorder="1" applyAlignment="1">
      <alignment horizontal="right" vertical="center" wrapText="1"/>
    </xf>
    <xf numFmtId="184" fontId="87" fillId="60" borderId="20" xfId="107" applyNumberFormat="1" applyFont="1" applyFill="1" applyBorder="1" applyAlignment="1">
      <alignment horizontal="right" vertical="center" wrapText="1"/>
    </xf>
    <xf numFmtId="184" fontId="87" fillId="62" borderId="20" xfId="107" applyNumberFormat="1" applyFont="1" applyFill="1" applyBorder="1" applyAlignment="1">
      <alignment horizontal="right" vertical="center" wrapText="1"/>
    </xf>
    <xf numFmtId="180" fontId="24" fillId="56" borderId="0" xfId="0" applyNumberFormat="1" applyFont="1" applyFill="1" applyBorder="1" applyAlignment="1">
      <alignment vertical="center" wrapText="1"/>
    </xf>
    <xf numFmtId="184" fontId="87" fillId="56" borderId="0" xfId="0" applyNumberFormat="1" applyFont="1" applyFill="1" applyBorder="1" applyAlignment="1">
      <alignment vertical="center" wrapText="1"/>
    </xf>
    <xf numFmtId="180" fontId="87" fillId="56" borderId="0" xfId="0" applyNumberFormat="1" applyFont="1" applyFill="1" applyBorder="1" applyAlignment="1">
      <alignment vertical="center" wrapText="1"/>
    </xf>
    <xf numFmtId="180" fontId="95" fillId="0" borderId="0" xfId="0" applyNumberFormat="1" applyFont="1" applyFill="1" applyBorder="1" applyAlignment="1">
      <alignment vertical="center" wrapText="1"/>
    </xf>
    <xf numFmtId="180" fontId="95" fillId="56" borderId="0" xfId="0" applyNumberFormat="1" applyFont="1" applyFill="1" applyBorder="1" applyAlignment="1">
      <alignment vertical="center" wrapText="1"/>
    </xf>
    <xf numFmtId="3" fontId="87" fillId="60" borderId="0" xfId="0" applyNumberFormat="1" applyFont="1" applyFill="1" applyBorder="1" applyAlignment="1">
      <alignment vertical="center" wrapText="1"/>
    </xf>
    <xf numFmtId="0" fontId="87" fillId="59" borderId="20" xfId="0" applyFont="1" applyFill="1" applyBorder="1" applyAlignment="1">
      <alignment vertical="center" wrapText="1"/>
    </xf>
    <xf numFmtId="0" fontId="87" fillId="59" borderId="0" xfId="0" applyFont="1" applyFill="1" applyBorder="1" applyAlignment="1">
      <alignment vertical="center" wrapText="1"/>
    </xf>
    <xf numFmtId="180" fontId="87" fillId="59" borderId="0" xfId="0" applyNumberFormat="1" applyFont="1" applyFill="1" applyBorder="1" applyAlignment="1">
      <alignment vertical="center" wrapText="1"/>
    </xf>
    <xf numFmtId="0" fontId="87" fillId="62" borderId="0" xfId="0" applyFont="1" applyFill="1" applyBorder="1" applyAlignment="1">
      <alignment vertical="center" wrapText="1"/>
    </xf>
    <xf numFmtId="180" fontId="87" fillId="62" borderId="0" xfId="0" applyNumberFormat="1" applyFont="1" applyFill="1" applyBorder="1" applyAlignment="1">
      <alignment vertical="center" wrapText="1"/>
    </xf>
    <xf numFmtId="0" fontId="103" fillId="62" borderId="20" xfId="0" applyFont="1" applyFill="1" applyBorder="1" applyAlignment="1">
      <alignment vertical="center" wrapText="1"/>
    </xf>
    <xf numFmtId="0" fontId="95" fillId="62" borderId="0" xfId="0" applyFont="1" applyFill="1" applyBorder="1" applyAlignment="1">
      <alignment vertical="center" wrapText="1"/>
    </xf>
    <xf numFmtId="0" fontId="103" fillId="60" borderId="33" xfId="0" applyFont="1" applyFill="1" applyBorder="1" applyAlignment="1">
      <alignment vertical="center" wrapText="1"/>
    </xf>
    <xf numFmtId="180" fontId="103" fillId="62" borderId="0" xfId="0" applyNumberFormat="1" applyFont="1" applyFill="1" applyBorder="1" applyAlignment="1">
      <alignment vertical="center" wrapText="1"/>
    </xf>
    <xf numFmtId="0" fontId="103" fillId="62" borderId="0" xfId="0" applyFont="1" applyFill="1" applyBorder="1" applyAlignment="1">
      <alignment vertical="center" wrapText="1"/>
    </xf>
    <xf numFmtId="0" fontId="104" fillId="62" borderId="38" xfId="0" applyFont="1" applyFill="1" applyBorder="1" applyAlignment="1">
      <alignment horizontal="center" vertical="center" wrapText="1"/>
    </xf>
    <xf numFmtId="0" fontId="87" fillId="60" borderId="38" xfId="0" applyFont="1" applyFill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95" fillId="56" borderId="38" xfId="0" applyFont="1" applyFill="1" applyBorder="1" applyAlignment="1">
      <alignment horizontal="center" vertical="center" wrapText="1"/>
    </xf>
    <xf numFmtId="0" fontId="87" fillId="62" borderId="38" xfId="0" applyFont="1" applyFill="1" applyBorder="1" applyAlignment="1">
      <alignment horizontal="center" vertical="center" wrapText="1"/>
    </xf>
    <xf numFmtId="0" fontId="87" fillId="59" borderId="38" xfId="0" applyFont="1" applyFill="1" applyBorder="1" applyAlignment="1">
      <alignment horizontal="center" vertical="center" wrapText="1"/>
    </xf>
    <xf numFmtId="184" fontId="87" fillId="59" borderId="20" xfId="107" applyNumberFormat="1" applyFont="1" applyFill="1" applyBorder="1" applyAlignment="1">
      <alignment horizontal="right" vertical="center" wrapText="1"/>
    </xf>
    <xf numFmtId="184" fontId="87" fillId="0" borderId="20" xfId="107" applyNumberFormat="1" applyFont="1" applyFill="1" applyBorder="1" applyAlignment="1">
      <alignment horizontal="right" vertical="center" wrapText="1"/>
    </xf>
    <xf numFmtId="0" fontId="87" fillId="0" borderId="20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87" fillId="0" borderId="0" xfId="0" applyNumberFormat="1" applyFont="1" applyFill="1" applyAlignment="1">
      <alignment horizontal="center" vertical="center" wrapText="1"/>
    </xf>
    <xf numFmtId="0" fontId="95" fillId="59" borderId="38" xfId="0" applyFont="1" applyFill="1" applyBorder="1" applyAlignment="1">
      <alignment horizontal="center" vertical="center" wrapText="1"/>
    </xf>
    <xf numFmtId="0" fontId="95" fillId="60" borderId="38" xfId="0" applyFont="1" applyFill="1" applyBorder="1" applyAlignment="1">
      <alignment horizontal="center" vertical="center" wrapText="1"/>
    </xf>
    <xf numFmtId="0" fontId="95" fillId="62" borderId="20" xfId="0" applyFont="1" applyFill="1" applyBorder="1" applyAlignment="1">
      <alignment horizontal="center" vertical="center" wrapText="1"/>
    </xf>
    <xf numFmtId="0" fontId="114" fillId="56" borderId="0" xfId="0" applyFont="1" applyFill="1" applyBorder="1" applyAlignment="1">
      <alignment horizontal="center" wrapText="1"/>
    </xf>
    <xf numFmtId="0" fontId="87" fillId="62" borderId="20" xfId="0" applyFont="1" applyFill="1" applyBorder="1" applyAlignment="1">
      <alignment vertical="center" wrapText="1"/>
    </xf>
    <xf numFmtId="184" fontId="87" fillId="62" borderId="20" xfId="0" applyNumberFormat="1" applyFont="1" applyFill="1" applyBorder="1" applyAlignment="1">
      <alignment vertical="center" wrapText="1"/>
    </xf>
    <xf numFmtId="0" fontId="87" fillId="62" borderId="0" xfId="0" applyFont="1" applyFill="1" applyBorder="1" applyAlignment="1">
      <alignment horizontal="left" vertical="center" wrapText="1"/>
    </xf>
    <xf numFmtId="0" fontId="95" fillId="61" borderId="20" xfId="0" applyFont="1" applyFill="1" applyBorder="1" applyAlignment="1">
      <alignment horizontal="center" vertical="center" wrapText="1"/>
    </xf>
    <xf numFmtId="0" fontId="87" fillId="56" borderId="38" xfId="0" applyFont="1" applyFill="1" applyBorder="1" applyAlignment="1">
      <alignment horizontal="center" vertical="center" wrapText="1"/>
    </xf>
    <xf numFmtId="184" fontId="87" fillId="60" borderId="0" xfId="0" applyNumberFormat="1" applyFont="1" applyFill="1" applyBorder="1" applyAlignment="1">
      <alignment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59" borderId="20" xfId="0" applyFont="1" applyFill="1" applyBorder="1" applyAlignment="1">
      <alignment vertical="center" wrapText="1"/>
    </xf>
    <xf numFmtId="180" fontId="95" fillId="59" borderId="0" xfId="0" applyNumberFormat="1" applyFont="1" applyFill="1" applyAlignment="1">
      <alignment vertical="center" wrapText="1"/>
    </xf>
    <xf numFmtId="0" fontId="95" fillId="62" borderId="0" xfId="0" applyFont="1" applyFill="1" applyAlignment="1">
      <alignment vertical="center" wrapText="1"/>
    </xf>
    <xf numFmtId="3" fontId="100" fillId="0" borderId="20" xfId="0" applyNumberFormat="1" applyFont="1" applyFill="1" applyBorder="1" applyAlignment="1">
      <alignment horizontal="right" vertical="center" wrapText="1"/>
    </xf>
    <xf numFmtId="184" fontId="87" fillId="0" borderId="0" xfId="0" applyNumberFormat="1" applyFont="1" applyAlignment="1">
      <alignment vertical="center" wrapText="1"/>
    </xf>
    <xf numFmtId="44" fontId="87" fillId="0" borderId="0" xfId="83" applyFont="1" applyFill="1" applyBorder="1" applyAlignment="1">
      <alignment vertical="center" wrapText="1"/>
    </xf>
    <xf numFmtId="0" fontId="95" fillId="60" borderId="20" xfId="0" applyFont="1" applyFill="1" applyBorder="1" applyAlignment="1">
      <alignment vertical="center" wrapText="1"/>
    </xf>
    <xf numFmtId="0" fontId="115" fillId="0" borderId="0" xfId="0" applyFont="1" applyAlignment="1">
      <alignment horizontal="left" vertical="center"/>
    </xf>
    <xf numFmtId="0" fontId="115" fillId="0" borderId="0" xfId="0" applyFont="1" applyAlignment="1">
      <alignment vertical="center"/>
    </xf>
    <xf numFmtId="0" fontId="115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3" fontId="89" fillId="56" borderId="0" xfId="0" applyNumberFormat="1" applyFont="1" applyFill="1" applyBorder="1" applyAlignment="1">
      <alignment vertical="center" wrapText="1"/>
    </xf>
    <xf numFmtId="0" fontId="87" fillId="59" borderId="20" xfId="0" applyFont="1" applyFill="1" applyBorder="1" applyAlignment="1">
      <alignment horizontal="center" vertical="center" wrapText="1"/>
    </xf>
    <xf numFmtId="180" fontId="87" fillId="59" borderId="0" xfId="0" applyNumberFormat="1" applyFont="1" applyFill="1" applyAlignment="1">
      <alignment vertical="center" wrapText="1"/>
    </xf>
    <xf numFmtId="0" fontId="87" fillId="59" borderId="0" xfId="0" applyFont="1" applyFill="1" applyAlignment="1">
      <alignment vertical="center" wrapText="1"/>
    </xf>
    <xf numFmtId="0" fontId="87" fillId="59" borderId="0" xfId="0" applyFont="1" applyFill="1" applyAlignment="1">
      <alignment horizontal="left" vertical="center" wrapText="1"/>
    </xf>
    <xf numFmtId="0" fontId="89" fillId="59" borderId="0" xfId="0" applyFont="1" applyFill="1" applyAlignment="1">
      <alignment vertical="center" wrapText="1"/>
    </xf>
    <xf numFmtId="17" fontId="95" fillId="56" borderId="20" xfId="0" applyNumberFormat="1" applyFont="1" applyFill="1" applyBorder="1" applyAlignment="1">
      <alignment horizontal="center" vertical="center" wrapText="1"/>
    </xf>
    <xf numFmtId="0" fontId="95" fillId="56" borderId="38" xfId="0" applyFont="1" applyFill="1" applyBorder="1" applyAlignment="1">
      <alignment horizontal="center" vertical="center" wrapText="1"/>
    </xf>
    <xf numFmtId="0" fontId="114" fillId="56" borderId="0" xfId="0" applyFont="1" applyFill="1" applyBorder="1" applyAlignment="1">
      <alignment horizontal="center" vertical="top" wrapText="1"/>
    </xf>
    <xf numFmtId="180" fontId="103" fillId="62" borderId="0" xfId="0" applyNumberFormat="1" applyFont="1" applyFill="1" applyBorder="1" applyAlignment="1">
      <alignment horizontal="center" wrapText="1"/>
    </xf>
    <xf numFmtId="0" fontId="103" fillId="62" borderId="0" xfId="0" applyFont="1" applyFill="1" applyBorder="1" applyAlignment="1">
      <alignment horizontal="center" wrapText="1"/>
    </xf>
    <xf numFmtId="180" fontId="103" fillId="62" borderId="0" xfId="0" applyNumberFormat="1" applyFont="1" applyFill="1" applyBorder="1" applyAlignment="1">
      <alignment wrapText="1"/>
    </xf>
    <xf numFmtId="180" fontId="95" fillId="56" borderId="0" xfId="0" applyNumberFormat="1" applyFont="1" applyFill="1" applyBorder="1" applyAlignment="1">
      <alignment horizontal="center" vertical="center" wrapText="1"/>
    </xf>
    <xf numFmtId="0" fontId="95" fillId="56" borderId="0" xfId="81" applyNumberFormat="1" applyFont="1" applyFill="1" applyBorder="1" applyAlignment="1">
      <alignment horizontal="center" vertical="center" wrapText="1"/>
    </xf>
    <xf numFmtId="0" fontId="114" fillId="60" borderId="0" xfId="0" applyFont="1" applyFill="1" applyBorder="1" applyAlignment="1">
      <alignment horizontal="center" wrapText="1"/>
    </xf>
    <xf numFmtId="0" fontId="114" fillId="56" borderId="0" xfId="0" applyFont="1" applyFill="1" applyBorder="1" applyAlignment="1">
      <alignment wrapText="1"/>
    </xf>
    <xf numFmtId="3" fontId="114" fillId="56" borderId="0" xfId="107" applyNumberFormat="1" applyFont="1" applyFill="1" applyBorder="1" applyAlignment="1">
      <alignment horizontal="right" vertical="center" wrapText="1"/>
    </xf>
    <xf numFmtId="180" fontId="89" fillId="56" borderId="0" xfId="0" applyNumberFormat="1" applyFont="1" applyFill="1" applyBorder="1" applyAlignment="1">
      <alignment vertical="center" wrapText="1"/>
    </xf>
    <xf numFmtId="180" fontId="87" fillId="56" borderId="0" xfId="83" applyNumberFormat="1" applyFont="1" applyFill="1" applyBorder="1" applyAlignment="1">
      <alignment vertical="center" wrapText="1"/>
    </xf>
    <xf numFmtId="180" fontId="89" fillId="60" borderId="0" xfId="0" applyNumberFormat="1" applyFont="1" applyFill="1" applyBorder="1" applyAlignment="1">
      <alignment vertical="center" wrapText="1"/>
    </xf>
    <xf numFmtId="180" fontId="87" fillId="60" borderId="0" xfId="83" applyNumberFormat="1" applyFont="1" applyFill="1" applyBorder="1" applyAlignment="1">
      <alignment vertical="center" wrapText="1"/>
    </xf>
    <xf numFmtId="0" fontId="87" fillId="56" borderId="0" xfId="0" applyFont="1" applyFill="1" applyBorder="1" applyAlignment="1">
      <alignment horizontal="center" vertical="top" wrapText="1"/>
    </xf>
    <xf numFmtId="186" fontId="24" fillId="59" borderId="0" xfId="0" applyNumberFormat="1" applyFont="1" applyFill="1" applyBorder="1" applyAlignment="1">
      <alignment vertical="center" wrapText="1"/>
    </xf>
    <xf numFmtId="0" fontId="98" fillId="62" borderId="0" xfId="0" applyFont="1" applyFill="1" applyBorder="1" applyAlignment="1">
      <alignment vertical="center" wrapText="1"/>
    </xf>
    <xf numFmtId="180" fontId="87" fillId="60" borderId="0" xfId="0" applyNumberFormat="1" applyFont="1" applyFill="1" applyBorder="1" applyAlignment="1">
      <alignment vertical="center"/>
    </xf>
    <xf numFmtId="0" fontId="27" fillId="62" borderId="0" xfId="0" applyFont="1" applyFill="1" applyBorder="1" applyAlignment="1">
      <alignment vertical="center" wrapText="1"/>
    </xf>
    <xf numFmtId="184" fontId="27" fillId="62" borderId="0" xfId="0" applyNumberFormat="1" applyFont="1" applyFill="1" applyBorder="1" applyAlignment="1">
      <alignment vertical="center" wrapText="1"/>
    </xf>
    <xf numFmtId="0" fontId="24" fillId="62" borderId="0" xfId="0" applyFont="1" applyFill="1" applyBorder="1" applyAlignment="1">
      <alignment vertical="center" wrapText="1"/>
    </xf>
    <xf numFmtId="184" fontId="101" fillId="60" borderId="0" xfId="0" applyNumberFormat="1" applyFont="1" applyFill="1" applyBorder="1" applyAlignment="1">
      <alignment vertical="center" wrapText="1"/>
    </xf>
    <xf numFmtId="0" fontId="114" fillId="60" borderId="0" xfId="0" applyFont="1" applyFill="1" applyBorder="1" applyAlignment="1">
      <alignment horizontal="center" vertical="top" wrapText="1"/>
    </xf>
    <xf numFmtId="0" fontId="118" fillId="60" borderId="0" xfId="0" applyFont="1" applyFill="1" applyBorder="1" applyAlignment="1">
      <alignment horizontal="center" wrapText="1"/>
    </xf>
    <xf numFmtId="3" fontId="114" fillId="56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vertical="center" wrapText="1"/>
    </xf>
    <xf numFmtId="0" fontId="98" fillId="56" borderId="0" xfId="0" applyFont="1" applyFill="1" applyBorder="1" applyAlignment="1">
      <alignment vertical="center" wrapText="1"/>
    </xf>
    <xf numFmtId="180" fontId="101" fillId="0" borderId="0" xfId="0" applyNumberFormat="1" applyFont="1" applyFill="1" applyBorder="1" applyAlignment="1">
      <alignment vertical="center" wrapText="1"/>
    </xf>
    <xf numFmtId="184" fontId="101" fillId="0" borderId="0" xfId="0" applyNumberFormat="1" applyFont="1" applyFill="1" applyBorder="1" applyAlignment="1">
      <alignment vertical="center" wrapText="1"/>
    </xf>
    <xf numFmtId="180" fontId="101" fillId="59" borderId="0" xfId="0" applyNumberFormat="1" applyFont="1" applyFill="1" applyBorder="1" applyAlignment="1">
      <alignment horizontal="center" wrapText="1"/>
    </xf>
    <xf numFmtId="0" fontId="101" fillId="59" borderId="0" xfId="0" applyFont="1" applyFill="1" applyBorder="1" applyAlignment="1">
      <alignment horizontal="center" wrapText="1"/>
    </xf>
    <xf numFmtId="180" fontId="101" fillId="60" borderId="0" xfId="0" applyNumberFormat="1" applyFont="1" applyFill="1" applyBorder="1" applyAlignment="1">
      <alignment horizontal="center" wrapText="1"/>
    </xf>
    <xf numFmtId="0" fontId="101" fillId="60" borderId="0" xfId="0" applyFont="1" applyFill="1" applyBorder="1" applyAlignment="1">
      <alignment horizontal="center" wrapText="1"/>
    </xf>
    <xf numFmtId="184" fontId="87" fillId="62" borderId="0" xfId="107" applyNumberFormat="1" applyFont="1" applyFill="1" applyBorder="1" applyAlignment="1">
      <alignment horizontal="right" vertical="center" wrapText="1"/>
    </xf>
    <xf numFmtId="184" fontId="24" fillId="59" borderId="0" xfId="107" applyNumberFormat="1" applyFont="1" applyFill="1" applyBorder="1" applyAlignment="1">
      <alignment horizontal="right" vertical="center" wrapText="1"/>
    </xf>
    <xf numFmtId="184" fontId="87" fillId="59" borderId="0" xfId="107" applyNumberFormat="1" applyFont="1" applyFill="1" applyBorder="1" applyAlignment="1">
      <alignment horizontal="right" vertical="center" wrapText="1"/>
    </xf>
    <xf numFmtId="184" fontId="24" fillId="60" borderId="0" xfId="107" applyNumberFormat="1" applyFont="1" applyFill="1" applyBorder="1" applyAlignment="1">
      <alignment horizontal="right" vertical="center" wrapText="1"/>
    </xf>
    <xf numFmtId="184" fontId="95" fillId="60" borderId="0" xfId="107" applyNumberFormat="1" applyFont="1" applyFill="1" applyBorder="1" applyAlignment="1">
      <alignment horizontal="right" vertical="center" wrapText="1"/>
    </xf>
    <xf numFmtId="184" fontId="87" fillId="60" borderId="0" xfId="107" applyNumberFormat="1" applyFont="1" applyFill="1" applyBorder="1" applyAlignment="1">
      <alignment horizontal="right" vertical="center" wrapText="1"/>
    </xf>
    <xf numFmtId="3" fontId="24" fillId="60" borderId="0" xfId="107" applyNumberFormat="1" applyFont="1" applyFill="1" applyBorder="1" applyAlignment="1">
      <alignment horizontal="right" vertical="center" wrapText="1"/>
    </xf>
    <xf numFmtId="3" fontId="95" fillId="60" borderId="0" xfId="107" applyNumberFormat="1" applyFont="1" applyFill="1" applyBorder="1" applyAlignment="1">
      <alignment horizontal="right" vertical="center" wrapText="1"/>
    </xf>
    <xf numFmtId="184" fontId="87" fillId="56" borderId="0" xfId="107" applyNumberFormat="1" applyFont="1" applyFill="1" applyBorder="1" applyAlignment="1">
      <alignment horizontal="right" vertical="center" wrapText="1"/>
    </xf>
    <xf numFmtId="3" fontId="101" fillId="61" borderId="0" xfId="107" applyNumberFormat="1" applyFont="1" applyFill="1" applyBorder="1" applyAlignment="1">
      <alignment horizontal="right" vertical="center" wrapText="1"/>
    </xf>
    <xf numFmtId="3" fontId="27" fillId="56" borderId="0" xfId="107" applyNumberFormat="1" applyFont="1" applyFill="1" applyBorder="1" applyAlignment="1">
      <alignment horizontal="right" vertical="center" wrapText="1"/>
    </xf>
    <xf numFmtId="3" fontId="101" fillId="60" borderId="0" xfId="107" applyNumberFormat="1" applyFont="1" applyFill="1" applyBorder="1" applyAlignment="1">
      <alignment horizontal="right" vertical="center" wrapText="1"/>
    </xf>
    <xf numFmtId="3" fontId="110" fillId="56" borderId="0" xfId="107" applyNumberFormat="1" applyFont="1" applyFill="1" applyBorder="1" applyAlignment="1">
      <alignment horizontal="right" vertical="center" wrapText="1"/>
    </xf>
    <xf numFmtId="3" fontId="105" fillId="60" borderId="0" xfId="107" applyNumberFormat="1" applyFont="1" applyFill="1" applyBorder="1" applyAlignment="1">
      <alignment horizontal="right" vertical="center" wrapText="1"/>
    </xf>
    <xf numFmtId="3" fontId="105" fillId="45" borderId="0" xfId="107" applyNumberFormat="1" applyFont="1" applyFill="1" applyBorder="1" applyAlignment="1">
      <alignment horizontal="right" vertical="center" wrapText="1"/>
    </xf>
    <xf numFmtId="3" fontId="105" fillId="56" borderId="0" xfId="107" applyNumberFormat="1" applyFont="1" applyFill="1" applyBorder="1" applyAlignment="1">
      <alignment horizontal="right" vertical="center" wrapText="1"/>
    </xf>
    <xf numFmtId="3" fontId="95" fillId="0" borderId="0" xfId="107" applyNumberFormat="1" applyFont="1" applyFill="1" applyBorder="1" applyAlignment="1">
      <alignment horizontal="right" vertical="center" wrapText="1"/>
    </xf>
    <xf numFmtId="3" fontId="103" fillId="60" borderId="33" xfId="107" applyNumberFormat="1" applyFont="1" applyFill="1" applyBorder="1" applyAlignment="1">
      <alignment horizontal="right" vertical="center" wrapText="1"/>
    </xf>
    <xf numFmtId="184" fontId="95" fillId="56" borderId="0" xfId="107" applyNumberFormat="1" applyFont="1" applyFill="1" applyBorder="1" applyAlignment="1">
      <alignment horizontal="right" vertical="center" wrapText="1"/>
    </xf>
    <xf numFmtId="184" fontId="95" fillId="59" borderId="0" xfId="107" applyNumberFormat="1" applyFont="1" applyFill="1" applyBorder="1" applyAlignment="1">
      <alignment horizontal="right" vertical="center" wrapText="1"/>
    </xf>
    <xf numFmtId="184" fontId="87" fillId="0" borderId="0" xfId="107" applyNumberFormat="1" applyFont="1" applyFill="1" applyBorder="1" applyAlignment="1">
      <alignment horizontal="right" vertical="center" wrapText="1"/>
    </xf>
    <xf numFmtId="184" fontId="87" fillId="62" borderId="0" xfId="0" applyNumberFormat="1" applyFont="1" applyFill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184" fontId="101" fillId="59" borderId="0" xfId="107" applyNumberFormat="1" applyFont="1" applyFill="1" applyBorder="1" applyAlignment="1">
      <alignment horizontal="center" wrapText="1"/>
    </xf>
    <xf numFmtId="184" fontId="101" fillId="60" borderId="0" xfId="107" applyNumberFormat="1" applyFont="1" applyFill="1" applyBorder="1" applyAlignment="1">
      <alignment horizontal="center" wrapText="1"/>
    </xf>
    <xf numFmtId="180" fontId="87" fillId="0" borderId="0" xfId="0" applyNumberFormat="1" applyFont="1" applyFill="1" applyBorder="1" applyAlignment="1">
      <alignment vertical="center" wrapText="1"/>
    </xf>
    <xf numFmtId="0" fontId="87" fillId="56" borderId="38" xfId="0" applyFont="1" applyFill="1" applyBorder="1" applyAlignment="1">
      <alignment horizontal="center" vertical="center" wrapText="1"/>
    </xf>
    <xf numFmtId="180" fontId="87" fillId="60" borderId="0" xfId="107" applyNumberFormat="1" applyFont="1" applyFill="1" applyBorder="1" applyAlignment="1">
      <alignment horizontal="right" vertical="center" wrapText="1"/>
    </xf>
    <xf numFmtId="180" fontId="87" fillId="56" borderId="0" xfId="107" applyNumberFormat="1" applyFont="1" applyFill="1" applyBorder="1" applyAlignment="1">
      <alignment horizontal="right" vertical="center" wrapText="1"/>
    </xf>
    <xf numFmtId="180" fontId="95" fillId="56" borderId="0" xfId="107" applyNumberFormat="1" applyFont="1" applyFill="1" applyBorder="1" applyAlignment="1">
      <alignment horizontal="right" vertical="center" wrapText="1"/>
    </xf>
    <xf numFmtId="43" fontId="87" fillId="59" borderId="20" xfId="0" applyNumberFormat="1" applyFont="1" applyFill="1" applyBorder="1" applyAlignment="1">
      <alignment horizontal="center" vertical="center" wrapText="1"/>
    </xf>
    <xf numFmtId="184" fontId="87" fillId="59" borderId="0" xfId="107" applyNumberFormat="1" applyFont="1" applyFill="1" applyBorder="1" applyAlignment="1">
      <alignment horizontal="center" wrapText="1"/>
    </xf>
    <xf numFmtId="180" fontId="87" fillId="59" borderId="0" xfId="0" applyNumberFormat="1" applyFont="1" applyFill="1" applyBorder="1" applyAlignment="1">
      <alignment horizontal="center" wrapText="1"/>
    </xf>
    <xf numFmtId="0" fontId="87" fillId="59" borderId="0" xfId="0" applyFont="1" applyFill="1" applyBorder="1" applyAlignment="1">
      <alignment horizontal="center" wrapText="1"/>
    </xf>
    <xf numFmtId="9" fontId="87" fillId="0" borderId="20" xfId="0" applyNumberFormat="1" applyFont="1" applyFill="1" applyBorder="1" applyAlignment="1">
      <alignment horizontal="center" vertical="center" wrapText="1"/>
    </xf>
    <xf numFmtId="0" fontId="87" fillId="61" borderId="20" xfId="0" applyFont="1" applyFill="1" applyBorder="1" applyAlignment="1">
      <alignment horizontal="center" vertical="center" wrapText="1"/>
    </xf>
    <xf numFmtId="17" fontId="87" fillId="61" borderId="20" xfId="0" applyNumberFormat="1" applyFont="1" applyFill="1" applyBorder="1" applyAlignment="1">
      <alignment horizontal="center" vertical="center" wrapText="1"/>
    </xf>
    <xf numFmtId="0" fontId="101" fillId="59" borderId="20" xfId="0" applyFont="1" applyFill="1" applyBorder="1" applyAlignment="1">
      <alignment horizontal="center" vertical="center" wrapText="1"/>
    </xf>
    <xf numFmtId="184" fontId="101" fillId="59" borderId="0" xfId="107" applyNumberFormat="1" applyFont="1" applyFill="1" applyBorder="1" applyAlignment="1">
      <alignment horizontal="right" vertical="center" wrapText="1"/>
    </xf>
    <xf numFmtId="0" fontId="101" fillId="59" borderId="0" xfId="0" applyFont="1" applyFill="1" applyBorder="1" applyAlignment="1">
      <alignment vertical="center" wrapText="1"/>
    </xf>
    <xf numFmtId="180" fontId="101" fillId="59" borderId="0" xfId="0" applyNumberFormat="1" applyFont="1" applyFill="1" applyBorder="1" applyAlignment="1">
      <alignment vertical="center" wrapText="1"/>
    </xf>
    <xf numFmtId="184" fontId="101" fillId="59" borderId="0" xfId="0" applyNumberFormat="1" applyFont="1" applyFill="1" applyBorder="1" applyAlignment="1">
      <alignment vertical="center" wrapText="1"/>
    </xf>
    <xf numFmtId="180" fontId="101" fillId="59" borderId="0" xfId="0" applyNumberFormat="1" applyFont="1" applyFill="1" applyAlignment="1">
      <alignment vertical="center" wrapText="1"/>
    </xf>
    <xf numFmtId="0" fontId="101" fillId="59" borderId="0" xfId="0" applyFont="1" applyFill="1" applyAlignment="1">
      <alignment vertical="center" wrapText="1"/>
    </xf>
    <xf numFmtId="0" fontId="87" fillId="0" borderId="33" xfId="0" applyFont="1" applyFill="1" applyBorder="1" applyAlignment="1">
      <alignment horizontal="center" vertical="center" wrapText="1"/>
    </xf>
    <xf numFmtId="3" fontId="102" fillId="60" borderId="20" xfId="0" applyNumberFormat="1" applyFont="1" applyFill="1" applyBorder="1" applyAlignment="1">
      <alignment horizontal="right" vertical="center" wrapText="1"/>
    </xf>
    <xf numFmtId="9" fontId="101" fillId="60" borderId="20" xfId="0" applyNumberFormat="1" applyFont="1" applyFill="1" applyBorder="1" applyAlignment="1">
      <alignment horizontal="center" vertical="center" wrapText="1"/>
    </xf>
    <xf numFmtId="0" fontId="101" fillId="60" borderId="20" xfId="81" applyNumberFormat="1" applyFont="1" applyFill="1" applyBorder="1" applyAlignment="1">
      <alignment horizontal="center" vertical="center" wrapText="1"/>
    </xf>
    <xf numFmtId="179" fontId="101" fillId="60" borderId="20" xfId="0" applyNumberFormat="1" applyFont="1" applyFill="1" applyBorder="1" applyAlignment="1">
      <alignment horizontal="center" vertical="center" wrapText="1"/>
    </xf>
    <xf numFmtId="184" fontId="101" fillId="60" borderId="20" xfId="107" applyNumberFormat="1" applyFont="1" applyFill="1" applyBorder="1" applyAlignment="1">
      <alignment horizontal="right" vertical="center" wrapText="1"/>
    </xf>
    <xf numFmtId="180" fontId="101" fillId="60" borderId="0" xfId="0" applyNumberFormat="1" applyFont="1" applyFill="1" applyBorder="1" applyAlignment="1">
      <alignment vertical="center" wrapText="1"/>
    </xf>
    <xf numFmtId="180" fontId="101" fillId="59" borderId="0" xfId="107" applyNumberFormat="1" applyFont="1" applyFill="1" applyBorder="1" applyAlignment="1">
      <alignment horizontal="right" vertical="center" wrapText="1"/>
    </xf>
    <xf numFmtId="4" fontId="93" fillId="59" borderId="20" xfId="0" applyNumberFormat="1" applyFont="1" applyFill="1" applyBorder="1" applyAlignment="1">
      <alignment horizontal="right" vertical="center" wrapText="1"/>
    </xf>
    <xf numFmtId="187" fontId="100" fillId="62" borderId="20" xfId="0" applyNumberFormat="1" applyFont="1" applyFill="1" applyBorder="1" applyAlignment="1">
      <alignment horizontal="right" vertical="center" wrapText="1"/>
    </xf>
    <xf numFmtId="4" fontId="100" fillId="62" borderId="20" xfId="0" applyNumberFormat="1" applyFont="1" applyFill="1" applyBorder="1" applyAlignment="1">
      <alignment horizontal="right" vertical="center" wrapText="1"/>
    </xf>
    <xf numFmtId="0" fontId="101" fillId="59" borderId="20" xfId="0" applyFont="1" applyFill="1" applyBorder="1" applyAlignment="1">
      <alignment vertical="center" wrapText="1"/>
    </xf>
    <xf numFmtId="0" fontId="101" fillId="59" borderId="0" xfId="0" applyFont="1" applyFill="1" applyBorder="1" applyAlignment="1">
      <alignment horizontal="left" vertical="center" wrapText="1"/>
    </xf>
    <xf numFmtId="184" fontId="101" fillId="56" borderId="0" xfId="107" applyNumberFormat="1" applyFont="1" applyFill="1" applyBorder="1" applyAlignment="1">
      <alignment horizontal="right" vertical="center" wrapText="1"/>
    </xf>
    <xf numFmtId="184" fontId="101" fillId="56" borderId="0" xfId="0" applyNumberFormat="1" applyFont="1" applyFill="1" applyBorder="1" applyAlignment="1">
      <alignment vertical="center" wrapText="1"/>
    </xf>
    <xf numFmtId="180" fontId="101" fillId="56" borderId="0" xfId="0" applyNumberFormat="1" applyFont="1" applyFill="1" applyBorder="1" applyAlignment="1">
      <alignment vertical="center" wrapText="1"/>
    </xf>
    <xf numFmtId="180" fontId="101" fillId="60" borderId="0" xfId="107" applyNumberFormat="1" applyFont="1" applyFill="1" applyBorder="1" applyAlignment="1">
      <alignment horizontal="right" vertical="center" wrapText="1"/>
    </xf>
    <xf numFmtId="0" fontId="101" fillId="60" borderId="38" xfId="0" applyFont="1" applyFill="1" applyBorder="1" applyAlignment="1">
      <alignment horizontal="center" vertical="center" wrapText="1"/>
    </xf>
    <xf numFmtId="0" fontId="101" fillId="56" borderId="38" xfId="0" applyFont="1" applyFill="1" applyBorder="1" applyAlignment="1">
      <alignment horizontal="center" vertical="center" wrapText="1"/>
    </xf>
    <xf numFmtId="180" fontId="101" fillId="56" borderId="0" xfId="107" applyNumberFormat="1" applyFont="1" applyFill="1" applyBorder="1" applyAlignment="1">
      <alignment horizontal="right" vertical="center" wrapText="1"/>
    </xf>
    <xf numFmtId="180" fontId="87" fillId="60" borderId="38" xfId="0" applyNumberFormat="1" applyFont="1" applyFill="1" applyBorder="1" applyAlignment="1">
      <alignment horizontal="center" vertical="center" wrapText="1"/>
    </xf>
    <xf numFmtId="0" fontId="114" fillId="60" borderId="20" xfId="0" applyFont="1" applyFill="1" applyBorder="1" applyAlignment="1">
      <alignment horizontal="center" vertical="center" wrapText="1"/>
    </xf>
    <xf numFmtId="184" fontId="114" fillId="60" borderId="0" xfId="107" applyNumberFormat="1" applyFont="1" applyFill="1" applyBorder="1" applyAlignment="1">
      <alignment horizontal="right" vertical="center" wrapText="1"/>
    </xf>
    <xf numFmtId="0" fontId="114" fillId="60" borderId="0" xfId="0" applyFont="1" applyFill="1" applyBorder="1" applyAlignment="1">
      <alignment vertical="center" wrapText="1"/>
    </xf>
    <xf numFmtId="180" fontId="114" fillId="60" borderId="0" xfId="0" applyNumberFormat="1" applyFont="1" applyFill="1" applyBorder="1" applyAlignment="1">
      <alignment vertical="center" wrapText="1"/>
    </xf>
    <xf numFmtId="0" fontId="87" fillId="56" borderId="0" xfId="0" applyFont="1" applyFill="1" applyBorder="1" applyAlignment="1">
      <alignment horizontal="center" wrapText="1"/>
    </xf>
    <xf numFmtId="9" fontId="114" fillId="56" borderId="20" xfId="0" applyNumberFormat="1" applyFont="1" applyFill="1" applyBorder="1" applyAlignment="1">
      <alignment horizontal="center" vertical="center" wrapText="1"/>
    </xf>
    <xf numFmtId="179" fontId="114" fillId="56" borderId="20" xfId="0" applyNumberFormat="1" applyFont="1" applyFill="1" applyBorder="1" applyAlignment="1">
      <alignment horizontal="center" vertical="center" wrapText="1"/>
    </xf>
    <xf numFmtId="179" fontId="114" fillId="0" borderId="20" xfId="0" applyNumberFormat="1" applyFont="1" applyFill="1" applyBorder="1" applyAlignment="1">
      <alignment horizontal="center" vertical="center" wrapText="1"/>
    </xf>
    <xf numFmtId="14" fontId="115" fillId="0" borderId="0" xfId="0" applyNumberFormat="1" applyFont="1" applyAlignment="1">
      <alignment vertical="center"/>
    </xf>
    <xf numFmtId="0" fontId="24" fillId="0" borderId="38" xfId="0" applyFont="1" applyFill="1" applyBorder="1" applyAlignment="1">
      <alignment horizontal="center" vertical="center" wrapText="1"/>
    </xf>
    <xf numFmtId="180" fontId="24" fillId="0" borderId="0" xfId="107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vertical="center" wrapText="1"/>
    </xf>
    <xf numFmtId="180" fontId="101" fillId="59" borderId="0" xfId="0" applyNumberFormat="1" applyFont="1" applyFill="1" applyBorder="1" applyAlignment="1">
      <alignment horizontal="left" vertical="center" wrapText="1"/>
    </xf>
    <xf numFmtId="3" fontId="101" fillId="60" borderId="20" xfId="0" applyNumberFormat="1" applyFont="1" applyFill="1" applyBorder="1" applyAlignment="1">
      <alignment horizontal="center" vertical="center" wrapText="1"/>
    </xf>
    <xf numFmtId="184" fontId="101" fillId="60" borderId="0" xfId="107" applyNumberFormat="1" applyFont="1" applyFill="1" applyBorder="1" applyAlignment="1">
      <alignment horizontal="right" vertical="center" wrapText="1"/>
    </xf>
    <xf numFmtId="0" fontId="101" fillId="60" borderId="20" xfId="0" applyNumberFormat="1" applyFont="1" applyFill="1" applyBorder="1" applyAlignment="1">
      <alignment horizontal="center" vertical="center" wrapText="1"/>
    </xf>
    <xf numFmtId="0" fontId="95" fillId="56" borderId="0" xfId="0" applyFont="1" applyFill="1" applyBorder="1" applyAlignment="1">
      <alignment horizontal="center" wrapText="1"/>
    </xf>
    <xf numFmtId="0" fontId="95" fillId="56" borderId="0" xfId="0" applyFont="1" applyFill="1" applyBorder="1" applyAlignment="1">
      <alignment horizontal="center" vertical="top" wrapText="1"/>
    </xf>
    <xf numFmtId="180" fontId="111" fillId="56" borderId="0" xfId="0" applyNumberFormat="1" applyFont="1" applyFill="1" applyBorder="1" applyAlignment="1">
      <alignment vertical="center" wrapText="1"/>
    </xf>
    <xf numFmtId="180" fontId="95" fillId="56" borderId="0" xfId="83" applyNumberFormat="1" applyFont="1" applyFill="1" applyBorder="1" applyAlignment="1">
      <alignment vertical="center" wrapText="1"/>
    </xf>
    <xf numFmtId="0" fontId="24" fillId="62" borderId="20" xfId="0" applyFont="1" applyFill="1" applyBorder="1" applyAlignment="1">
      <alignment vertical="center" wrapText="1"/>
    </xf>
    <xf numFmtId="184" fontId="24" fillId="62" borderId="0" xfId="0" applyNumberFormat="1" applyFont="1" applyFill="1" applyBorder="1" applyAlignment="1">
      <alignment vertical="center" wrapText="1"/>
    </xf>
    <xf numFmtId="3" fontId="24" fillId="62" borderId="0" xfId="0" applyNumberFormat="1" applyFont="1" applyFill="1" applyBorder="1" applyAlignment="1">
      <alignment vertical="center" wrapText="1"/>
    </xf>
    <xf numFmtId="0" fontId="98" fillId="0" borderId="0" xfId="0" applyFont="1" applyFill="1" applyBorder="1" applyAlignment="1">
      <alignment horizontal="left" vertical="center"/>
    </xf>
    <xf numFmtId="0" fontId="114" fillId="56" borderId="0" xfId="0" applyFont="1" applyFill="1" applyAlignment="1">
      <alignment vertical="center" wrapText="1"/>
    </xf>
    <xf numFmtId="180" fontId="87" fillId="0" borderId="0" xfId="0" applyNumberFormat="1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horizontal="center" vertical="top" wrapText="1"/>
    </xf>
    <xf numFmtId="0" fontId="98" fillId="60" borderId="0" xfId="0" applyFont="1" applyFill="1" applyBorder="1" applyAlignment="1">
      <alignment vertical="center" wrapText="1"/>
    </xf>
    <xf numFmtId="184" fontId="101" fillId="60" borderId="20" xfId="0" applyNumberFormat="1" applyFont="1" applyFill="1" applyBorder="1" applyAlignment="1">
      <alignment vertical="center" wrapText="1"/>
    </xf>
    <xf numFmtId="180" fontId="101" fillId="60" borderId="0" xfId="83" applyNumberFormat="1" applyFont="1" applyFill="1" applyBorder="1" applyAlignment="1">
      <alignment vertical="center" wrapText="1"/>
    </xf>
    <xf numFmtId="4" fontId="102" fillId="60" borderId="20" xfId="0" applyNumberFormat="1" applyFont="1" applyFill="1" applyBorder="1" applyAlignment="1">
      <alignment horizontal="right" vertical="center" wrapText="1"/>
    </xf>
    <xf numFmtId="4" fontId="101" fillId="60" borderId="0" xfId="0" applyNumberFormat="1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17" fontId="95" fillId="56" borderId="20" xfId="0" applyNumberFormat="1" applyFont="1" applyFill="1" applyBorder="1" applyAlignment="1">
      <alignment horizontal="center" vertical="center" wrapText="1"/>
    </xf>
    <xf numFmtId="0" fontId="87" fillId="56" borderId="20" xfId="0" applyFont="1" applyFill="1" applyBorder="1" applyAlignment="1">
      <alignment horizontal="left" vertical="center" wrapText="1"/>
    </xf>
    <xf numFmtId="185" fontId="87" fillId="59" borderId="20" xfId="0" applyNumberFormat="1" applyFont="1" applyFill="1" applyBorder="1" applyAlignment="1">
      <alignment horizontal="center" vertical="center" wrapText="1"/>
    </xf>
    <xf numFmtId="182" fontId="87" fillId="56" borderId="20" xfId="0" applyNumberFormat="1" applyFont="1" applyFill="1" applyBorder="1" applyAlignment="1">
      <alignment horizontal="center" vertical="center" wrapText="1"/>
    </xf>
    <xf numFmtId="9" fontId="89" fillId="62" borderId="20" xfId="0" applyNumberFormat="1" applyFont="1" applyFill="1" applyBorder="1" applyAlignment="1">
      <alignment horizontal="center" vertical="center" wrapText="1"/>
    </xf>
    <xf numFmtId="184" fontId="87" fillId="60" borderId="20" xfId="0" applyNumberFormat="1" applyFont="1" applyFill="1" applyBorder="1" applyAlignment="1">
      <alignment horizontal="center" vertical="center" wrapText="1"/>
    </xf>
    <xf numFmtId="180" fontId="87" fillId="60" borderId="20" xfId="0" applyNumberFormat="1" applyFont="1" applyFill="1" applyBorder="1" applyAlignment="1">
      <alignment horizontal="center" vertical="center" wrapText="1"/>
    </xf>
    <xf numFmtId="4" fontId="93" fillId="56" borderId="20" xfId="0" applyNumberFormat="1" applyFont="1" applyFill="1" applyBorder="1" applyAlignment="1">
      <alignment horizontal="right" vertical="center" wrapText="1"/>
    </xf>
    <xf numFmtId="43" fontId="87" fillId="60" borderId="20" xfId="0" applyNumberFormat="1" applyFont="1" applyFill="1" applyBorder="1" applyAlignment="1">
      <alignment horizontal="center" vertical="center" wrapText="1"/>
    </xf>
    <xf numFmtId="0" fontId="87" fillId="56" borderId="29" xfId="0" applyFont="1" applyFill="1" applyBorder="1" applyAlignment="1">
      <alignment horizontal="center" vertical="center" wrapText="1"/>
    </xf>
    <xf numFmtId="0" fontId="87" fillId="56" borderId="29" xfId="0" applyNumberFormat="1" applyFont="1" applyFill="1" applyBorder="1" applyAlignment="1">
      <alignment horizontal="center" vertical="center" wrapText="1"/>
    </xf>
    <xf numFmtId="3" fontId="100" fillId="56" borderId="29" xfId="0" applyNumberFormat="1" applyFont="1" applyFill="1" applyBorder="1" applyAlignment="1">
      <alignment horizontal="right" vertical="center" wrapText="1"/>
    </xf>
    <xf numFmtId="182" fontId="87" fillId="56" borderId="29" xfId="0" applyNumberFormat="1" applyFont="1" applyFill="1" applyBorder="1" applyAlignment="1">
      <alignment horizontal="center" vertical="center" wrapText="1"/>
    </xf>
    <xf numFmtId="0" fontId="87" fillId="56" borderId="29" xfId="81" applyNumberFormat="1" applyFont="1" applyFill="1" applyBorder="1" applyAlignment="1">
      <alignment horizontal="center" vertical="center" wrapText="1"/>
    </xf>
    <xf numFmtId="179" fontId="87" fillId="56" borderId="29" xfId="0" applyNumberFormat="1" applyFont="1" applyFill="1" applyBorder="1" applyAlignment="1">
      <alignment horizontal="center" vertical="center" wrapText="1"/>
    </xf>
    <xf numFmtId="17" fontId="87" fillId="56" borderId="29" xfId="0" applyNumberFormat="1" applyFont="1" applyFill="1" applyBorder="1" applyAlignment="1">
      <alignment horizontal="center" vertical="center" wrapText="1"/>
    </xf>
    <xf numFmtId="3" fontId="87" fillId="56" borderId="20" xfId="0" applyNumberFormat="1" applyFont="1" applyFill="1" applyBorder="1" applyAlignment="1">
      <alignment horizontal="center" vertical="center" wrapText="1"/>
    </xf>
    <xf numFmtId="0" fontId="87" fillId="0" borderId="0" xfId="121" applyFont="1" applyFill="1" applyBorder="1" applyAlignment="1">
      <alignment vertical="center" wrapText="1"/>
      <protection/>
    </xf>
    <xf numFmtId="178" fontId="89" fillId="0" borderId="0" xfId="81" applyNumberFormat="1" applyFont="1" applyAlignment="1">
      <alignment horizontal="right" vertical="center" wrapText="1"/>
    </xf>
    <xf numFmtId="3" fontId="96" fillId="56" borderId="20" xfId="0" applyNumberFormat="1" applyFont="1" applyFill="1" applyBorder="1" applyAlignment="1">
      <alignment horizontal="right" vertical="center" wrapText="1"/>
    </xf>
    <xf numFmtId="182" fontId="89" fillId="0" borderId="20" xfId="0" applyNumberFormat="1" applyFont="1" applyBorder="1" applyAlignment="1">
      <alignment horizontal="center" vertical="center" wrapText="1"/>
    </xf>
    <xf numFmtId="0" fontId="87" fillId="0" borderId="0" xfId="121" applyFont="1" applyFill="1" applyBorder="1" applyAlignment="1">
      <alignment horizontal="center" vertical="center" wrapText="1"/>
      <protection/>
    </xf>
    <xf numFmtId="0" fontId="89" fillId="62" borderId="33" xfId="0" applyFont="1" applyFill="1" applyBorder="1" applyAlignment="1">
      <alignment horizontal="center" vertical="center" wrapText="1"/>
    </xf>
    <xf numFmtId="0" fontId="89" fillId="62" borderId="33" xfId="0" applyNumberFormat="1" applyFont="1" applyFill="1" applyBorder="1" applyAlignment="1">
      <alignment horizontal="center" vertical="center" wrapText="1"/>
    </xf>
    <xf numFmtId="3" fontId="100" fillId="62" borderId="33" xfId="0" applyNumberFormat="1" applyFont="1" applyFill="1" applyBorder="1" applyAlignment="1">
      <alignment horizontal="right" vertical="center" wrapText="1"/>
    </xf>
    <xf numFmtId="182" fontId="89" fillId="62" borderId="33" xfId="0" applyNumberFormat="1" applyFont="1" applyFill="1" applyBorder="1" applyAlignment="1">
      <alignment horizontal="center" vertical="center" wrapText="1"/>
    </xf>
    <xf numFmtId="0" fontId="89" fillId="62" borderId="33" xfId="81" applyNumberFormat="1" applyFont="1" applyFill="1" applyBorder="1" applyAlignment="1">
      <alignment horizontal="center" vertical="center" wrapText="1"/>
    </xf>
    <xf numFmtId="179" fontId="89" fillId="62" borderId="33" xfId="0" applyNumberFormat="1" applyFont="1" applyFill="1" applyBorder="1" applyAlignment="1">
      <alignment horizontal="center" vertical="center" wrapText="1"/>
    </xf>
    <xf numFmtId="17" fontId="89" fillId="62" borderId="33" xfId="0" applyNumberFormat="1" applyFont="1" applyFill="1" applyBorder="1" applyAlignment="1">
      <alignment horizontal="center" vertical="center" wrapText="1"/>
    </xf>
    <xf numFmtId="0" fontId="89" fillId="62" borderId="29" xfId="0" applyFont="1" applyFill="1" applyBorder="1" applyAlignment="1">
      <alignment horizontal="center" vertical="center" wrapText="1"/>
    </xf>
    <xf numFmtId="0" fontId="89" fillId="62" borderId="29" xfId="0" applyFont="1" applyFill="1" applyBorder="1" applyAlignment="1">
      <alignment horizontal="center" vertical="center" wrapText="1"/>
    </xf>
    <xf numFmtId="3" fontId="100" fillId="62" borderId="29" xfId="0" applyNumberFormat="1" applyFont="1" applyFill="1" applyBorder="1" applyAlignment="1">
      <alignment horizontal="right" vertical="center" wrapText="1"/>
    </xf>
    <xf numFmtId="182" fontId="89" fillId="62" borderId="29" xfId="0" applyNumberFormat="1" applyFont="1" applyFill="1" applyBorder="1" applyAlignment="1">
      <alignment horizontal="center" vertical="center" wrapText="1"/>
    </xf>
    <xf numFmtId="0" fontId="89" fillId="62" borderId="29" xfId="81" applyNumberFormat="1" applyFont="1" applyFill="1" applyBorder="1" applyAlignment="1">
      <alignment horizontal="center" vertical="center" wrapText="1"/>
    </xf>
    <xf numFmtId="179" fontId="89" fillId="62" borderId="29" xfId="0" applyNumberFormat="1" applyFont="1" applyFill="1" applyBorder="1" applyAlignment="1">
      <alignment horizontal="center" vertical="center" wrapText="1"/>
    </xf>
    <xf numFmtId="17" fontId="89" fillId="62" borderId="29" xfId="0" applyNumberFormat="1" applyFont="1" applyFill="1" applyBorder="1" applyAlignment="1">
      <alignment horizontal="center" vertical="center" wrapText="1"/>
    </xf>
    <xf numFmtId="0" fontId="87" fillId="60" borderId="20" xfId="0" applyFont="1" applyFill="1" applyBorder="1" applyAlignment="1">
      <alignment horizontal="center" vertical="center" wrapText="1"/>
    </xf>
    <xf numFmtId="9" fontId="87" fillId="59" borderId="20" xfId="123" applyNumberFormat="1" applyFont="1" applyFill="1" applyBorder="1" applyAlignment="1" applyProtection="1">
      <alignment horizontal="center" vertical="center" wrapText="1"/>
      <protection locked="0"/>
    </xf>
    <xf numFmtId="3" fontId="87" fillId="60" borderId="20" xfId="107" applyNumberFormat="1" applyFont="1" applyFill="1" applyBorder="1" applyAlignment="1">
      <alignment horizontal="right" vertical="center" wrapText="1"/>
    </xf>
    <xf numFmtId="3" fontId="87" fillId="61" borderId="20" xfId="107" applyNumberFormat="1" applyFont="1" applyFill="1" applyBorder="1" applyAlignment="1">
      <alignment horizontal="right" vertical="center" wrapText="1"/>
    </xf>
    <xf numFmtId="3" fontId="89" fillId="56" borderId="20" xfId="107" applyNumberFormat="1" applyFont="1" applyFill="1" applyBorder="1" applyAlignment="1">
      <alignment horizontal="right" vertical="center" wrapText="1"/>
    </xf>
    <xf numFmtId="3" fontId="87" fillId="45" borderId="20" xfId="107" applyNumberFormat="1" applyFont="1" applyFill="1" applyBorder="1" applyAlignment="1">
      <alignment horizontal="right" vertical="center" wrapText="1"/>
    </xf>
    <xf numFmtId="3" fontId="87" fillId="0" borderId="20" xfId="107" applyNumberFormat="1" applyFont="1" applyFill="1" applyBorder="1" applyAlignment="1">
      <alignment horizontal="right" vertical="center" wrapText="1"/>
    </xf>
    <xf numFmtId="3" fontId="89" fillId="56" borderId="33" xfId="107" applyNumberFormat="1" applyFont="1" applyFill="1" applyBorder="1" applyAlignment="1">
      <alignment horizontal="right" vertical="center" wrapText="1"/>
    </xf>
    <xf numFmtId="184" fontId="87" fillId="60" borderId="20" xfId="0" applyNumberFormat="1" applyFont="1" applyFill="1" applyBorder="1" applyAlignment="1">
      <alignment vertical="center" wrapText="1"/>
    </xf>
    <xf numFmtId="3" fontId="89" fillId="56" borderId="29" xfId="107" applyNumberFormat="1" applyFont="1" applyFill="1" applyBorder="1" applyAlignment="1">
      <alignment horizontal="right" vertical="center" wrapText="1"/>
    </xf>
    <xf numFmtId="184" fontId="87" fillId="59" borderId="20" xfId="0" applyNumberFormat="1" applyFont="1" applyFill="1" applyBorder="1" applyAlignment="1">
      <alignment vertical="center" wrapText="1"/>
    </xf>
    <xf numFmtId="3" fontId="119" fillId="56" borderId="20" xfId="0" applyNumberFormat="1" applyFont="1" applyFill="1" applyBorder="1" applyAlignment="1">
      <alignment horizontal="right" vertical="center" wrapText="1"/>
    </xf>
    <xf numFmtId="0" fontId="114" fillId="56" borderId="20" xfId="81" applyNumberFormat="1" applyFont="1" applyFill="1" applyBorder="1" applyAlignment="1">
      <alignment horizontal="center" vertical="center" wrapText="1"/>
    </xf>
    <xf numFmtId="17" fontId="114" fillId="56" borderId="20" xfId="0" applyNumberFormat="1" applyFont="1" applyFill="1" applyBorder="1" applyAlignment="1">
      <alignment horizontal="center" vertical="center" wrapText="1"/>
    </xf>
    <xf numFmtId="184" fontId="114" fillId="56" borderId="20" xfId="107" applyNumberFormat="1" applyFont="1" applyFill="1" applyBorder="1" applyAlignment="1">
      <alignment horizontal="right" vertical="center" wrapText="1"/>
    </xf>
    <xf numFmtId="184" fontId="114" fillId="56" borderId="0" xfId="107" applyNumberFormat="1" applyFont="1" applyFill="1" applyBorder="1" applyAlignment="1">
      <alignment horizontal="right" vertical="center" wrapText="1"/>
    </xf>
    <xf numFmtId="180" fontId="114" fillId="56" borderId="0" xfId="0" applyNumberFormat="1" applyFont="1" applyFill="1" applyBorder="1" applyAlignment="1">
      <alignment vertical="center" wrapText="1"/>
    </xf>
    <xf numFmtId="180" fontId="118" fillId="56" borderId="0" xfId="0" applyNumberFormat="1" applyFont="1" applyFill="1" applyBorder="1" applyAlignment="1">
      <alignment vertical="center" wrapText="1"/>
    </xf>
    <xf numFmtId="180" fontId="114" fillId="56" borderId="0" xfId="83" applyNumberFormat="1" applyFont="1" applyFill="1" applyBorder="1" applyAlignment="1">
      <alignment vertical="center" wrapText="1"/>
    </xf>
    <xf numFmtId="0" fontId="101" fillId="60" borderId="29" xfId="0" applyFont="1" applyFill="1" applyBorder="1" applyAlignment="1">
      <alignment horizontal="center" vertical="center" wrapText="1"/>
    </xf>
    <xf numFmtId="43" fontId="101" fillId="60" borderId="29" xfId="0" applyNumberFormat="1" applyFont="1" applyFill="1" applyBorder="1" applyAlignment="1">
      <alignment horizontal="center" vertical="center" wrapText="1"/>
    </xf>
    <xf numFmtId="4" fontId="102" fillId="60" borderId="29" xfId="0" applyNumberFormat="1" applyFont="1" applyFill="1" applyBorder="1" applyAlignment="1">
      <alignment horizontal="right" vertical="center" wrapText="1"/>
    </xf>
    <xf numFmtId="9" fontId="101" fillId="60" borderId="29" xfId="0" applyNumberFormat="1" applyFont="1" applyFill="1" applyBorder="1" applyAlignment="1">
      <alignment horizontal="center" vertical="center" wrapText="1"/>
    </xf>
    <xf numFmtId="0" fontId="101" fillId="60" borderId="29" xfId="81" applyNumberFormat="1" applyFont="1" applyFill="1" applyBorder="1" applyAlignment="1">
      <alignment horizontal="center" vertical="center" wrapText="1"/>
    </xf>
    <xf numFmtId="179" fontId="101" fillId="60" borderId="29" xfId="0" applyNumberFormat="1" applyFont="1" applyFill="1" applyBorder="1" applyAlignment="1">
      <alignment horizontal="center" vertical="center" wrapText="1"/>
    </xf>
    <xf numFmtId="17" fontId="101" fillId="60" borderId="29" xfId="0" applyNumberFormat="1" applyFont="1" applyFill="1" applyBorder="1" applyAlignment="1">
      <alignment horizontal="center" vertical="center" wrapText="1"/>
    </xf>
    <xf numFmtId="0" fontId="114" fillId="56" borderId="20" xfId="0" applyNumberFormat="1" applyFont="1" applyFill="1" applyBorder="1" applyAlignment="1">
      <alignment horizontal="center" vertical="center" wrapText="1"/>
    </xf>
    <xf numFmtId="0" fontId="114" fillId="56" borderId="20" xfId="0" applyFont="1" applyFill="1" applyBorder="1" applyAlignment="1">
      <alignment vertical="center" wrapText="1"/>
    </xf>
    <xf numFmtId="3" fontId="120" fillId="56" borderId="20" xfId="0" applyNumberFormat="1" applyFont="1" applyFill="1" applyBorder="1" applyAlignment="1">
      <alignment horizontal="right" vertical="center" wrapText="1"/>
    </xf>
    <xf numFmtId="3" fontId="114" fillId="56" borderId="20" xfId="0" applyNumberFormat="1" applyFont="1" applyFill="1" applyBorder="1" applyAlignment="1">
      <alignment horizontal="center" vertical="center" wrapText="1"/>
    </xf>
    <xf numFmtId="0" fontId="114" fillId="56" borderId="20" xfId="0" applyFont="1" applyFill="1" applyBorder="1" applyAlignment="1">
      <alignment horizontal="right" vertical="center" wrapText="1"/>
    </xf>
    <xf numFmtId="181" fontId="114" fillId="56" borderId="0" xfId="0" applyNumberFormat="1" applyFont="1" applyFill="1" applyBorder="1" applyAlignment="1">
      <alignment vertical="center" wrapText="1"/>
    </xf>
    <xf numFmtId="1" fontId="114" fillId="56" borderId="0" xfId="0" applyNumberFormat="1" applyFont="1" applyFill="1" applyBorder="1" applyAlignment="1">
      <alignment vertical="center" wrapText="1"/>
    </xf>
    <xf numFmtId="0" fontId="101" fillId="56" borderId="20" xfId="0" applyFont="1" applyFill="1" applyBorder="1" applyAlignment="1">
      <alignment vertical="center" wrapText="1"/>
    </xf>
    <xf numFmtId="9" fontId="101" fillId="56" borderId="20" xfId="0" applyNumberFormat="1" applyFont="1" applyFill="1" applyBorder="1" applyAlignment="1">
      <alignment horizontal="center" vertical="center" wrapText="1"/>
    </xf>
    <xf numFmtId="184" fontId="95" fillId="56" borderId="20" xfId="107" applyNumberFormat="1" applyFont="1" applyFill="1" applyBorder="1" applyAlignment="1">
      <alignment horizontal="right" vertical="center" wrapText="1"/>
    </xf>
    <xf numFmtId="0" fontId="101" fillId="0" borderId="20" xfId="0" applyFont="1" applyFill="1" applyBorder="1" applyAlignment="1">
      <alignment horizontal="center" vertical="center" wrapText="1"/>
    </xf>
    <xf numFmtId="3" fontId="101" fillId="0" borderId="20" xfId="0" applyNumberFormat="1" applyFont="1" applyFill="1" applyBorder="1" applyAlignment="1">
      <alignment horizontal="center" vertical="center" wrapText="1"/>
    </xf>
    <xf numFmtId="3" fontId="115" fillId="0" borderId="20" xfId="0" applyNumberFormat="1" applyFont="1" applyFill="1" applyBorder="1" applyAlignment="1">
      <alignment horizontal="right" vertical="center" wrapText="1"/>
    </xf>
    <xf numFmtId="9" fontId="101" fillId="0" borderId="20" xfId="0" applyNumberFormat="1" applyFont="1" applyFill="1" applyBorder="1" applyAlignment="1">
      <alignment horizontal="center" vertical="center" wrapText="1"/>
    </xf>
    <xf numFmtId="179" fontId="101" fillId="0" borderId="20" xfId="0" applyNumberFormat="1" applyFont="1" applyFill="1" applyBorder="1" applyAlignment="1">
      <alignment horizontal="center" vertical="center" wrapText="1"/>
    </xf>
    <xf numFmtId="3" fontId="101" fillId="0" borderId="20" xfId="107" applyNumberFormat="1" applyFont="1" applyFill="1" applyBorder="1" applyAlignment="1">
      <alignment horizontal="right" vertical="center" wrapText="1"/>
    </xf>
    <xf numFmtId="0" fontId="88" fillId="34" borderId="39" xfId="0" applyFont="1" applyFill="1" applyBorder="1" applyAlignment="1">
      <alignment horizontal="center" vertical="center" wrapText="1"/>
    </xf>
    <xf numFmtId="0" fontId="121" fillId="34" borderId="0" xfId="0" applyFont="1" applyFill="1" applyAlignment="1">
      <alignment horizontal="left" vertical="center" wrapText="1"/>
    </xf>
    <xf numFmtId="0" fontId="89" fillId="0" borderId="33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88" fillId="55" borderId="21" xfId="0" applyFont="1" applyFill="1" applyBorder="1" applyAlignment="1">
      <alignment horizontal="center" vertical="center"/>
    </xf>
    <xf numFmtId="0" fontId="88" fillId="55" borderId="24" xfId="0" applyFont="1" applyFill="1" applyBorder="1" applyAlignment="1">
      <alignment horizontal="center" vertical="center"/>
    </xf>
    <xf numFmtId="0" fontId="88" fillId="55" borderId="41" xfId="0" applyFont="1" applyFill="1" applyBorder="1" applyAlignment="1">
      <alignment horizontal="center" vertical="center"/>
    </xf>
    <xf numFmtId="0" fontId="88" fillId="55" borderId="21" xfId="0" applyFont="1" applyFill="1" applyBorder="1" applyAlignment="1">
      <alignment horizontal="left" vertical="center" wrapText="1"/>
    </xf>
    <xf numFmtId="0" fontId="88" fillId="55" borderId="24" xfId="0" applyFont="1" applyFill="1" applyBorder="1" applyAlignment="1">
      <alignment horizontal="left" vertical="center" wrapText="1"/>
    </xf>
    <xf numFmtId="0" fontId="88" fillId="55" borderId="41" xfId="0" applyFont="1" applyFill="1" applyBorder="1" applyAlignment="1">
      <alignment horizontal="left" vertical="center" wrapText="1"/>
    </xf>
    <xf numFmtId="0" fontId="88" fillId="55" borderId="33" xfId="0" applyFont="1" applyFill="1" applyBorder="1" applyAlignment="1">
      <alignment horizontal="center" vertical="center"/>
    </xf>
    <xf numFmtId="0" fontId="88" fillId="55" borderId="40" xfId="0" applyFont="1" applyFill="1" applyBorder="1" applyAlignment="1">
      <alignment horizontal="center" vertical="center"/>
    </xf>
    <xf numFmtId="0" fontId="88" fillId="55" borderId="29" xfId="0" applyFont="1" applyFill="1" applyBorder="1" applyAlignment="1">
      <alignment horizontal="center" vertical="center"/>
    </xf>
    <xf numFmtId="0" fontId="27" fillId="0" borderId="40" xfId="127" applyFont="1" applyFill="1" applyBorder="1" applyAlignment="1">
      <alignment horizontal="center" vertical="center" wrapText="1"/>
      <protection/>
    </xf>
    <xf numFmtId="0" fontId="27" fillId="0" borderId="29" xfId="127" applyFont="1" applyFill="1" applyBorder="1" applyAlignment="1">
      <alignment horizontal="center" vertical="center" wrapText="1"/>
      <protection/>
    </xf>
    <xf numFmtId="0" fontId="87" fillId="56" borderId="38" xfId="0" applyFont="1" applyFill="1" applyBorder="1" applyAlignment="1">
      <alignment horizontal="center" vertical="center" wrapText="1"/>
    </xf>
    <xf numFmtId="0" fontId="87" fillId="56" borderId="35" xfId="0" applyFont="1" applyFill="1" applyBorder="1" applyAlignment="1">
      <alignment horizontal="center" vertical="center" wrapText="1"/>
    </xf>
    <xf numFmtId="0" fontId="95" fillId="56" borderId="38" xfId="0" applyFont="1" applyFill="1" applyBorder="1" applyAlignment="1">
      <alignment horizontal="center" vertical="center" wrapText="1"/>
    </xf>
    <xf numFmtId="0" fontId="95" fillId="56" borderId="35" xfId="0" applyFont="1" applyFill="1" applyBorder="1" applyAlignment="1">
      <alignment horizontal="center" vertical="center" wrapText="1"/>
    </xf>
    <xf numFmtId="0" fontId="122" fillId="0" borderId="0" xfId="0" applyFont="1" applyBorder="1" applyAlignment="1" applyProtection="1">
      <alignment horizontal="center" vertical="center"/>
      <protection/>
    </xf>
    <xf numFmtId="0" fontId="25" fillId="56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23" fillId="0" borderId="0" xfId="0" applyFont="1" applyAlignment="1">
      <alignment/>
    </xf>
    <xf numFmtId="0" fontId="93" fillId="0" borderId="0" xfId="0" applyFont="1" applyAlignment="1">
      <alignment horizontal="center" vertical="center"/>
    </xf>
    <xf numFmtId="0" fontId="88" fillId="63" borderId="33" xfId="0" applyFont="1" applyFill="1" applyBorder="1" applyAlignment="1">
      <alignment horizontal="center" vertical="center"/>
    </xf>
    <xf numFmtId="0" fontId="88" fillId="63" borderId="40" xfId="0" applyFont="1" applyFill="1" applyBorder="1" applyAlignment="1">
      <alignment horizontal="center" vertical="center"/>
    </xf>
    <xf numFmtId="0" fontId="88" fillId="63" borderId="29" xfId="0" applyFont="1" applyFill="1" applyBorder="1" applyAlignment="1">
      <alignment horizontal="center" vertical="center"/>
    </xf>
    <xf numFmtId="0" fontId="64" fillId="57" borderId="20" xfId="121" applyFont="1" applyFill="1" applyBorder="1" applyAlignment="1">
      <alignment horizontal="left" vertical="center" wrapText="1"/>
      <protection/>
    </xf>
    <xf numFmtId="0" fontId="19" fillId="57" borderId="20" xfId="121" applyFont="1" applyFill="1" applyBorder="1" applyAlignment="1">
      <alignment horizontal="center" vertical="center" wrapText="1"/>
      <protection/>
    </xf>
    <xf numFmtId="0" fontId="88" fillId="57" borderId="20" xfId="121" applyFont="1" applyFill="1" applyBorder="1" applyAlignment="1">
      <alignment horizontal="center" vertical="center" wrapText="1"/>
      <protection/>
    </xf>
    <xf numFmtId="0" fontId="87" fillId="0" borderId="0" xfId="0" applyFont="1" applyFill="1" applyBorder="1" applyAlignment="1">
      <alignment horizontal="center" vertical="center" wrapText="1"/>
    </xf>
    <xf numFmtId="0" fontId="64" fillId="63" borderId="20" xfId="121" applyFont="1" applyFill="1" applyBorder="1" applyAlignment="1">
      <alignment horizontal="left" vertical="center" wrapText="1"/>
      <protection/>
    </xf>
    <xf numFmtId="0" fontId="19" fillId="57" borderId="33" xfId="121" applyFont="1" applyFill="1" applyBorder="1" applyAlignment="1">
      <alignment horizontal="center" vertical="center" wrapText="1"/>
      <protection/>
    </xf>
    <xf numFmtId="0" fontId="19" fillId="57" borderId="29" xfId="121" applyFont="1" applyFill="1" applyBorder="1" applyAlignment="1">
      <alignment horizontal="center" vertical="center" wrapText="1"/>
      <protection/>
    </xf>
    <xf numFmtId="0" fontId="124" fillId="63" borderId="20" xfId="0" applyFont="1" applyFill="1" applyBorder="1" applyAlignment="1">
      <alignment horizontal="center" vertical="center" wrapText="1"/>
    </xf>
    <xf numFmtId="0" fontId="19" fillId="57" borderId="38" xfId="121" applyFont="1" applyFill="1" applyBorder="1" applyAlignment="1">
      <alignment horizontal="center" vertical="center" wrapText="1"/>
      <protection/>
    </xf>
    <xf numFmtId="0" fontId="19" fillId="57" borderId="35" xfId="121" applyFont="1" applyFill="1" applyBorder="1" applyAlignment="1">
      <alignment horizontal="center" vertical="center" wrapText="1"/>
      <protection/>
    </xf>
    <xf numFmtId="0" fontId="19" fillId="57" borderId="34" xfId="121" applyFont="1" applyFill="1" applyBorder="1" applyAlignment="1">
      <alignment horizontal="center" vertical="center" wrapText="1"/>
      <protection/>
    </xf>
    <xf numFmtId="9" fontId="95" fillId="56" borderId="20" xfId="123" applyNumberFormat="1" applyFont="1" applyFill="1" applyBorder="1" applyAlignment="1" applyProtection="1">
      <alignment horizontal="center" vertical="center" wrapText="1"/>
      <protection locked="0"/>
    </xf>
    <xf numFmtId="17" fontId="95" fillId="56" borderId="20" xfId="0" applyNumberFormat="1" applyFont="1" applyFill="1" applyBorder="1" applyAlignment="1">
      <alignment horizontal="center" vertical="center" wrapText="1"/>
    </xf>
    <xf numFmtId="0" fontId="64" fillId="57" borderId="20" xfId="122" applyFont="1" applyFill="1" applyBorder="1" applyAlignment="1">
      <alignment horizontal="left" vertical="center" wrapText="1"/>
      <protection/>
    </xf>
    <xf numFmtId="0" fontId="31" fillId="57" borderId="20" xfId="122" applyFont="1" applyFill="1" applyBorder="1" applyAlignment="1">
      <alignment horizontal="center" vertical="center" wrapText="1"/>
      <protection/>
    </xf>
    <xf numFmtId="0" fontId="31" fillId="57" borderId="20" xfId="122" applyFont="1" applyFill="1" applyBorder="1" applyAlignment="1">
      <alignment horizontal="center" vertical="center"/>
      <protection/>
    </xf>
    <xf numFmtId="0" fontId="124" fillId="63" borderId="20" xfId="0" applyFont="1" applyFill="1" applyBorder="1" applyAlignment="1">
      <alignment horizontal="center" vertical="center"/>
    </xf>
    <xf numFmtId="0" fontId="19" fillId="57" borderId="20" xfId="122" applyFont="1" applyFill="1" applyBorder="1" applyAlignment="1">
      <alignment horizontal="center" vertical="center" wrapText="1"/>
      <protection/>
    </xf>
    <xf numFmtId="0" fontId="19" fillId="57" borderId="20" xfId="122" applyFont="1" applyFill="1" applyBorder="1" applyAlignment="1">
      <alignment horizontal="center" vertical="center"/>
      <protection/>
    </xf>
    <xf numFmtId="0" fontId="88" fillId="64" borderId="20" xfId="0" applyFont="1" applyFill="1" applyBorder="1" applyAlignment="1">
      <alignment horizontal="center" vertical="center" wrapText="1"/>
    </xf>
    <xf numFmtId="0" fontId="24" fillId="0" borderId="20" xfId="127" applyFont="1" applyFill="1" applyBorder="1" applyAlignment="1">
      <alignment horizontal="center" vertical="center" wrapText="1"/>
      <protection/>
    </xf>
    <xf numFmtId="0" fontId="24" fillId="0" borderId="20" xfId="127" applyFont="1" applyFill="1" applyBorder="1" applyAlignment="1">
      <alignment horizontal="left" vertical="center" wrapText="1"/>
      <protection/>
    </xf>
    <xf numFmtId="0" fontId="21" fillId="0" borderId="20" xfId="0" applyFont="1" applyFill="1" applyBorder="1" applyAlignment="1">
      <alignment horizontal="left" vertical="center" wrapText="1"/>
    </xf>
    <xf numFmtId="0" fontId="87" fillId="0" borderId="20" xfId="0" applyFont="1" applyBorder="1" applyAlignment="1">
      <alignment horizontal="center" vertical="center" wrapText="1"/>
    </xf>
    <xf numFmtId="0" fontId="88" fillId="64" borderId="38" xfId="0" applyFont="1" applyFill="1" applyBorder="1" applyAlignment="1">
      <alignment horizontal="center" vertical="center" wrapText="1"/>
    </xf>
    <xf numFmtId="0" fontId="88" fillId="64" borderId="34" xfId="0" applyFont="1" applyFill="1" applyBorder="1" applyAlignment="1">
      <alignment horizontal="center" vertical="center" wrapText="1"/>
    </xf>
    <xf numFmtId="0" fontId="88" fillId="64" borderId="35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14" fillId="56" borderId="38" xfId="0" applyFont="1" applyFill="1" applyBorder="1" applyAlignment="1">
      <alignment horizontal="left" vertical="center" wrapText="1"/>
    </xf>
    <xf numFmtId="0" fontId="114" fillId="56" borderId="35" xfId="0" applyFont="1" applyFill="1" applyBorder="1" applyAlignment="1">
      <alignment horizontal="left" vertical="center" wrapText="1"/>
    </xf>
    <xf numFmtId="0" fontId="87" fillId="56" borderId="38" xfId="0" applyFont="1" applyFill="1" applyBorder="1" applyAlignment="1">
      <alignment horizontal="left" vertical="center" wrapText="1"/>
    </xf>
    <xf numFmtId="0" fontId="87" fillId="56" borderId="35" xfId="0" applyFont="1" applyFill="1" applyBorder="1" applyAlignment="1">
      <alignment horizontal="left" vertical="center" wrapText="1"/>
    </xf>
    <xf numFmtId="0" fontId="87" fillId="60" borderId="38" xfId="0" applyFont="1" applyFill="1" applyBorder="1" applyAlignment="1">
      <alignment horizontal="left" vertical="center" wrapText="1"/>
    </xf>
    <xf numFmtId="0" fontId="87" fillId="60" borderId="35" xfId="0" applyFont="1" applyFill="1" applyBorder="1" applyAlignment="1">
      <alignment horizontal="left" vertical="center" wrapText="1"/>
    </xf>
    <xf numFmtId="0" fontId="89" fillId="62" borderId="38" xfId="0" applyFont="1" applyFill="1" applyBorder="1" applyAlignment="1">
      <alignment horizontal="left" vertical="center" wrapText="1"/>
    </xf>
    <xf numFmtId="0" fontId="89" fillId="62" borderId="35" xfId="0" applyFont="1" applyFill="1" applyBorder="1" applyAlignment="1">
      <alignment horizontal="left" vertical="center" wrapText="1"/>
    </xf>
    <xf numFmtId="0" fontId="87" fillId="0" borderId="38" xfId="0" applyFont="1" applyFill="1" applyBorder="1" applyAlignment="1">
      <alignment horizontal="left" vertical="center" wrapText="1"/>
    </xf>
    <xf numFmtId="0" fontId="87" fillId="0" borderId="35" xfId="0" applyFont="1" applyFill="1" applyBorder="1" applyAlignment="1">
      <alignment horizontal="left" vertical="center" wrapText="1"/>
    </xf>
    <xf numFmtId="0" fontId="87" fillId="59" borderId="38" xfId="0" applyFont="1" applyFill="1" applyBorder="1" applyAlignment="1">
      <alignment horizontal="left" vertical="center" wrapText="1"/>
    </xf>
    <xf numFmtId="0" fontId="87" fillId="59" borderId="35" xfId="0" applyFont="1" applyFill="1" applyBorder="1" applyAlignment="1">
      <alignment horizontal="left" vertical="center" wrapText="1"/>
    </xf>
    <xf numFmtId="0" fontId="95" fillId="0" borderId="38" xfId="0" applyFont="1" applyFill="1" applyBorder="1" applyAlignment="1">
      <alignment horizontal="left" vertical="center" wrapText="1"/>
    </xf>
    <xf numFmtId="0" fontId="95" fillId="0" borderId="35" xfId="0" applyFont="1" applyFill="1" applyBorder="1" applyAlignment="1">
      <alignment horizontal="left" vertical="center" wrapText="1"/>
    </xf>
    <xf numFmtId="0" fontId="95" fillId="56" borderId="38" xfId="0" applyFont="1" applyFill="1" applyBorder="1" applyAlignment="1">
      <alignment horizontal="left" vertical="center" wrapText="1"/>
    </xf>
    <xf numFmtId="0" fontId="95" fillId="56" borderId="35" xfId="0" applyFont="1" applyFill="1" applyBorder="1" applyAlignment="1">
      <alignment horizontal="left" vertical="center" wrapText="1"/>
    </xf>
    <xf numFmtId="0" fontId="19" fillId="57" borderId="42" xfId="121" applyFont="1" applyFill="1" applyBorder="1" applyAlignment="1">
      <alignment horizontal="center" vertical="center" wrapText="1"/>
      <protection/>
    </xf>
    <xf numFmtId="0" fontId="19" fillId="57" borderId="43" xfId="121" applyFont="1" applyFill="1" applyBorder="1" applyAlignment="1">
      <alignment horizontal="center" vertical="center" wrapText="1"/>
      <protection/>
    </xf>
    <xf numFmtId="0" fontId="95" fillId="59" borderId="38" xfId="0" applyFont="1" applyFill="1" applyBorder="1" applyAlignment="1">
      <alignment horizontal="left" vertical="center" wrapText="1"/>
    </xf>
    <xf numFmtId="0" fontId="95" fillId="59" borderId="35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19" fillId="57" borderId="36" xfId="121" applyFont="1" applyFill="1" applyBorder="1" applyAlignment="1">
      <alignment horizontal="center" vertical="center" wrapText="1"/>
      <protection/>
    </xf>
    <xf numFmtId="0" fontId="19" fillId="57" borderId="37" xfId="121" applyFont="1" applyFill="1" applyBorder="1" applyAlignment="1">
      <alignment horizontal="center" vertical="center" wrapText="1"/>
      <protection/>
    </xf>
    <xf numFmtId="0" fontId="64" fillId="63" borderId="38" xfId="121" applyFont="1" applyFill="1" applyBorder="1" applyAlignment="1">
      <alignment horizontal="left" vertical="center" wrapText="1"/>
      <protection/>
    </xf>
    <xf numFmtId="0" fontId="64" fillId="63" borderId="34" xfId="121" applyFont="1" applyFill="1" applyBorder="1" applyAlignment="1">
      <alignment horizontal="left" vertical="center" wrapText="1"/>
      <protection/>
    </xf>
    <xf numFmtId="0" fontId="64" fillId="63" borderId="35" xfId="121" applyFont="1" applyFill="1" applyBorder="1" applyAlignment="1">
      <alignment horizontal="left" vertical="center" wrapText="1"/>
      <protection/>
    </xf>
    <xf numFmtId="0" fontId="27" fillId="0" borderId="33" xfId="121" applyFont="1" applyFill="1" applyBorder="1" applyAlignment="1">
      <alignment horizontal="center" vertical="center" wrapText="1"/>
      <protection/>
    </xf>
    <xf numFmtId="0" fontId="27" fillId="0" borderId="29" xfId="121" applyFont="1" applyFill="1" applyBorder="1" applyAlignment="1">
      <alignment horizontal="center" vertical="center" wrapText="1"/>
      <protection/>
    </xf>
    <xf numFmtId="0" fontId="19" fillId="63" borderId="20" xfId="121" applyFont="1" applyFill="1" applyBorder="1" applyAlignment="1">
      <alignment horizontal="center" vertical="center" wrapText="1"/>
      <protection/>
    </xf>
    <xf numFmtId="0" fontId="88" fillId="63" borderId="20" xfId="121" applyFont="1" applyFill="1" applyBorder="1" applyAlignment="1">
      <alignment horizontal="center" vertical="center" wrapText="1"/>
      <protection/>
    </xf>
    <xf numFmtId="0" fontId="24" fillId="0" borderId="34" xfId="0" applyFont="1" applyFill="1" applyBorder="1" applyAlignment="1">
      <alignment horizontal="left" vertical="center" wrapText="1"/>
    </xf>
    <xf numFmtId="0" fontId="95" fillId="60" borderId="38" xfId="0" applyFont="1" applyFill="1" applyBorder="1" applyAlignment="1">
      <alignment horizontal="left" vertical="center" wrapText="1"/>
    </xf>
    <xf numFmtId="0" fontId="95" fillId="60" borderId="35" xfId="0" applyFont="1" applyFill="1" applyBorder="1" applyAlignment="1">
      <alignment horizontal="left" vertical="center" wrapText="1"/>
    </xf>
    <xf numFmtId="0" fontId="125" fillId="62" borderId="38" xfId="0" applyFont="1" applyFill="1" applyBorder="1" applyAlignment="1">
      <alignment horizontal="left" vertical="center" wrapText="1"/>
    </xf>
    <xf numFmtId="0" fontId="125" fillId="62" borderId="35" xfId="0" applyFont="1" applyFill="1" applyBorder="1" applyAlignment="1">
      <alignment horizontal="left" vertical="center" wrapText="1"/>
    </xf>
    <xf numFmtId="0" fontId="24" fillId="0" borderId="33" xfId="127" applyFont="1" applyFill="1" applyBorder="1" applyAlignment="1">
      <alignment horizontal="center" vertical="center" wrapText="1"/>
      <protection/>
    </xf>
    <xf numFmtId="0" fontId="24" fillId="0" borderId="40" xfId="127" applyFont="1" applyFill="1" applyBorder="1" applyAlignment="1">
      <alignment horizontal="center" vertical="center" wrapText="1"/>
      <protection/>
    </xf>
    <xf numFmtId="0" fontId="24" fillId="0" borderId="29" xfId="127" applyFont="1" applyFill="1" applyBorder="1" applyAlignment="1">
      <alignment horizontal="center" vertical="center" wrapText="1"/>
      <protection/>
    </xf>
    <xf numFmtId="0" fontId="64" fillId="57" borderId="38" xfId="121" applyFont="1" applyFill="1" applyBorder="1" applyAlignment="1">
      <alignment horizontal="left" vertical="center" wrapText="1"/>
      <protection/>
    </xf>
    <xf numFmtId="0" fontId="64" fillId="57" borderId="34" xfId="121" applyFont="1" applyFill="1" applyBorder="1" applyAlignment="1">
      <alignment horizontal="left" vertical="center" wrapText="1"/>
      <protection/>
    </xf>
    <xf numFmtId="0" fontId="64" fillId="57" borderId="35" xfId="121" applyFont="1" applyFill="1" applyBorder="1" applyAlignment="1">
      <alignment horizontal="left" vertical="center" wrapText="1"/>
      <protection/>
    </xf>
    <xf numFmtId="0" fontId="21" fillId="0" borderId="38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111" fillId="62" borderId="38" xfId="0" applyFont="1" applyFill="1" applyBorder="1" applyAlignment="1">
      <alignment horizontal="left" vertical="center" wrapText="1"/>
    </xf>
    <xf numFmtId="0" fontId="111" fillId="62" borderId="35" xfId="0" applyFont="1" applyFill="1" applyBorder="1" applyAlignment="1">
      <alignment horizontal="left" vertical="center" wrapText="1"/>
    </xf>
    <xf numFmtId="0" fontId="88" fillId="64" borderId="33" xfId="0" applyFont="1" applyFill="1" applyBorder="1" applyAlignment="1">
      <alignment horizontal="center" vertical="center" wrapText="1"/>
    </xf>
    <xf numFmtId="0" fontId="88" fillId="64" borderId="40" xfId="0" applyFont="1" applyFill="1" applyBorder="1" applyAlignment="1">
      <alignment horizontal="center" vertical="center" wrapText="1"/>
    </xf>
    <xf numFmtId="0" fontId="88" fillId="64" borderId="29" xfId="0" applyFont="1" applyFill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27" fillId="62" borderId="38" xfId="0" applyFont="1" applyFill="1" applyBorder="1" applyAlignment="1">
      <alignment horizontal="left" vertical="center" wrapText="1"/>
    </xf>
    <xf numFmtId="0" fontId="27" fillId="62" borderId="35" xfId="0" applyFont="1" applyFill="1" applyBorder="1" applyAlignment="1">
      <alignment horizontal="left" vertical="center" wrapText="1"/>
    </xf>
    <xf numFmtId="0" fontId="101" fillId="60" borderId="38" xfId="0" applyFont="1" applyFill="1" applyBorder="1" applyAlignment="1">
      <alignment horizontal="left" vertical="center" wrapText="1"/>
    </xf>
    <xf numFmtId="0" fontId="101" fillId="60" borderId="35" xfId="0" applyFont="1" applyFill="1" applyBorder="1" applyAlignment="1">
      <alignment horizontal="left" vertical="center" wrapText="1"/>
    </xf>
  </cellXfs>
  <cellStyles count="146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cel Built-in Normal" xfId="85"/>
    <cellStyle name="Excel Built-in Normal 2" xfId="86"/>
    <cellStyle name="Excel Built-in Normal 2 2" xfId="87"/>
    <cellStyle name="Excel Built-in Separador de milhares 2" xfId="88"/>
    <cellStyle name="Explanatory Text" xfId="89"/>
    <cellStyle name="Explanatory Text 2" xfId="90"/>
    <cellStyle name="Followed Hyperlink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Hyperlink" xfId="102"/>
    <cellStyle name="Input" xfId="103"/>
    <cellStyle name="Input 2" xfId="104"/>
    <cellStyle name="Linked Cell" xfId="105"/>
    <cellStyle name="Linked Cell 2" xfId="106"/>
    <cellStyle name="Moeda 2" xfId="107"/>
    <cellStyle name="Moeda 3" xfId="108"/>
    <cellStyle name="Moeda 3 2" xfId="109"/>
    <cellStyle name="Moeda 3 2 2" xfId="110"/>
    <cellStyle name="Moeda 3 3" xfId="111"/>
    <cellStyle name="Neutral" xfId="112"/>
    <cellStyle name="Neutral 2" xfId="113"/>
    <cellStyle name="Normal 12" xfId="114"/>
    <cellStyle name="Normal 13" xfId="115"/>
    <cellStyle name="Normal 14" xfId="116"/>
    <cellStyle name="Normal 16" xfId="117"/>
    <cellStyle name="Normal 17" xfId="118"/>
    <cellStyle name="Normal 18" xfId="119"/>
    <cellStyle name="Normal 19" xfId="120"/>
    <cellStyle name="Normal 2" xfId="121"/>
    <cellStyle name="Normal 2 2" xfId="122"/>
    <cellStyle name="Normal 2 2 2" xfId="123"/>
    <cellStyle name="Normal 20" xfId="124"/>
    <cellStyle name="Normal 21" xfId="125"/>
    <cellStyle name="Normal 23" xfId="126"/>
    <cellStyle name="Normal 3" xfId="127"/>
    <cellStyle name="Normal 9" xfId="128"/>
    <cellStyle name="Note" xfId="129"/>
    <cellStyle name="Note 2" xfId="130"/>
    <cellStyle name="Note 2 2" xfId="131"/>
    <cellStyle name="Output" xfId="132"/>
    <cellStyle name="Output 2" xfId="133"/>
    <cellStyle name="Percent" xfId="134"/>
    <cellStyle name="Porcentagem 2" xfId="135"/>
    <cellStyle name="Separador de milhares 2 2" xfId="136"/>
    <cellStyle name="Separador de milhares 2 2 2" xfId="137"/>
    <cellStyle name="Separador de milhares 2 2 2 2" xfId="138"/>
    <cellStyle name="Separador de milhares 2 2 2 2 2" xfId="139"/>
    <cellStyle name="Separador de milhares 2 2 2 3" xfId="140"/>
    <cellStyle name="Title" xfId="141"/>
    <cellStyle name="Title 2" xfId="142"/>
    <cellStyle name="Total" xfId="143"/>
    <cellStyle name="Total 2" xfId="144"/>
    <cellStyle name="Vírgula 2" xfId="145"/>
    <cellStyle name="Vírgula 2 2" xfId="146"/>
    <cellStyle name="Vírgula 2 2 2" xfId="147"/>
    <cellStyle name="Vírgula 2 2 2 2" xfId="148"/>
    <cellStyle name="Vírgula 2 2 2 2 2" xfId="149"/>
    <cellStyle name="Vírgula 2 2 2 3" xfId="150"/>
    <cellStyle name="Vírgula 2 3" xfId="151"/>
    <cellStyle name="Vírgula 2 3 2" xfId="152"/>
    <cellStyle name="Vírgula 2 4" xfId="153"/>
    <cellStyle name="Vírgula 3" xfId="154"/>
    <cellStyle name="Vírgula 4" xfId="155"/>
    <cellStyle name="Vírgula 4 2" xfId="156"/>
    <cellStyle name="Vírgula 5" xfId="157"/>
    <cellStyle name="Warning Text" xfId="158"/>
    <cellStyle name="Warning Text 2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2</xdr:col>
      <xdr:colOff>1343025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7625"/>
          <a:ext cx="1323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2</xdr:col>
      <xdr:colOff>1343025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47625"/>
          <a:ext cx="1323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="85" zoomScaleNormal="85" zoomScalePageLayoutView="0" workbookViewId="0" topLeftCell="A4">
      <selection activeCell="B20" sqref="B20"/>
    </sheetView>
  </sheetViews>
  <sheetFormatPr defaultColWidth="8.8515625" defaultRowHeight="15"/>
  <cols>
    <col min="1" max="1" width="20.8515625" style="0" bestFit="1" customWidth="1"/>
    <col min="2" max="2" width="68.8515625" style="0" customWidth="1"/>
    <col min="3" max="3" width="72.00390625" style="0" customWidth="1"/>
    <col min="4" max="4" width="8.8515625" style="0" customWidth="1"/>
    <col min="5" max="5" width="14.140625" style="0" customWidth="1"/>
    <col min="6" max="6" width="18.00390625" style="0" customWidth="1"/>
    <col min="7" max="7" width="78.421875" style="0" customWidth="1"/>
  </cols>
  <sheetData>
    <row r="1" spans="1:3" s="1" customFormat="1" ht="15" customHeight="1">
      <c r="A1" s="4"/>
      <c r="B1" s="4"/>
      <c r="C1" s="4"/>
    </row>
    <row r="2" spans="1:3" s="1" customFormat="1" ht="15" customHeight="1">
      <c r="A2" s="4"/>
      <c r="B2" s="4"/>
      <c r="C2" s="4"/>
    </row>
    <row r="3" spans="1:3" s="1" customFormat="1" ht="15" customHeight="1">
      <c r="A3" s="4"/>
      <c r="B3" s="4"/>
      <c r="C3" s="4"/>
    </row>
    <row r="4" spans="1:3" s="1" customFormat="1" ht="67.5" customHeight="1">
      <c r="A4" s="727" t="s">
        <v>61</v>
      </c>
      <c r="B4" s="727"/>
      <c r="C4" s="727"/>
    </row>
    <row r="5" spans="1:3" s="1" customFormat="1" ht="15">
      <c r="A5" s="4"/>
      <c r="B5" s="4"/>
      <c r="C5" s="4"/>
    </row>
    <row r="6" spans="1:3" s="1" customFormat="1" ht="15.75" thickBot="1">
      <c r="A6" s="4"/>
      <c r="B6" s="4"/>
      <c r="C6" s="4"/>
    </row>
    <row r="7" spans="1:3" ht="16.5" thickBot="1">
      <c r="A7" s="7"/>
      <c r="B7" s="16" t="s">
        <v>57</v>
      </c>
      <c r="C7" s="7"/>
    </row>
    <row r="8" spans="1:3" ht="63">
      <c r="A8" s="14" t="s">
        <v>56</v>
      </c>
      <c r="B8" s="29" t="s">
        <v>80</v>
      </c>
      <c r="C8" s="7"/>
    </row>
    <row r="9" spans="1:3" ht="47.25">
      <c r="A9" s="15" t="s">
        <v>58</v>
      </c>
      <c r="B9" s="30" t="s">
        <v>81</v>
      </c>
      <c r="C9" s="7"/>
    </row>
    <row r="10" spans="1:3" s="1" customFormat="1" ht="15">
      <c r="A10" s="6"/>
      <c r="B10" s="8"/>
      <c r="C10" s="7"/>
    </row>
    <row r="11" spans="1:3" s="1" customFormat="1" ht="15.75" thickBot="1">
      <c r="A11" s="5"/>
      <c r="B11" s="9"/>
      <c r="C11" s="7"/>
    </row>
    <row r="12" spans="1:3" s="2" customFormat="1" ht="16.5" thickBot="1">
      <c r="A12" s="13"/>
      <c r="B12" s="16" t="s">
        <v>60</v>
      </c>
      <c r="C12" s="10"/>
    </row>
    <row r="13" spans="1:3" ht="31.5">
      <c r="A13" s="17" t="s">
        <v>82</v>
      </c>
      <c r="B13" s="28" t="s">
        <v>59</v>
      </c>
      <c r="C13" s="7"/>
    </row>
    <row r="14" spans="1:3" ht="16.5" thickBot="1">
      <c r="A14" s="18" t="s">
        <v>21</v>
      </c>
      <c r="B14" s="19" t="s">
        <v>83</v>
      </c>
      <c r="C14" s="7"/>
    </row>
    <row r="15" spans="1:3" ht="16.5" thickBot="1">
      <c r="A15" s="13"/>
      <c r="B15" s="13"/>
      <c r="C15" s="7"/>
    </row>
    <row r="16" spans="1:3" ht="16.5" thickBot="1">
      <c r="A16" s="13"/>
      <c r="B16" s="16" t="s">
        <v>62</v>
      </c>
      <c r="C16" s="7"/>
    </row>
    <row r="17" spans="1:3" ht="15.75">
      <c r="A17" s="731" t="s">
        <v>84</v>
      </c>
      <c r="B17" s="20" t="s">
        <v>4</v>
      </c>
      <c r="C17" s="7"/>
    </row>
    <row r="18" spans="1:3" ht="15.75" customHeight="1">
      <c r="A18" s="732"/>
      <c r="B18" s="21" t="s">
        <v>2</v>
      </c>
      <c r="C18" s="7"/>
    </row>
    <row r="19" spans="1:3" ht="16.5" thickBot="1">
      <c r="A19" s="733"/>
      <c r="B19" s="22" t="s">
        <v>3</v>
      </c>
      <c r="C19" s="7"/>
    </row>
    <row r="20" spans="1:3" ht="16.5" thickBot="1">
      <c r="A20" s="13"/>
      <c r="B20" s="13"/>
      <c r="C20" s="7"/>
    </row>
    <row r="21" spans="1:3" ht="16.5" thickBot="1">
      <c r="A21" s="23"/>
      <c r="B21" s="16" t="s">
        <v>62</v>
      </c>
      <c r="C21" s="7"/>
    </row>
    <row r="22" spans="1:3" ht="15.75">
      <c r="A22" s="734" t="s">
        <v>13</v>
      </c>
      <c r="B22" s="20" t="s">
        <v>1</v>
      </c>
      <c r="C22" s="7"/>
    </row>
    <row r="23" spans="1:3" ht="15.75">
      <c r="A23" s="735"/>
      <c r="B23" s="21" t="s">
        <v>55</v>
      </c>
      <c r="C23" s="7"/>
    </row>
    <row r="24" spans="1:3" ht="15.75">
      <c r="A24" s="735"/>
      <c r="B24" s="21" t="s">
        <v>35</v>
      </c>
      <c r="C24" s="7"/>
    </row>
    <row r="25" spans="1:3" ht="15.75">
      <c r="A25" s="735"/>
      <c r="B25" s="21" t="s">
        <v>6</v>
      </c>
      <c r="C25" s="7"/>
    </row>
    <row r="26" spans="1:3" s="1" customFormat="1" ht="15.75">
      <c r="A26" s="735"/>
      <c r="B26" s="21" t="s">
        <v>64</v>
      </c>
      <c r="C26" s="7"/>
    </row>
    <row r="27" spans="1:3" s="1" customFormat="1" ht="15.75">
      <c r="A27" s="735"/>
      <c r="B27" s="21" t="s">
        <v>50</v>
      </c>
      <c r="C27" s="7"/>
    </row>
    <row r="28" spans="1:3" ht="15" customHeight="1">
      <c r="A28" s="735"/>
      <c r="B28" s="21" t="s">
        <v>15</v>
      </c>
      <c r="C28" s="7"/>
    </row>
    <row r="29" spans="1:3" ht="16.5" thickBot="1">
      <c r="A29" s="736"/>
      <c r="B29" s="27" t="s">
        <v>63</v>
      </c>
      <c r="C29" s="7"/>
    </row>
    <row r="30" spans="1:3" ht="15.75" thickBot="1">
      <c r="A30" s="7"/>
      <c r="B30" s="7"/>
      <c r="C30" s="7"/>
    </row>
    <row r="31" spans="1:3" ht="16.5" thickBot="1">
      <c r="A31" s="13"/>
      <c r="B31" s="16" t="s">
        <v>20</v>
      </c>
      <c r="C31" s="16" t="s">
        <v>19</v>
      </c>
    </row>
    <row r="32" spans="1:3" ht="15.75">
      <c r="A32" s="737" t="s">
        <v>54</v>
      </c>
      <c r="B32" s="740" t="s">
        <v>65</v>
      </c>
      <c r="C32" s="24" t="s">
        <v>26</v>
      </c>
    </row>
    <row r="33" spans="1:3" ht="15.75">
      <c r="A33" s="738"/>
      <c r="B33" s="740"/>
      <c r="C33" s="12" t="s">
        <v>27</v>
      </c>
    </row>
    <row r="34" spans="1:3" ht="15.75">
      <c r="A34" s="738"/>
      <c r="B34" s="740"/>
      <c r="C34" s="12" t="s">
        <v>12</v>
      </c>
    </row>
    <row r="35" spans="1:3" ht="15.75">
      <c r="A35" s="738"/>
      <c r="B35" s="740"/>
      <c r="C35" s="12" t="s">
        <v>28</v>
      </c>
    </row>
    <row r="36" spans="1:3" ht="15.75">
      <c r="A36" s="738"/>
      <c r="B36" s="740"/>
      <c r="C36" s="12" t="s">
        <v>31</v>
      </c>
    </row>
    <row r="37" spans="1:3" ht="15.75">
      <c r="A37" s="738"/>
      <c r="B37" s="740"/>
      <c r="C37" s="12" t="s">
        <v>29</v>
      </c>
    </row>
    <row r="38" spans="1:3" ht="15.75">
      <c r="A38" s="738"/>
      <c r="B38" s="741"/>
      <c r="C38" s="12" t="s">
        <v>30</v>
      </c>
    </row>
    <row r="39" spans="1:3" ht="15.75">
      <c r="A39" s="738"/>
      <c r="B39" s="728" t="s">
        <v>53</v>
      </c>
      <c r="C39" s="12" t="s">
        <v>32</v>
      </c>
    </row>
    <row r="40" spans="1:3" ht="15.75">
      <c r="A40" s="738"/>
      <c r="B40" s="729"/>
      <c r="C40" s="12" t="s">
        <v>33</v>
      </c>
    </row>
    <row r="41" spans="1:3" ht="15.75">
      <c r="A41" s="738"/>
      <c r="B41" s="729"/>
      <c r="C41" s="12" t="s">
        <v>34</v>
      </c>
    </row>
    <row r="42" spans="1:3" ht="15.75">
      <c r="A42" s="738"/>
      <c r="B42" s="729"/>
      <c r="C42" s="12" t="s">
        <v>28</v>
      </c>
    </row>
    <row r="43" spans="1:3" ht="15.75">
      <c r="A43" s="738"/>
      <c r="B43" s="729"/>
      <c r="C43" s="12" t="s">
        <v>31</v>
      </c>
    </row>
    <row r="44" spans="1:3" ht="15.75">
      <c r="A44" s="738"/>
      <c r="B44" s="729"/>
      <c r="C44" s="12" t="s">
        <v>85</v>
      </c>
    </row>
    <row r="45" spans="1:3" ht="15.75">
      <c r="A45" s="738"/>
      <c r="B45" s="729"/>
      <c r="C45" s="12" t="s">
        <v>75</v>
      </c>
    </row>
    <row r="46" spans="1:3" ht="15.75">
      <c r="A46" s="738"/>
      <c r="B46" s="729"/>
      <c r="C46" s="12" t="s">
        <v>52</v>
      </c>
    </row>
    <row r="47" spans="1:3" ht="15.75">
      <c r="A47" s="738"/>
      <c r="B47" s="729"/>
      <c r="C47" s="12" t="s">
        <v>5</v>
      </c>
    </row>
    <row r="48" spans="1:3" ht="15.75">
      <c r="A48" s="738"/>
      <c r="B48" s="730"/>
      <c r="C48" s="12" t="s">
        <v>11</v>
      </c>
    </row>
    <row r="49" spans="1:3" ht="15.75">
      <c r="A49" s="738"/>
      <c r="B49" s="728" t="s">
        <v>14</v>
      </c>
      <c r="C49" s="12" t="s">
        <v>66</v>
      </c>
    </row>
    <row r="50" spans="1:3" ht="15.75">
      <c r="A50" s="738"/>
      <c r="B50" s="729"/>
      <c r="C50" s="12" t="s">
        <v>28</v>
      </c>
    </row>
    <row r="51" spans="1:3" ht="15.75">
      <c r="A51" s="739"/>
      <c r="B51" s="730"/>
      <c r="C51" s="12" t="s">
        <v>31</v>
      </c>
    </row>
    <row r="52" spans="1:3" s="1" customFormat="1" ht="15">
      <c r="A52" s="4"/>
      <c r="B52" s="4"/>
      <c r="C52" s="11"/>
    </row>
    <row r="53" spans="1:3" s="1" customFormat="1" ht="16.5" thickBot="1">
      <c r="A53" s="13"/>
      <c r="B53" s="13"/>
      <c r="C53" s="11"/>
    </row>
    <row r="54" spans="1:3" ht="16.5" thickBot="1">
      <c r="A54" s="13"/>
      <c r="B54" s="16" t="s">
        <v>37</v>
      </c>
      <c r="C54" s="4"/>
    </row>
    <row r="55" spans="1:3" ht="15" customHeight="1">
      <c r="A55" s="726" t="s">
        <v>87</v>
      </c>
      <c r="B55" s="24" t="s">
        <v>36</v>
      </c>
      <c r="C55" s="4"/>
    </row>
    <row r="56" spans="1:3" ht="15.75">
      <c r="A56" s="726"/>
      <c r="B56" s="12" t="s">
        <v>67</v>
      </c>
      <c r="C56" s="4"/>
    </row>
    <row r="57" spans="1:3" ht="15.75">
      <c r="A57" s="726"/>
      <c r="B57" s="12" t="s">
        <v>68</v>
      </c>
      <c r="C57" s="4"/>
    </row>
    <row r="58" spans="1:3" ht="15.75">
      <c r="A58" s="726"/>
      <c r="B58" s="12" t="s">
        <v>86</v>
      </c>
      <c r="C58" s="4"/>
    </row>
    <row r="59" spans="1:3" ht="15.75">
      <c r="A59" s="726"/>
      <c r="B59" s="12" t="s">
        <v>69</v>
      </c>
      <c r="C59" s="4"/>
    </row>
    <row r="60" spans="1:3" ht="15.75">
      <c r="A60" s="726"/>
      <c r="B60" s="12" t="s">
        <v>70</v>
      </c>
      <c r="C60" s="4"/>
    </row>
    <row r="61" spans="1:3" ht="15.75">
      <c r="A61" s="726"/>
      <c r="B61" s="12" t="s">
        <v>78</v>
      </c>
      <c r="C61" s="4"/>
    </row>
  </sheetData>
  <sheetProtection/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rintOptions/>
  <pageMargins left="0.7" right="0.7" top="0.75" bottom="0.75" header="0.3" footer="0.3"/>
  <pageSetup fitToHeight="1" fitToWidth="1" horizontalDpi="600" verticalDpi="600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1"/>
  <sheetViews>
    <sheetView tabSelected="1" view="pageBreakPreview" zoomScale="80" zoomScaleNormal="80" zoomScaleSheetLayoutView="80" zoomScalePageLayoutView="0" workbookViewId="0" topLeftCell="A1">
      <selection activeCell="A51" sqref="A51"/>
    </sheetView>
  </sheetViews>
  <sheetFormatPr defaultColWidth="8.421875" defaultRowHeight="15"/>
  <cols>
    <col min="1" max="1" width="6.421875" style="52" customWidth="1"/>
    <col min="2" max="2" width="11.421875" style="91" customWidth="1"/>
    <col min="3" max="3" width="52.00390625" style="91" customWidth="1"/>
    <col min="4" max="4" width="14.421875" style="91" customWidth="1"/>
    <col min="5" max="5" width="14.7109375" style="91" customWidth="1"/>
    <col min="6" max="6" width="9.421875" style="91" customWidth="1"/>
    <col min="7" max="7" width="13.421875" style="52" customWidth="1"/>
    <col min="8" max="8" width="21.140625" style="53" customWidth="1"/>
    <col min="9" max="10" width="19.421875" style="239" customWidth="1"/>
    <col min="11" max="11" width="16.140625" style="52" customWidth="1"/>
    <col min="12" max="12" width="19.140625" style="91" customWidth="1"/>
    <col min="13" max="13" width="18.421875" style="91" customWidth="1"/>
    <col min="14" max="14" width="16.8515625" style="91" customWidth="1"/>
    <col min="15" max="15" width="39.421875" style="91" customWidth="1"/>
    <col min="16" max="16" width="18.8515625" style="52" customWidth="1"/>
    <col min="17" max="17" width="18.421875" style="52" customWidth="1"/>
    <col min="18" max="18" width="0" style="91" hidden="1" customWidth="1"/>
    <col min="19" max="19" width="17.00390625" style="91" hidden="1" customWidth="1"/>
    <col min="20" max="20" width="13.00390625" style="74" hidden="1" customWidth="1"/>
    <col min="21" max="21" width="17.421875" style="74" hidden="1" customWidth="1"/>
    <col min="22" max="22" width="14.140625" style="74" hidden="1" customWidth="1"/>
    <col min="23" max="23" width="19.8515625" style="74" hidden="1" customWidth="1"/>
    <col min="24" max="36" width="0" style="74" hidden="1" customWidth="1"/>
    <col min="37" max="38" width="21.421875" style="74" hidden="1" customWidth="1"/>
    <col min="39" max="39" width="19.8515625" style="74" hidden="1" customWidth="1"/>
    <col min="40" max="40" width="18.421875" style="74" hidden="1" customWidth="1"/>
    <col min="41" max="44" width="0" style="74" hidden="1" customWidth="1"/>
    <col min="45" max="16384" width="8.421875" style="74" customWidth="1"/>
  </cols>
  <sheetData>
    <row r="1" spans="1:19" s="73" customFormat="1" ht="15.75">
      <c r="A1" s="120"/>
      <c r="B1" s="99"/>
      <c r="C1" s="99"/>
      <c r="D1" s="99"/>
      <c r="E1" s="99"/>
      <c r="F1" s="99"/>
      <c r="G1" s="99"/>
      <c r="H1" s="99"/>
      <c r="I1" s="233"/>
      <c r="J1" s="233"/>
      <c r="K1" s="99"/>
      <c r="L1" s="99"/>
      <c r="M1" s="40"/>
      <c r="N1" s="40"/>
      <c r="O1" s="40"/>
      <c r="P1" s="38"/>
      <c r="Q1" s="38"/>
      <c r="R1" s="40"/>
      <c r="S1" s="40"/>
    </row>
    <row r="2" spans="1:19" s="73" customFormat="1" ht="23.25" customHeight="1">
      <c r="A2" s="746" t="s">
        <v>18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1"/>
      <c r="N2" s="71"/>
      <c r="O2" s="71"/>
      <c r="P2" s="100"/>
      <c r="Q2" s="100"/>
      <c r="R2" s="40"/>
      <c r="S2" s="40"/>
    </row>
    <row r="3" spans="1:19" s="73" customFormat="1" ht="23.25" customHeight="1">
      <c r="A3" s="747" t="s">
        <v>140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1"/>
      <c r="N3" s="71"/>
      <c r="O3" s="71"/>
      <c r="P3" s="100"/>
      <c r="Q3" s="100"/>
      <c r="R3" s="40"/>
      <c r="S3" s="40"/>
    </row>
    <row r="4" spans="1:19" s="73" customFormat="1" ht="21" customHeight="1">
      <c r="A4" s="748" t="s">
        <v>141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1"/>
      <c r="N4" s="71"/>
      <c r="O4" s="71"/>
      <c r="P4" s="100"/>
      <c r="Q4" s="100"/>
      <c r="R4" s="40"/>
      <c r="S4" s="40"/>
    </row>
    <row r="5" spans="1:19" s="73" customFormat="1" ht="33" customHeight="1">
      <c r="A5" s="746" t="s">
        <v>142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1"/>
      <c r="N5" s="71"/>
      <c r="O5" s="71"/>
      <c r="P5" s="100"/>
      <c r="Q5" s="100"/>
      <c r="R5" s="40"/>
      <c r="S5" s="40"/>
    </row>
    <row r="6" spans="1:19" s="73" customFormat="1" ht="21" customHeight="1">
      <c r="A6" s="38"/>
      <c r="B6" s="750"/>
      <c r="C6" s="750"/>
      <c r="D6" s="750"/>
      <c r="E6" s="750"/>
      <c r="F6" s="40"/>
      <c r="G6" s="38"/>
      <c r="H6" s="41"/>
      <c r="I6" s="234"/>
      <c r="J6" s="234"/>
      <c r="K6" s="38" t="s">
        <v>247</v>
      </c>
      <c r="L6" s="40"/>
      <c r="M6" s="40"/>
      <c r="N6" s="40"/>
      <c r="O6" s="40"/>
      <c r="P6" s="38"/>
      <c r="Q6" s="38"/>
      <c r="R6" s="40"/>
      <c r="S6" s="40"/>
    </row>
    <row r="7" spans="1:19" s="124" customFormat="1" ht="21" customHeight="1">
      <c r="A7" s="121"/>
      <c r="B7" s="505" t="s">
        <v>687</v>
      </c>
      <c r="C7" s="622"/>
      <c r="D7" s="505"/>
      <c r="E7" s="505"/>
      <c r="F7" s="122"/>
      <c r="G7" s="121"/>
      <c r="H7" s="123"/>
      <c r="I7" s="235"/>
      <c r="J7" s="235"/>
      <c r="K7" s="121"/>
      <c r="L7" s="122"/>
      <c r="M7" s="122"/>
      <c r="N7" s="122"/>
      <c r="O7" s="122"/>
      <c r="P7" s="121"/>
      <c r="Q7" s="121"/>
      <c r="R7" s="122"/>
      <c r="S7" s="122"/>
    </row>
    <row r="8" spans="1:19" s="124" customFormat="1" ht="21" customHeight="1">
      <c r="A8" s="121"/>
      <c r="B8" s="506" t="s">
        <v>681</v>
      </c>
      <c r="C8" s="506"/>
      <c r="D8" s="506"/>
      <c r="E8" s="506"/>
      <c r="F8" s="122"/>
      <c r="G8" s="121"/>
      <c r="H8" s="123"/>
      <c r="I8" s="235"/>
      <c r="J8" s="235"/>
      <c r="K8" s="121"/>
      <c r="L8" s="122"/>
      <c r="M8" s="122"/>
      <c r="N8" s="122"/>
      <c r="O8" s="122"/>
      <c r="P8" s="121"/>
      <c r="Q8" s="121"/>
      <c r="R8" s="122"/>
      <c r="S8" s="122"/>
    </row>
    <row r="9" spans="1:19" s="124" customFormat="1" ht="21" customHeight="1">
      <c r="A9" s="121"/>
      <c r="B9" s="507" t="s">
        <v>399</v>
      </c>
      <c r="C9" s="507"/>
      <c r="D9" s="507"/>
      <c r="E9" s="507"/>
      <c r="F9" s="122"/>
      <c r="G9" s="121"/>
      <c r="H9" s="127"/>
      <c r="I9" s="235"/>
      <c r="J9" s="235"/>
      <c r="K9" s="121"/>
      <c r="L9" s="122"/>
      <c r="M9" s="122"/>
      <c r="N9" s="122"/>
      <c r="O9" s="122"/>
      <c r="P9" s="121"/>
      <c r="Q9" s="121"/>
      <c r="R9" s="122"/>
      <c r="S9" s="122"/>
    </row>
    <row r="10" spans="1:19" s="124" customFormat="1" ht="21" customHeight="1">
      <c r="A10" s="121"/>
      <c r="B10" s="508" t="s">
        <v>653</v>
      </c>
      <c r="C10" s="508"/>
      <c r="D10" s="508"/>
      <c r="E10" s="508"/>
      <c r="F10" s="122"/>
      <c r="G10" s="121"/>
      <c r="H10" s="127"/>
      <c r="I10" s="235"/>
      <c r="J10" s="235"/>
      <c r="K10" s="121"/>
      <c r="L10" s="122"/>
      <c r="M10" s="122"/>
      <c r="N10" s="122"/>
      <c r="O10" s="122"/>
      <c r="P10" s="121"/>
      <c r="Q10" s="121"/>
      <c r="R10" s="122"/>
      <c r="S10" s="122"/>
    </row>
    <row r="11" spans="1:19" s="73" customFormat="1" ht="15" customHeight="1">
      <c r="A11" s="38"/>
      <c r="B11" s="68"/>
      <c r="C11" s="68"/>
      <c r="D11" s="129"/>
      <c r="E11" s="130"/>
      <c r="F11" s="40"/>
      <c r="G11" s="38"/>
      <c r="H11" s="86"/>
      <c r="I11" s="234"/>
      <c r="J11" s="234"/>
      <c r="K11" s="38"/>
      <c r="L11" s="40"/>
      <c r="M11" s="40"/>
      <c r="N11" s="40"/>
      <c r="O11" s="40"/>
      <c r="P11" s="38"/>
      <c r="Q11" s="38"/>
      <c r="R11" s="40"/>
      <c r="S11" s="40"/>
    </row>
    <row r="12" spans="1:19" s="73" customFormat="1" ht="15.75">
      <c r="A12" s="83"/>
      <c r="B12" s="84"/>
      <c r="C12" s="85"/>
      <c r="D12" s="85"/>
      <c r="E12" s="85"/>
      <c r="F12" s="40"/>
      <c r="G12" s="38"/>
      <c r="H12" s="41"/>
      <c r="I12" s="234"/>
      <c r="J12" s="234"/>
      <c r="K12" s="38"/>
      <c r="L12" s="40"/>
      <c r="M12" s="40"/>
      <c r="N12" s="40"/>
      <c r="O12" s="40"/>
      <c r="P12" s="38"/>
      <c r="Q12" s="38"/>
      <c r="R12" s="40"/>
      <c r="S12" s="40"/>
    </row>
    <row r="13" spans="1:17" ht="15.75">
      <c r="A13" s="751">
        <v>1</v>
      </c>
      <c r="B13" s="754" t="s">
        <v>0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4"/>
    </row>
    <row r="14" spans="1:23" ht="15.75" customHeight="1">
      <c r="A14" s="752"/>
      <c r="B14" s="755" t="s">
        <v>108</v>
      </c>
      <c r="C14" s="755" t="s">
        <v>23</v>
      </c>
      <c r="D14" s="755" t="s">
        <v>243</v>
      </c>
      <c r="E14" s="755" t="s">
        <v>93</v>
      </c>
      <c r="F14" s="755" t="s">
        <v>41</v>
      </c>
      <c r="G14" s="755" t="s">
        <v>43</v>
      </c>
      <c r="H14" s="755"/>
      <c r="I14" s="755"/>
      <c r="J14" s="755"/>
      <c r="K14" s="756" t="s">
        <v>208</v>
      </c>
      <c r="L14" s="755" t="s">
        <v>46</v>
      </c>
      <c r="M14" s="755" t="s">
        <v>24</v>
      </c>
      <c r="N14" s="755"/>
      <c r="O14" s="755" t="s">
        <v>16</v>
      </c>
      <c r="P14" s="755" t="s">
        <v>47</v>
      </c>
      <c r="Q14" s="755" t="s">
        <v>13</v>
      </c>
      <c r="T14" s="757" t="s">
        <v>135</v>
      </c>
      <c r="U14" s="757"/>
      <c r="V14" s="757" t="s">
        <v>136</v>
      </c>
      <c r="W14" s="757"/>
    </row>
    <row r="15" spans="1:23" ht="66" customHeight="1">
      <c r="A15" s="753"/>
      <c r="B15" s="755"/>
      <c r="C15" s="755"/>
      <c r="D15" s="755"/>
      <c r="E15" s="755"/>
      <c r="F15" s="755"/>
      <c r="G15" s="755"/>
      <c r="H15" s="90" t="s">
        <v>123</v>
      </c>
      <c r="I15" s="236" t="s">
        <v>45</v>
      </c>
      <c r="J15" s="236" t="s">
        <v>44</v>
      </c>
      <c r="K15" s="756"/>
      <c r="L15" s="755"/>
      <c r="M15" s="296" t="s">
        <v>25</v>
      </c>
      <c r="N15" s="296" t="s">
        <v>7</v>
      </c>
      <c r="O15" s="755"/>
      <c r="P15" s="755"/>
      <c r="Q15" s="755"/>
      <c r="S15" s="80" t="s">
        <v>107</v>
      </c>
      <c r="T15" s="74" t="s">
        <v>133</v>
      </c>
      <c r="U15" s="74" t="s">
        <v>134</v>
      </c>
      <c r="V15" s="74" t="s">
        <v>133</v>
      </c>
      <c r="W15" s="74" t="s">
        <v>134</v>
      </c>
    </row>
    <row r="16" spans="1:40" s="106" customFormat="1" ht="30" customHeight="1">
      <c r="A16" s="326" t="s">
        <v>143</v>
      </c>
      <c r="B16" s="326" t="s">
        <v>151</v>
      </c>
      <c r="C16" s="335" t="str">
        <f>VLOOKUP($D16,'PA - Por Componente'!$A$13:$Q$321,2,FALSE)</f>
        <v>Obra e Projeto do Hospital Regional do Vale do Jaguaribe</v>
      </c>
      <c r="D16" s="351" t="s">
        <v>191</v>
      </c>
      <c r="E16" s="326" t="str">
        <f>VLOOKUP($D16,'PA - Por Componente'!$A$13:$Q$321,5,FALSE)</f>
        <v>LPI</v>
      </c>
      <c r="F16" s="326">
        <v>0</v>
      </c>
      <c r="G16" s="326">
        <v>0</v>
      </c>
      <c r="H16" s="336">
        <f>VLOOKUP($D16,'PA - Por Componente'!$A$13:$Q$321,8,FALSE)</f>
        <v>33211925.369999994</v>
      </c>
      <c r="I16" s="330">
        <f>VLOOKUP($D16,'PA - Por Componente'!$A$13:$Q$321,9,FALSE)</f>
        <v>1</v>
      </c>
      <c r="J16" s="330">
        <f>VLOOKUP($D16,'PA - Por Componente'!$A$13:$Q$321,10,FALSE)</f>
        <v>0</v>
      </c>
      <c r="K16" s="337" t="str">
        <f>LEFT(D16,1)</f>
        <v>2</v>
      </c>
      <c r="L16" s="326" t="str">
        <f>VLOOKUP($D16,'PA - Por Componente'!$A$13:$Q$321,12,FALSE)</f>
        <v>Ex-ante</v>
      </c>
      <c r="M16" s="332">
        <f>VLOOKUP($D16,'PA - Por Componente'!$A$13:$Q$321,13,FALSE)</f>
        <v>42795</v>
      </c>
      <c r="N16" s="332">
        <f>VLOOKUP($D16,'PA - Por Componente'!$A$13:$Q$321,14,FALSE)</f>
        <v>43009</v>
      </c>
      <c r="O16" s="328">
        <f>VLOOKUP($D16,'PA - Por Componente'!$A$13:$Q$321,15,FALSE)</f>
        <v>0</v>
      </c>
      <c r="P16" s="328" t="str">
        <f>VLOOKUP($D16,'PA - Por Componente'!$A$13:$Q$321,16,FALSE)</f>
        <v>BRB3808</v>
      </c>
      <c r="Q16" s="326" t="str">
        <f>VLOOKUP($D16,'PA - Por Componente'!$A$13:$Q$321,17,FALSE)</f>
        <v>Contrato Concluído</v>
      </c>
      <c r="R16" s="98"/>
      <c r="S16" s="227"/>
      <c r="AK16" s="305"/>
      <c r="AM16" s="107"/>
      <c r="AN16" s="108"/>
    </row>
    <row r="17" spans="1:40" s="106" customFormat="1" ht="30" customHeight="1" hidden="1">
      <c r="A17" s="326"/>
      <c r="B17" s="78" t="s">
        <v>151</v>
      </c>
      <c r="C17" s="174" t="s">
        <v>420</v>
      </c>
      <c r="D17" s="78" t="s">
        <v>304</v>
      </c>
      <c r="E17" s="78"/>
      <c r="F17" s="78"/>
      <c r="G17" s="78"/>
      <c r="H17" s="219"/>
      <c r="I17" s="259"/>
      <c r="J17" s="259"/>
      <c r="K17" s="196"/>
      <c r="L17" s="78"/>
      <c r="M17" s="146"/>
      <c r="N17" s="146"/>
      <c r="O17" s="78"/>
      <c r="P17" s="78"/>
      <c r="Q17" s="78" t="s">
        <v>597</v>
      </c>
      <c r="R17" s="98"/>
      <c r="S17" s="227"/>
      <c r="AK17" s="305"/>
      <c r="AM17" s="107"/>
      <c r="AN17" s="108"/>
    </row>
    <row r="18" spans="1:40" s="106" customFormat="1" ht="30" customHeight="1" hidden="1">
      <c r="A18" s="326"/>
      <c r="B18" s="78" t="s">
        <v>151</v>
      </c>
      <c r="C18" s="174" t="s">
        <v>401</v>
      </c>
      <c r="D18" s="158" t="s">
        <v>491</v>
      </c>
      <c r="E18" s="78"/>
      <c r="F18" s="78"/>
      <c r="G18" s="78"/>
      <c r="H18" s="219"/>
      <c r="I18" s="259"/>
      <c r="J18" s="259"/>
      <c r="K18" s="196"/>
      <c r="L18" s="78"/>
      <c r="M18" s="146"/>
      <c r="N18" s="146"/>
      <c r="O18" s="78"/>
      <c r="P18" s="78"/>
      <c r="Q18" s="78" t="s">
        <v>597</v>
      </c>
      <c r="R18" s="98"/>
      <c r="S18" s="227"/>
      <c r="AK18" s="305"/>
      <c r="AM18" s="107"/>
      <c r="AN18" s="108"/>
    </row>
    <row r="19" spans="1:40" s="114" customFormat="1" ht="30" customHeight="1" hidden="1">
      <c r="A19" s="78"/>
      <c r="B19" s="78"/>
      <c r="C19" s="174" t="s">
        <v>291</v>
      </c>
      <c r="D19" s="158"/>
      <c r="E19" s="78"/>
      <c r="F19" s="78"/>
      <c r="G19" s="78"/>
      <c r="H19" s="219"/>
      <c r="I19" s="259">
        <v>0</v>
      </c>
      <c r="J19" s="259">
        <v>1</v>
      </c>
      <c r="K19" s="196"/>
      <c r="L19" s="78"/>
      <c r="M19" s="146"/>
      <c r="N19" s="146"/>
      <c r="O19" s="78"/>
      <c r="P19" s="78"/>
      <c r="Q19" s="78" t="s">
        <v>503</v>
      </c>
      <c r="R19" s="176"/>
      <c r="S19" s="149"/>
      <c r="AK19" s="141"/>
      <c r="AM19" s="142"/>
      <c r="AN19" s="143"/>
    </row>
    <row r="20" spans="1:40" s="114" customFormat="1" ht="30" customHeight="1" hidden="1">
      <c r="A20" s="78"/>
      <c r="B20" s="78"/>
      <c r="C20" s="174" t="s">
        <v>217</v>
      </c>
      <c r="D20" s="158"/>
      <c r="E20" s="78"/>
      <c r="F20" s="78"/>
      <c r="G20" s="78"/>
      <c r="H20" s="219"/>
      <c r="I20" s="259">
        <v>0</v>
      </c>
      <c r="J20" s="259">
        <v>1</v>
      </c>
      <c r="K20" s="196"/>
      <c r="L20" s="78"/>
      <c r="M20" s="146"/>
      <c r="N20" s="146"/>
      <c r="O20" s="78"/>
      <c r="P20" s="78"/>
      <c r="Q20" s="78" t="s">
        <v>503</v>
      </c>
      <c r="R20" s="176"/>
      <c r="S20" s="149"/>
      <c r="AK20" s="141"/>
      <c r="AM20" s="142"/>
      <c r="AN20" s="143"/>
    </row>
    <row r="21" spans="1:40" s="114" customFormat="1" ht="30" customHeight="1" hidden="1">
      <c r="A21" s="78"/>
      <c r="B21" s="78"/>
      <c r="C21" s="174" t="s">
        <v>293</v>
      </c>
      <c r="D21" s="158"/>
      <c r="E21" s="78"/>
      <c r="F21" s="78"/>
      <c r="G21" s="78"/>
      <c r="H21" s="219"/>
      <c r="I21" s="237">
        <v>0</v>
      </c>
      <c r="J21" s="237">
        <v>1</v>
      </c>
      <c r="K21" s="196"/>
      <c r="L21" s="78"/>
      <c r="M21" s="146"/>
      <c r="N21" s="146"/>
      <c r="O21" s="78"/>
      <c r="P21" s="78"/>
      <c r="Q21" s="78" t="s">
        <v>503</v>
      </c>
      <c r="R21" s="176"/>
      <c r="S21" s="149"/>
      <c r="AK21" s="141"/>
      <c r="AM21" s="142"/>
      <c r="AN21" s="143"/>
    </row>
    <row r="22" spans="1:40" s="114" customFormat="1" ht="30" customHeight="1" hidden="1">
      <c r="A22" s="78"/>
      <c r="B22" s="78"/>
      <c r="C22" s="174" t="s">
        <v>262</v>
      </c>
      <c r="D22" s="158"/>
      <c r="E22" s="78"/>
      <c r="F22" s="78"/>
      <c r="G22" s="78"/>
      <c r="H22" s="219"/>
      <c r="I22" s="259">
        <v>0</v>
      </c>
      <c r="J22" s="259">
        <v>1</v>
      </c>
      <c r="K22" s="196"/>
      <c r="L22" s="78"/>
      <c r="M22" s="146"/>
      <c r="N22" s="146"/>
      <c r="O22" s="78"/>
      <c r="P22" s="78"/>
      <c r="Q22" s="78" t="s">
        <v>503</v>
      </c>
      <c r="R22" s="176"/>
      <c r="S22" s="149"/>
      <c r="AK22" s="141"/>
      <c r="AM22" s="142"/>
      <c r="AN22" s="143"/>
    </row>
    <row r="23" spans="1:40" s="114" customFormat="1" ht="30" customHeight="1" hidden="1">
      <c r="A23" s="78"/>
      <c r="B23" s="78"/>
      <c r="C23" s="174" t="s">
        <v>400</v>
      </c>
      <c r="D23" s="158"/>
      <c r="E23" s="78"/>
      <c r="F23" s="78"/>
      <c r="G23" s="78"/>
      <c r="H23" s="219"/>
      <c r="I23" s="259">
        <v>1</v>
      </c>
      <c r="J23" s="259">
        <v>0</v>
      </c>
      <c r="K23" s="196"/>
      <c r="L23" s="78"/>
      <c r="M23" s="146"/>
      <c r="N23" s="146"/>
      <c r="O23" s="78"/>
      <c r="P23" s="78"/>
      <c r="Q23" s="78" t="s">
        <v>503</v>
      </c>
      <c r="R23" s="176"/>
      <c r="S23" s="149"/>
      <c r="AK23" s="141"/>
      <c r="AM23" s="142"/>
      <c r="AN23" s="143"/>
    </row>
    <row r="24" spans="1:23" s="72" customFormat="1" ht="18.75" hidden="1">
      <c r="A24" s="78"/>
      <c r="B24" s="78" t="s">
        <v>138</v>
      </c>
      <c r="C24" s="150" t="s">
        <v>139</v>
      </c>
      <c r="D24" s="78"/>
      <c r="E24" s="78"/>
      <c r="F24" s="78"/>
      <c r="G24" s="144"/>
      <c r="H24" s="179"/>
      <c r="I24" s="237"/>
      <c r="J24" s="237"/>
      <c r="K24" s="145"/>
      <c r="L24" s="78"/>
      <c r="M24" s="146"/>
      <c r="N24" s="146"/>
      <c r="O24" s="144"/>
      <c r="P24" s="297"/>
      <c r="Q24" s="326" t="e">
        <v>#N/A</v>
      </c>
      <c r="R24" s="152"/>
      <c r="S24" s="140"/>
      <c r="U24" s="72">
        <v>0</v>
      </c>
      <c r="V24" s="72">
        <v>2750000</v>
      </c>
      <c r="W24" s="72">
        <v>0</v>
      </c>
    </row>
    <row r="25" spans="1:19" s="72" customFormat="1" ht="31.5" hidden="1">
      <c r="A25" s="78"/>
      <c r="B25" s="78" t="s">
        <v>138</v>
      </c>
      <c r="C25" s="150" t="s">
        <v>204</v>
      </c>
      <c r="D25" s="78"/>
      <c r="E25" s="78"/>
      <c r="F25" s="78"/>
      <c r="G25" s="144"/>
      <c r="H25" s="151"/>
      <c r="I25" s="237"/>
      <c r="J25" s="237"/>
      <c r="K25" s="145"/>
      <c r="L25" s="78"/>
      <c r="M25" s="146"/>
      <c r="N25" s="146"/>
      <c r="O25" s="144"/>
      <c r="P25" s="297"/>
      <c r="Q25" s="326" t="e">
        <v>#N/A</v>
      </c>
      <c r="R25" s="152"/>
      <c r="S25" s="140"/>
    </row>
    <row r="26" spans="1:40" s="72" customFormat="1" ht="18.75" hidden="1">
      <c r="A26" s="78"/>
      <c r="B26" s="78" t="s">
        <v>138</v>
      </c>
      <c r="C26" s="153" t="s">
        <v>217</v>
      </c>
      <c r="D26" s="78"/>
      <c r="E26" s="78"/>
      <c r="F26" s="78"/>
      <c r="G26" s="144"/>
      <c r="H26" s="151"/>
      <c r="I26" s="237"/>
      <c r="J26" s="237"/>
      <c r="K26" s="145"/>
      <c r="L26" s="78"/>
      <c r="M26" s="146"/>
      <c r="N26" s="146"/>
      <c r="O26" s="144"/>
      <c r="P26" s="297"/>
      <c r="Q26" s="326" t="e">
        <v>#N/A</v>
      </c>
      <c r="R26" s="152"/>
      <c r="S26" s="140"/>
      <c r="U26" s="72">
        <v>0</v>
      </c>
      <c r="AK26" s="154" t="s">
        <v>137</v>
      </c>
      <c r="AL26" s="72" t="s">
        <v>266</v>
      </c>
      <c r="AM26" s="155" t="s">
        <v>266</v>
      </c>
      <c r="AN26" s="156">
        <v>4585000</v>
      </c>
    </row>
    <row r="27" spans="1:40" s="72" customFormat="1" ht="18.75" hidden="1">
      <c r="A27" s="78"/>
      <c r="B27" s="78" t="s">
        <v>138</v>
      </c>
      <c r="C27" s="153" t="s">
        <v>205</v>
      </c>
      <c r="D27" s="78"/>
      <c r="E27" s="78"/>
      <c r="F27" s="78"/>
      <c r="G27" s="144"/>
      <c r="H27" s="151"/>
      <c r="I27" s="237"/>
      <c r="J27" s="237"/>
      <c r="K27" s="145"/>
      <c r="L27" s="78"/>
      <c r="M27" s="146"/>
      <c r="N27" s="146"/>
      <c r="O27" s="144"/>
      <c r="P27" s="297"/>
      <c r="Q27" s="326" t="e">
        <v>#N/A</v>
      </c>
      <c r="R27" s="152"/>
      <c r="S27" s="140"/>
      <c r="V27" s="72">
        <v>253125</v>
      </c>
      <c r="AK27" s="157">
        <v>9170000</v>
      </c>
      <c r="AL27" s="72" t="s">
        <v>267</v>
      </c>
      <c r="AM27" s="155" t="s">
        <v>267</v>
      </c>
      <c r="AN27" s="156">
        <v>9170000</v>
      </c>
    </row>
    <row r="28" spans="1:40" s="72" customFormat="1" ht="18.75" hidden="1">
      <c r="A28" s="158"/>
      <c r="B28" s="158" t="s">
        <v>138</v>
      </c>
      <c r="C28" s="159" t="s">
        <v>227</v>
      </c>
      <c r="D28" s="78"/>
      <c r="E28" s="158"/>
      <c r="F28" s="158"/>
      <c r="G28" s="160"/>
      <c r="H28" s="151"/>
      <c r="I28" s="238"/>
      <c r="J28" s="238"/>
      <c r="K28" s="161"/>
      <c r="L28" s="158"/>
      <c r="M28" s="147"/>
      <c r="N28" s="147"/>
      <c r="O28" s="160"/>
      <c r="P28" s="162"/>
      <c r="Q28" s="326" t="e">
        <v>#N/A</v>
      </c>
      <c r="R28" s="152"/>
      <c r="S28" s="140"/>
      <c r="AK28" s="157">
        <v>1687500</v>
      </c>
      <c r="AL28" s="72" t="s">
        <v>268</v>
      </c>
      <c r="AM28" s="155" t="s">
        <v>268</v>
      </c>
      <c r="AN28" s="156">
        <v>1687500</v>
      </c>
    </row>
    <row r="29" spans="1:40" s="165" customFormat="1" ht="30" customHeight="1" hidden="1">
      <c r="A29" s="158"/>
      <c r="B29" s="158" t="s">
        <v>151</v>
      </c>
      <c r="C29" s="159" t="s">
        <v>203</v>
      </c>
      <c r="D29" s="78"/>
      <c r="E29" s="158"/>
      <c r="F29" s="158"/>
      <c r="G29" s="160"/>
      <c r="H29" s="151"/>
      <c r="I29" s="238"/>
      <c r="J29" s="238"/>
      <c r="K29" s="161"/>
      <c r="L29" s="158"/>
      <c r="M29" s="147"/>
      <c r="N29" s="147"/>
      <c r="O29" s="160"/>
      <c r="P29" s="162"/>
      <c r="Q29" s="326" t="e">
        <v>#N/A</v>
      </c>
      <c r="R29" s="163"/>
      <c r="S29" s="164"/>
      <c r="AK29" s="166" t="s">
        <v>128</v>
      </c>
      <c r="AL29" s="165" t="s">
        <v>269</v>
      </c>
      <c r="AM29" s="167" t="s">
        <v>270</v>
      </c>
      <c r="AN29" s="168">
        <v>1020333</v>
      </c>
    </row>
    <row r="30" spans="1:40" s="72" customFormat="1" ht="31.5" hidden="1">
      <c r="A30" s="169"/>
      <c r="B30" s="158" t="s">
        <v>151</v>
      </c>
      <c r="C30" s="159" t="s">
        <v>229</v>
      </c>
      <c r="D30" s="78"/>
      <c r="E30" s="158"/>
      <c r="F30" s="158"/>
      <c r="G30" s="160"/>
      <c r="H30" s="151"/>
      <c r="I30" s="238"/>
      <c r="J30" s="238"/>
      <c r="K30" s="161"/>
      <c r="L30" s="158"/>
      <c r="M30" s="147"/>
      <c r="N30" s="147"/>
      <c r="O30" s="160"/>
      <c r="P30" s="162"/>
      <c r="Q30" s="326" t="e">
        <v>#N/A</v>
      </c>
      <c r="R30" s="152"/>
      <c r="S30" s="140"/>
      <c r="AK30" s="157" t="s">
        <v>128</v>
      </c>
      <c r="AL30" s="72" t="s">
        <v>269</v>
      </c>
      <c r="AM30" s="155" t="s">
        <v>270</v>
      </c>
      <c r="AN30" s="156">
        <v>1020333</v>
      </c>
    </row>
    <row r="31" spans="1:40" s="165" customFormat="1" ht="37.5" customHeight="1" hidden="1">
      <c r="A31" s="158"/>
      <c r="B31" s="158" t="s">
        <v>151</v>
      </c>
      <c r="C31" s="159" t="s">
        <v>219</v>
      </c>
      <c r="D31" s="78"/>
      <c r="E31" s="158"/>
      <c r="F31" s="158"/>
      <c r="G31" s="160"/>
      <c r="H31" s="151"/>
      <c r="I31" s="238"/>
      <c r="J31" s="238"/>
      <c r="K31" s="161"/>
      <c r="L31" s="158"/>
      <c r="M31" s="147"/>
      <c r="N31" s="147"/>
      <c r="O31" s="160" t="s">
        <v>150</v>
      </c>
      <c r="P31" s="162"/>
      <c r="Q31" s="326" t="e">
        <v>#N/A</v>
      </c>
      <c r="R31" s="163"/>
      <c r="S31" s="164"/>
      <c r="AK31" s="166" t="s">
        <v>128</v>
      </c>
      <c r="AL31" s="165" t="s">
        <v>269</v>
      </c>
      <c r="AM31" s="167" t="s">
        <v>270</v>
      </c>
      <c r="AN31" s="168">
        <v>1020333</v>
      </c>
    </row>
    <row r="32" spans="1:40" s="165" customFormat="1" ht="18.75" hidden="1">
      <c r="A32" s="158"/>
      <c r="B32" s="158" t="s">
        <v>151</v>
      </c>
      <c r="C32" s="159" t="s">
        <v>206</v>
      </c>
      <c r="D32" s="78"/>
      <c r="E32" s="158"/>
      <c r="F32" s="158"/>
      <c r="G32" s="160"/>
      <c r="H32" s="151"/>
      <c r="I32" s="238"/>
      <c r="J32" s="238"/>
      <c r="K32" s="161"/>
      <c r="L32" s="158"/>
      <c r="M32" s="147"/>
      <c r="N32" s="147"/>
      <c r="O32" s="160" t="s">
        <v>150</v>
      </c>
      <c r="P32" s="162"/>
      <c r="Q32" s="326" t="e">
        <v>#N/A</v>
      </c>
      <c r="R32" s="163"/>
      <c r="S32" s="164"/>
      <c r="AK32" s="166" t="s">
        <v>129</v>
      </c>
      <c r="AL32" s="165" t="s">
        <v>271</v>
      </c>
      <c r="AM32" s="167" t="s">
        <v>272</v>
      </c>
      <c r="AN32" s="168">
        <v>10656250</v>
      </c>
    </row>
    <row r="33" spans="1:40" ht="18.75">
      <c r="A33" s="55"/>
      <c r="B33" s="152"/>
      <c r="C33" s="152"/>
      <c r="G33" s="61" t="s">
        <v>94</v>
      </c>
      <c r="H33" s="231">
        <f>SUM(H16:H23)</f>
        <v>33211925.369999994</v>
      </c>
      <c r="I33" s="256"/>
      <c r="J33" s="256"/>
      <c r="AK33" s="95" t="s">
        <v>130</v>
      </c>
      <c r="AL33" s="74" t="str">
        <f>SUBSTITUTE(AK33,".","")</f>
        <v>$400000</v>
      </c>
      <c r="AM33" s="96" t="str">
        <f>SUBSTITUTE(AL33,"$","")</f>
        <v>400000</v>
      </c>
      <c r="AN33" s="97">
        <v>400000</v>
      </c>
    </row>
    <row r="34" spans="1:40" ht="15.75">
      <c r="A34" s="55"/>
      <c r="C34" s="56"/>
      <c r="G34" s="61"/>
      <c r="H34" s="61"/>
      <c r="AK34" s="95" t="s">
        <v>131</v>
      </c>
      <c r="AL34" s="74" t="str">
        <f>SUBSTITUTE(AK34,".","")</f>
        <v>$6930000</v>
      </c>
      <c r="AM34" s="96" t="str">
        <f>SUBSTITUTE(AL34,"$","")</f>
        <v>6930000</v>
      </c>
      <c r="AN34" s="97">
        <v>6930000</v>
      </c>
    </row>
    <row r="35" spans="1:17" ht="15.75">
      <c r="A35" s="751">
        <v>2</v>
      </c>
      <c r="B35" s="758" t="s">
        <v>8</v>
      </c>
      <c r="C35" s="758"/>
      <c r="D35" s="758"/>
      <c r="E35" s="758"/>
      <c r="F35" s="758"/>
      <c r="G35" s="758"/>
      <c r="H35" s="758"/>
      <c r="I35" s="758"/>
      <c r="J35" s="758"/>
      <c r="K35" s="758"/>
      <c r="L35" s="758"/>
      <c r="M35" s="758"/>
      <c r="N35" s="758"/>
      <c r="O35" s="758"/>
      <c r="P35" s="758"/>
      <c r="Q35" s="758"/>
    </row>
    <row r="36" spans="1:17" ht="15.75" customHeight="1">
      <c r="A36" s="752"/>
      <c r="B36" s="755" t="s">
        <v>108</v>
      </c>
      <c r="C36" s="755" t="s">
        <v>21</v>
      </c>
      <c r="D36" s="755" t="s">
        <v>243</v>
      </c>
      <c r="E36" s="755" t="s">
        <v>93</v>
      </c>
      <c r="F36" s="755" t="s">
        <v>41</v>
      </c>
      <c r="G36" s="755" t="s">
        <v>43</v>
      </c>
      <c r="H36" s="755"/>
      <c r="I36" s="755"/>
      <c r="J36" s="755"/>
      <c r="K36" s="759" t="s">
        <v>49</v>
      </c>
      <c r="L36" s="755" t="s">
        <v>48</v>
      </c>
      <c r="M36" s="755" t="s">
        <v>22</v>
      </c>
      <c r="N36" s="755"/>
      <c r="O36" s="755" t="s">
        <v>71</v>
      </c>
      <c r="P36" s="755" t="s">
        <v>47</v>
      </c>
      <c r="Q36" s="755" t="s">
        <v>13</v>
      </c>
    </row>
    <row r="37" spans="1:17" ht="31.5">
      <c r="A37" s="753"/>
      <c r="B37" s="755"/>
      <c r="C37" s="755"/>
      <c r="D37" s="755"/>
      <c r="E37" s="755"/>
      <c r="F37" s="755"/>
      <c r="G37" s="755"/>
      <c r="H37" s="90" t="s">
        <v>123</v>
      </c>
      <c r="I37" s="236" t="s">
        <v>45</v>
      </c>
      <c r="J37" s="236" t="s">
        <v>44</v>
      </c>
      <c r="K37" s="760"/>
      <c r="L37" s="755"/>
      <c r="M37" s="296" t="s">
        <v>25</v>
      </c>
      <c r="N37" s="296" t="s">
        <v>7</v>
      </c>
      <c r="O37" s="755"/>
      <c r="P37" s="755"/>
      <c r="Q37" s="755"/>
    </row>
    <row r="38" spans="1:19" s="133" customFormat="1" ht="30" customHeight="1">
      <c r="A38" s="170" t="s">
        <v>104</v>
      </c>
      <c r="B38" s="134" t="s">
        <v>151</v>
      </c>
      <c r="C38" s="717" t="str">
        <f>VLOOKUP($D38,'PA - Por Componente'!$A$13:$Q$321,2,FALSE)</f>
        <v>Aquisição de Equipamentos para Desenvolvimento e Implantação do Protocolo Materno Infantil</v>
      </c>
      <c r="D38" s="134" t="s">
        <v>418</v>
      </c>
      <c r="E38" s="134" t="str">
        <f>VLOOKUP($D38,'PA - Por Componente'!$A$13:$Q$321,5,FALSE)</f>
        <v>SN</v>
      </c>
      <c r="F38" s="134">
        <v>0</v>
      </c>
      <c r="G38" s="134">
        <v>0</v>
      </c>
      <c r="H38" s="323">
        <f>VLOOKUP($D38,'PA - Por Componente'!$A$13:$Q$321,8,FALSE)</f>
        <v>390000</v>
      </c>
      <c r="I38" s="718">
        <f>VLOOKUP($D38,'PA - Por Componente'!$A$13:$Q$321,9,FALSE)</f>
        <v>1</v>
      </c>
      <c r="J38" s="718">
        <f>VLOOKUP($D38,'PA - Por Componente'!$A$13:$Q$321,10,FALSE)</f>
        <v>0</v>
      </c>
      <c r="K38" s="324" t="str">
        <f>LEFT(D38,1)</f>
        <v>1</v>
      </c>
      <c r="L38" s="134" t="str">
        <f>VLOOKUP($D38,'PA - Por Componente'!$A$13:$Q$321,12,FALSE)</f>
        <v>Ex-post</v>
      </c>
      <c r="M38" s="312">
        <f>VLOOKUP($D38,'PA - Por Componente'!$A$13:$Q$321,13,FALSE)</f>
        <v>44958</v>
      </c>
      <c r="N38" s="312">
        <f>VLOOKUP($D38,'PA - Por Componente'!$A$13:$Q$321,14,FALSE)</f>
        <v>45352</v>
      </c>
      <c r="O38" s="134" t="str">
        <f>VLOOKUP($D38,'PA - Por Componente'!$A$13:$Q$321,15,FALSE)</f>
        <v>PE/ARP</v>
      </c>
      <c r="P38" s="134">
        <f>VLOOKUP($D38,'PA - Por Componente'!$A$13:$Q$321,16,FALSE)</f>
        <v>0</v>
      </c>
      <c r="Q38" s="134" t="str">
        <f>VLOOKUP($D38,'PA - Por Componente'!$A$13:$Q$321,17,FALSE)</f>
        <v>Processo em Curso</v>
      </c>
      <c r="S38" s="132"/>
    </row>
    <row r="39" spans="1:19" s="106" customFormat="1" ht="30" customHeight="1">
      <c r="A39" s="334" t="s">
        <v>105</v>
      </c>
      <c r="B39" s="326" t="s">
        <v>151</v>
      </c>
      <c r="C39" s="335" t="str">
        <f>VLOOKUP($D39,'PA - Por Componente'!$A$13:$Q$321,2,FALSE)</f>
        <v>Aquisição de Bens/Equipamentos para Implantação de Protocolos Clínicos</v>
      </c>
      <c r="D39" s="326" t="s">
        <v>419</v>
      </c>
      <c r="E39" s="326" t="str">
        <f>VLOOKUP($D39,'PA - Por Componente'!$A$13:$Q$321,5,FALSE)</f>
        <v>SN</v>
      </c>
      <c r="F39" s="326">
        <v>0</v>
      </c>
      <c r="G39" s="326">
        <v>0</v>
      </c>
      <c r="H39" s="336">
        <f>VLOOKUP($D39,'PA - Por Componente'!$A$13:$Q$321,8,FALSE)</f>
        <v>2219181.89985584</v>
      </c>
      <c r="I39" s="330">
        <f>VLOOKUP($D39,'PA - Por Componente'!$A$13:$Q$321,9,FALSE)</f>
        <v>1</v>
      </c>
      <c r="J39" s="330">
        <f>VLOOKUP($D39,'PA - Por Componente'!$A$13:$Q$321,10,FALSE)</f>
        <v>0</v>
      </c>
      <c r="K39" s="337" t="str">
        <f aca="true" t="shared" si="0" ref="K39:K103">LEFT(D39,1)</f>
        <v>1</v>
      </c>
      <c r="L39" s="326" t="str">
        <f>VLOOKUP($D39,'PA - Por Componente'!$A$13:$Q$321,12,FALSE)</f>
        <v>Ex-post</v>
      </c>
      <c r="M39" s="332">
        <f>VLOOKUP($D39,'PA - Por Componente'!$A$13:$Q$321,13,FALSE)</f>
        <v>44287</v>
      </c>
      <c r="N39" s="332">
        <f>VLOOKUP($D39,'PA - Por Componente'!$A$13:$Q$321,14,FALSE)</f>
        <v>44531</v>
      </c>
      <c r="O39" s="326" t="str">
        <f>VLOOKUP($D39,'PA - Por Componente'!$A$13:$Q$321,15,FALSE)</f>
        <v>PE/ARP</v>
      </c>
      <c r="P39" s="326">
        <f>VLOOKUP($D39,'PA - Por Componente'!$A$13:$Q$321,16,FALSE)</f>
        <v>0</v>
      </c>
      <c r="Q39" s="326" t="str">
        <f>VLOOKUP($D39,'PA - Por Componente'!$A$13:$Q$321,17,FALSE)</f>
        <v>Contrato em Execução</v>
      </c>
      <c r="S39" s="399"/>
    </row>
    <row r="40" spans="1:40" s="106" customFormat="1" ht="30.75" customHeight="1">
      <c r="A40" s="334" t="s">
        <v>152</v>
      </c>
      <c r="B40" s="326" t="s">
        <v>151</v>
      </c>
      <c r="C40" s="335" t="str">
        <f>VLOOKUP($D40,'PA - Por Componente'!$A$13:$Q$321,2,FALSE)</f>
        <v>Implantação da Central de Regulação</v>
      </c>
      <c r="D40" s="326" t="s">
        <v>285</v>
      </c>
      <c r="E40" s="326" t="str">
        <f>VLOOKUP($D40,'PA - Por Componente'!$A$13:$Q$321,5,FALSE)</f>
        <v>SN</v>
      </c>
      <c r="F40" s="326">
        <v>0</v>
      </c>
      <c r="G40" s="326">
        <v>0</v>
      </c>
      <c r="H40" s="500">
        <f>VLOOKUP($D40,'PA - Por Componente'!$A$13:$Q$321,8,FALSE)</f>
        <v>684560.904</v>
      </c>
      <c r="I40" s="330">
        <f>VLOOKUP($D40,'PA - Por Componente'!$A$13:$Q$321,9,FALSE)</f>
        <v>1</v>
      </c>
      <c r="J40" s="330">
        <f>VLOOKUP($D40,'PA - Por Componente'!$A$13:$Q$321,10,FALSE)</f>
        <v>0</v>
      </c>
      <c r="K40" s="337" t="str">
        <f t="shared" si="0"/>
        <v>1</v>
      </c>
      <c r="L40" s="326" t="str">
        <f>VLOOKUP($D40,'PA - Por Componente'!$A$13:$Q$321,12,FALSE)</f>
        <v>Ex-post</v>
      </c>
      <c r="M40" s="332">
        <f>VLOOKUP($D40,'PA - Por Componente'!$A$13:$Q$321,13,FALSE)</f>
        <v>44287</v>
      </c>
      <c r="N40" s="332">
        <f>VLOOKUP($D40,'PA - Por Componente'!$A$13:$Q$321,14,FALSE)</f>
        <v>45231</v>
      </c>
      <c r="O40" s="326" t="str">
        <f>VLOOKUP($D40,'PA - Por Componente'!$A$13:$Q$321,15,FALSE)</f>
        <v>PE/ARP</v>
      </c>
      <c r="P40" s="326">
        <f>VLOOKUP($D40,'PA - Por Componente'!$A$13:$Q$321,16,FALSE)</f>
        <v>0</v>
      </c>
      <c r="Q40" s="326" t="str">
        <f>VLOOKUP($D40,'PA - Por Componente'!$A$13:$Q$321,17,FALSE)</f>
        <v>Processo em Curso</v>
      </c>
      <c r="R40" s="98"/>
      <c r="S40" s="227"/>
      <c r="AK40" s="305"/>
      <c r="AM40" s="107"/>
      <c r="AN40" s="108"/>
    </row>
    <row r="41" spans="1:40" s="106" customFormat="1" ht="31.5">
      <c r="A41" s="334" t="s">
        <v>106</v>
      </c>
      <c r="B41" s="326" t="s">
        <v>151</v>
      </c>
      <c r="C41" s="335" t="str">
        <f>VLOOKUP($D41,'PA - Por Componente'!$A$13:$Q$321,2,FALSE)</f>
        <v>Aquisição de 327 estabilizadores 1KVa</v>
      </c>
      <c r="D41" s="326" t="s">
        <v>311</v>
      </c>
      <c r="E41" s="326" t="str">
        <f>VLOOKUP($D41,'PA - Por Componente'!$A$13:$Q$321,5,FALSE)</f>
        <v>SN</v>
      </c>
      <c r="F41" s="326">
        <v>0</v>
      </c>
      <c r="G41" s="326">
        <v>0</v>
      </c>
      <c r="H41" s="336">
        <f>VLOOKUP($D41,'PA - Por Componente'!$A$13:$Q$321,8,FALSE)</f>
        <v>20780.5755395683</v>
      </c>
      <c r="I41" s="330">
        <f>VLOOKUP($D41,'PA - Por Componente'!$A$13:$Q$321,9,FALSE)</f>
        <v>1</v>
      </c>
      <c r="J41" s="330">
        <f>VLOOKUP($D41,'PA - Por Componente'!$A$13:$Q$321,10,FALSE)</f>
        <v>0</v>
      </c>
      <c r="K41" s="337" t="str">
        <f t="shared" si="0"/>
        <v>1</v>
      </c>
      <c r="L41" s="326" t="str">
        <f>VLOOKUP($D41,'PA - Por Componente'!$A$13:$Q$321,12,FALSE)</f>
        <v>Ex-post</v>
      </c>
      <c r="M41" s="332">
        <f>VLOOKUP($D41,'PA - Por Componente'!$A$13:$Q$321,13,FALSE)</f>
        <v>43800</v>
      </c>
      <c r="N41" s="332">
        <f>VLOOKUP($D41,'PA - Por Componente'!$A$13:$Q$321,14,FALSE)</f>
        <v>43952</v>
      </c>
      <c r="O41" s="326" t="str">
        <f>VLOOKUP($D41,'PA - Por Componente'!$A$13:$Q$321,15,FALSE)</f>
        <v>PE/ARP</v>
      </c>
      <c r="P41" s="326">
        <f>VLOOKUP($D41,'PA - Por Componente'!$A$13:$Q$321,16,FALSE)</f>
        <v>0</v>
      </c>
      <c r="Q41" s="326" t="str">
        <f>VLOOKUP($D41,'PA - Por Componente'!$A$13:$Q$321,17,FALSE)</f>
        <v>Contrato Concluído</v>
      </c>
      <c r="R41" s="98"/>
      <c r="S41" s="227"/>
      <c r="AK41" s="305"/>
      <c r="AM41" s="107"/>
      <c r="AN41" s="108"/>
    </row>
    <row r="42" spans="1:19" s="106" customFormat="1" ht="33" customHeight="1">
      <c r="A42" s="334" t="s">
        <v>155</v>
      </c>
      <c r="B42" s="334" t="s">
        <v>151</v>
      </c>
      <c r="C42" s="335" t="str">
        <f>VLOOKUP($D42,'PA - Por Componente'!$A$13:$Q$321,2,FALSE)</f>
        <v>Aquisição 19 notebooks</v>
      </c>
      <c r="D42" s="326" t="s">
        <v>313</v>
      </c>
      <c r="E42" s="326" t="str">
        <f>VLOOKUP($D42,'PA - Por Componente'!$A$13:$Q$321,5,FALSE)</f>
        <v>SN</v>
      </c>
      <c r="F42" s="326">
        <v>0</v>
      </c>
      <c r="G42" s="326">
        <v>0</v>
      </c>
      <c r="H42" s="336">
        <f>VLOOKUP($D42,'PA - Por Componente'!$A$13:$Q$321,8,FALSE)</f>
        <v>18157.0749</v>
      </c>
      <c r="I42" s="330">
        <f>VLOOKUP($D42,'PA - Por Componente'!$A$13:$Q$321,9,FALSE)</f>
        <v>1</v>
      </c>
      <c r="J42" s="330">
        <f>VLOOKUP($D42,'PA - Por Componente'!$A$13:$Q$321,10,FALSE)</f>
        <v>0</v>
      </c>
      <c r="K42" s="337" t="str">
        <f t="shared" si="0"/>
        <v>1</v>
      </c>
      <c r="L42" s="326" t="str">
        <f>VLOOKUP($D42,'PA - Por Componente'!$A$13:$Q$321,12,FALSE)</f>
        <v>Ex-post</v>
      </c>
      <c r="M42" s="332">
        <f>VLOOKUP($D42,'PA - Por Componente'!$A$13:$Q$321,13,FALSE)</f>
        <v>43800</v>
      </c>
      <c r="N42" s="332">
        <f>VLOOKUP($D42,'PA - Por Componente'!$A$13:$Q$321,14,FALSE)</f>
        <v>43922</v>
      </c>
      <c r="O42" s="326" t="str">
        <f>VLOOKUP($D42,'PA - Por Componente'!$A$13:$Q$321,15,FALSE)</f>
        <v>PE/ARP</v>
      </c>
      <c r="P42" s="326">
        <f>VLOOKUP($D42,'PA - Por Componente'!$A$13:$Q$321,16,FALSE)</f>
        <v>0</v>
      </c>
      <c r="Q42" s="326" t="str">
        <f>VLOOKUP($D42,'PA - Por Componente'!$A$13:$Q$321,17,FALSE)</f>
        <v>Contrato Concluído</v>
      </c>
      <c r="R42" s="98"/>
      <c r="S42" s="399"/>
    </row>
    <row r="43" spans="1:19" s="106" customFormat="1" ht="33" customHeight="1">
      <c r="A43" s="334" t="s">
        <v>156</v>
      </c>
      <c r="B43" s="334" t="s">
        <v>151</v>
      </c>
      <c r="C43" s="335" t="str">
        <f>VLOOKUP($D43,'PA - Por Componente'!$A$13:$Q$321,2,FALSE)</f>
        <v>Aquisição de firewall  multifuncional tipo 4</v>
      </c>
      <c r="D43" s="326" t="s">
        <v>425</v>
      </c>
      <c r="E43" s="326" t="str">
        <f>VLOOKUP($D43,'PA - Por Componente'!$A$13:$Q$321,5,FALSE)</f>
        <v>SN</v>
      </c>
      <c r="F43" s="326">
        <v>0</v>
      </c>
      <c r="G43" s="326">
        <v>0</v>
      </c>
      <c r="H43" s="336">
        <f>VLOOKUP($D43,'PA - Por Componente'!$A$13:$Q$321,8,FALSE)</f>
        <v>124145.06</v>
      </c>
      <c r="I43" s="330">
        <f>VLOOKUP($D43,'PA - Por Componente'!$A$13:$Q$321,9,FALSE)</f>
        <v>1</v>
      </c>
      <c r="J43" s="330">
        <f>VLOOKUP($D43,'PA - Por Componente'!$A$13:$Q$321,10,FALSE)</f>
        <v>0</v>
      </c>
      <c r="K43" s="337" t="str">
        <f t="shared" si="0"/>
        <v>1</v>
      </c>
      <c r="L43" s="326" t="str">
        <f>VLOOKUP($D43,'PA - Por Componente'!$A$13:$Q$321,12,FALSE)</f>
        <v>Ex-post</v>
      </c>
      <c r="M43" s="332">
        <f>VLOOKUP($D43,'PA - Por Componente'!$A$13:$Q$321,13,FALSE)</f>
        <v>43770</v>
      </c>
      <c r="N43" s="332">
        <f>VLOOKUP($D43,'PA - Por Componente'!$A$13:$Q$321,14,FALSE)</f>
        <v>44075</v>
      </c>
      <c r="O43" s="326" t="str">
        <f>VLOOKUP($D43,'PA - Por Componente'!$A$13:$Q$321,15,FALSE)</f>
        <v>PE/ARP</v>
      </c>
      <c r="P43" s="326">
        <f>VLOOKUP($D43,'PA - Por Componente'!$A$13:$Q$321,16,FALSE)</f>
        <v>0</v>
      </c>
      <c r="Q43" s="326" t="str">
        <f>VLOOKUP($D43,'PA - Por Componente'!$A$13:$Q$321,17,FALSE)</f>
        <v>Contrato Concluído</v>
      </c>
      <c r="R43" s="98"/>
      <c r="S43" s="399"/>
    </row>
    <row r="44" spans="1:19" s="106" customFormat="1" ht="33" customHeight="1">
      <c r="A44" s="334" t="s">
        <v>157</v>
      </c>
      <c r="B44" s="334" t="s">
        <v>151</v>
      </c>
      <c r="C44" s="335" t="str">
        <f>VLOOKUP($D44,'PA - Por Componente'!$A$13:$Q$321,2,FALSE)</f>
        <v>Aquisição de firewall  multifuncional tipo 1</v>
      </c>
      <c r="D44" s="326" t="s">
        <v>426</v>
      </c>
      <c r="E44" s="326" t="str">
        <f>VLOOKUP($D44,'PA - Por Componente'!$A$13:$Q$321,5,FALSE)</f>
        <v>SN</v>
      </c>
      <c r="F44" s="326">
        <v>0</v>
      </c>
      <c r="G44" s="326">
        <v>0</v>
      </c>
      <c r="H44" s="336">
        <f>VLOOKUP($D44,'PA - Por Componente'!$A$13:$Q$321,8,FALSE)</f>
        <v>219924.81</v>
      </c>
      <c r="I44" s="330">
        <f>VLOOKUP($D44,'PA - Por Componente'!$A$13:$Q$321,9,FALSE)</f>
        <v>1</v>
      </c>
      <c r="J44" s="330">
        <f>VLOOKUP($D44,'PA - Por Componente'!$A$13:$Q$321,10,FALSE)</f>
        <v>0</v>
      </c>
      <c r="K44" s="337" t="str">
        <f t="shared" si="0"/>
        <v>1</v>
      </c>
      <c r="L44" s="326" t="str">
        <f>VLOOKUP($D44,'PA - Por Componente'!$A$13:$Q$321,12,FALSE)</f>
        <v>Ex-post</v>
      </c>
      <c r="M44" s="332">
        <f>VLOOKUP($D44,'PA - Por Componente'!$A$13:$Q$321,13,FALSE)</f>
        <v>43770</v>
      </c>
      <c r="N44" s="332">
        <f>VLOOKUP($D44,'PA - Por Componente'!$A$13:$Q$321,14,FALSE)</f>
        <v>44075</v>
      </c>
      <c r="O44" s="326" t="str">
        <f>VLOOKUP($D44,'PA - Por Componente'!$A$13:$Q$321,15,FALSE)</f>
        <v>PE/ARP</v>
      </c>
      <c r="P44" s="326">
        <f>VLOOKUP($D44,'PA - Por Componente'!$A$13:$Q$321,16,FALSE)</f>
        <v>0</v>
      </c>
      <c r="Q44" s="326" t="str">
        <f>VLOOKUP($D44,'PA - Por Componente'!$A$13:$Q$321,17,FALSE)</f>
        <v>Contrato Concluído</v>
      </c>
      <c r="R44" s="98"/>
      <c r="S44" s="399"/>
    </row>
    <row r="45" spans="1:19" s="106" customFormat="1" ht="33" customHeight="1">
      <c r="A45" s="334" t="s">
        <v>161</v>
      </c>
      <c r="B45" s="334" t="s">
        <v>151</v>
      </c>
      <c r="C45" s="335" t="str">
        <f>VLOOKUP($D45,'PA - Por Componente'!$A$13:$Q$321,2,FALSE)</f>
        <v>Aquisição de microcomputadores para equipe de desenvolvimento</v>
      </c>
      <c r="D45" s="326" t="s">
        <v>317</v>
      </c>
      <c r="E45" s="326" t="str">
        <f>VLOOKUP($D45,'PA - Por Componente'!$A$13:$Q$321,5,FALSE)</f>
        <v>SN</v>
      </c>
      <c r="F45" s="326">
        <v>0</v>
      </c>
      <c r="G45" s="326">
        <v>0</v>
      </c>
      <c r="H45" s="336">
        <f>VLOOKUP($D45,'PA - Por Componente'!$A$13:$Q$321,8,FALSE)</f>
        <v>691767.419509851</v>
      </c>
      <c r="I45" s="330">
        <f>VLOOKUP($D45,'PA - Por Componente'!$A$13:$Q$321,9,FALSE)</f>
        <v>1</v>
      </c>
      <c r="J45" s="330">
        <f>VLOOKUP($D45,'PA - Por Componente'!$A$13:$Q$321,10,FALSE)</f>
        <v>0</v>
      </c>
      <c r="K45" s="337" t="str">
        <f t="shared" si="0"/>
        <v>1</v>
      </c>
      <c r="L45" s="326" t="str">
        <f>VLOOKUP($D45,'PA - Por Componente'!$A$13:$Q$321,12,FALSE)</f>
        <v>Ex-post</v>
      </c>
      <c r="M45" s="332">
        <f>VLOOKUP($D45,'PA - Por Componente'!$A$13:$Q$321,13,FALSE)</f>
        <v>43831</v>
      </c>
      <c r="N45" s="332">
        <f>VLOOKUP($D45,'PA - Por Componente'!$A$13:$Q$321,14,FALSE)</f>
        <v>44531</v>
      </c>
      <c r="O45" s="326" t="str">
        <f>VLOOKUP($D45,'PA - Por Componente'!$A$13:$Q$321,15,FALSE)</f>
        <v>PE/ARP</v>
      </c>
      <c r="P45" s="326">
        <f>VLOOKUP($D45,'PA - Por Componente'!$A$13:$Q$321,16,FALSE)</f>
        <v>0</v>
      </c>
      <c r="Q45" s="326" t="str">
        <f>VLOOKUP($D45,'PA - Por Componente'!$A$13:$Q$321,17,FALSE)</f>
        <v>Contrato Concluído</v>
      </c>
      <c r="R45" s="98"/>
      <c r="S45" s="399"/>
    </row>
    <row r="46" spans="1:19" s="106" customFormat="1" ht="33" customHeight="1">
      <c r="A46" s="334" t="s">
        <v>298</v>
      </c>
      <c r="B46" s="334" t="s">
        <v>151</v>
      </c>
      <c r="C46" s="335" t="str">
        <f>VLOOKUP($D46,'PA - Por Componente'!$A$13:$Q$321,2,FALSE)</f>
        <v>Aquisição de 40 (quarenta) switch L2 48 portas</v>
      </c>
      <c r="D46" s="326" t="s">
        <v>454</v>
      </c>
      <c r="E46" s="326" t="str">
        <f>VLOOKUP($D46,'PA - Por Componente'!$A$13:$Q$321,5,FALSE)</f>
        <v>SN</v>
      </c>
      <c r="F46" s="326">
        <v>0</v>
      </c>
      <c r="G46" s="326">
        <v>0</v>
      </c>
      <c r="H46" s="336">
        <f>VLOOKUP($D46,'PA - Por Componente'!$A$13:$Q$321,8,FALSE)</f>
        <v>37364.484</v>
      </c>
      <c r="I46" s="330">
        <f>VLOOKUP($D46,'PA - Por Componente'!$A$13:$Q$321,9,FALSE)</f>
        <v>1</v>
      </c>
      <c r="J46" s="330">
        <f>VLOOKUP($D46,'PA - Por Componente'!$A$13:$Q$321,10,FALSE)</f>
        <v>0</v>
      </c>
      <c r="K46" s="337" t="str">
        <f t="shared" si="0"/>
        <v>1</v>
      </c>
      <c r="L46" s="326" t="str">
        <f>VLOOKUP($D46,'PA - Por Componente'!$A$13:$Q$321,12,FALSE)</f>
        <v>Ex-post</v>
      </c>
      <c r="M46" s="332">
        <f>VLOOKUP($D46,'PA - Por Componente'!$A$13:$Q$321,13,FALSE)</f>
        <v>43770</v>
      </c>
      <c r="N46" s="332">
        <f>VLOOKUP($D46,'PA - Por Componente'!$A$13:$Q$321,14,FALSE)</f>
        <v>44075</v>
      </c>
      <c r="O46" s="326" t="str">
        <f>VLOOKUP($D46,'PA - Por Componente'!$A$13:$Q$321,15,FALSE)</f>
        <v>PE/ARP</v>
      </c>
      <c r="P46" s="326">
        <f>VLOOKUP($D46,'PA - Por Componente'!$A$13:$Q$321,16,FALSE)</f>
        <v>0</v>
      </c>
      <c r="Q46" s="326" t="str">
        <f>VLOOKUP($D46,'PA - Por Componente'!$A$13:$Q$321,17,FALSE)</f>
        <v>Contrato Concluído</v>
      </c>
      <c r="R46" s="98"/>
      <c r="S46" s="399"/>
    </row>
    <row r="47" spans="1:19" s="106" customFormat="1" ht="33" customHeight="1">
      <c r="A47" s="334" t="s">
        <v>300</v>
      </c>
      <c r="B47" s="334" t="s">
        <v>151</v>
      </c>
      <c r="C47" s="335" t="str">
        <f>VLOOKUP($D47,'PA - Por Componente'!$A$13:$Q$321,2,FALSE)</f>
        <v>Aquisição de  10 (dez) switch L3 24 portas</v>
      </c>
      <c r="D47" s="326" t="s">
        <v>455</v>
      </c>
      <c r="E47" s="326" t="str">
        <f>VLOOKUP($D47,'PA - Por Componente'!$A$13:$Q$321,5,FALSE)</f>
        <v>SN</v>
      </c>
      <c r="F47" s="326">
        <v>0</v>
      </c>
      <c r="G47" s="326">
        <v>0</v>
      </c>
      <c r="H47" s="336">
        <f>VLOOKUP($D47,'PA - Por Componente'!$A$13:$Q$321,8,FALSE)</f>
        <v>26176.264</v>
      </c>
      <c r="I47" s="330">
        <f>VLOOKUP($D47,'PA - Por Componente'!$A$13:$Q$321,9,FALSE)</f>
        <v>1</v>
      </c>
      <c r="J47" s="330">
        <f>VLOOKUP($D47,'PA - Por Componente'!$A$13:$Q$321,10,FALSE)</f>
        <v>0</v>
      </c>
      <c r="K47" s="337" t="str">
        <f t="shared" si="0"/>
        <v>1</v>
      </c>
      <c r="L47" s="326" t="str">
        <f>VLOOKUP($D47,'PA - Por Componente'!$A$13:$Q$321,12,FALSE)</f>
        <v>Ex-post</v>
      </c>
      <c r="M47" s="332">
        <f>VLOOKUP($D47,'PA - Por Componente'!$A$13:$Q$321,13,FALSE)</f>
        <v>43770</v>
      </c>
      <c r="N47" s="332">
        <f>VLOOKUP($D47,'PA - Por Componente'!$A$13:$Q$321,14,FALSE)</f>
        <v>44075</v>
      </c>
      <c r="O47" s="326" t="str">
        <f>VLOOKUP($D47,'PA - Por Componente'!$A$13:$Q$321,15,FALSE)</f>
        <v>PE/ARP</v>
      </c>
      <c r="P47" s="326">
        <f>VLOOKUP($D47,'PA - Por Componente'!$A$13:$Q$321,16,FALSE)</f>
        <v>0</v>
      </c>
      <c r="Q47" s="326" t="str">
        <f>VLOOKUP($D47,'PA - Por Componente'!$A$13:$Q$321,17,FALSE)</f>
        <v>Contrato Concluído</v>
      </c>
      <c r="R47" s="98"/>
      <c r="S47" s="399"/>
    </row>
    <row r="48" spans="1:19" s="106" customFormat="1" ht="33" customHeight="1">
      <c r="A48" s="334" t="s">
        <v>310</v>
      </c>
      <c r="B48" s="334" t="s">
        <v>151</v>
      </c>
      <c r="C48" s="335" t="str">
        <f>VLOOKUP($D48,'PA - Por Componente'!$A$13:$Q$321,2,FALSE)</f>
        <v>Aquisição de 1.727 microcomputadores</v>
      </c>
      <c r="D48" s="326" t="s">
        <v>319</v>
      </c>
      <c r="E48" s="326" t="str">
        <f>VLOOKUP($D48,'PA - Por Componente'!$A$13:$Q$321,5,FALSE)</f>
        <v>SN</v>
      </c>
      <c r="F48" s="326">
        <v>0</v>
      </c>
      <c r="G48" s="326">
        <v>0</v>
      </c>
      <c r="H48" s="336">
        <f>VLOOKUP($D48,'PA - Por Componente'!$A$13:$Q$321,8,FALSE)</f>
        <v>1479085.164</v>
      </c>
      <c r="I48" s="330">
        <f>VLOOKUP($D48,'PA - Por Componente'!$A$13:$Q$321,9,FALSE)</f>
        <v>1</v>
      </c>
      <c r="J48" s="330">
        <f>VLOOKUP($D48,'PA - Por Componente'!$A$13:$Q$321,10,FALSE)</f>
        <v>0</v>
      </c>
      <c r="K48" s="337" t="str">
        <f t="shared" si="0"/>
        <v>1</v>
      </c>
      <c r="L48" s="326" t="str">
        <f>VLOOKUP($D48,'PA - Por Componente'!$A$13:$Q$321,12,FALSE)</f>
        <v>Ex-post</v>
      </c>
      <c r="M48" s="332">
        <f>VLOOKUP($D48,'PA - Por Componente'!$A$13:$Q$321,13,FALSE)</f>
        <v>43770</v>
      </c>
      <c r="N48" s="332">
        <f>VLOOKUP($D48,'PA - Por Componente'!$A$13:$Q$321,14,FALSE)</f>
        <v>44075</v>
      </c>
      <c r="O48" s="326" t="str">
        <f>VLOOKUP($D48,'PA - Por Componente'!$A$13:$Q$321,15,FALSE)</f>
        <v>PE/ARP</v>
      </c>
      <c r="P48" s="326">
        <f>VLOOKUP($D48,'PA - Por Componente'!$A$13:$Q$321,16,FALSE)</f>
        <v>0</v>
      </c>
      <c r="Q48" s="326" t="str">
        <f>VLOOKUP($D48,'PA - Por Componente'!$A$13:$Q$321,17,FALSE)</f>
        <v>Contrato Concluído</v>
      </c>
      <c r="R48" s="98"/>
      <c r="S48" s="399"/>
    </row>
    <row r="49" spans="1:19" s="106" customFormat="1" ht="33" customHeight="1">
      <c r="A49" s="334" t="s">
        <v>416</v>
      </c>
      <c r="B49" s="334" t="s">
        <v>151</v>
      </c>
      <c r="C49" s="335" t="str">
        <f>VLOOKUP($D49,'PA - Por Componente'!$A$13:$Q$321,2,FALSE)</f>
        <v>Aquisição de Nobreaks para as Unidades da Rede SESA </v>
      </c>
      <c r="D49" s="326" t="s">
        <v>456</v>
      </c>
      <c r="E49" s="326" t="str">
        <f>VLOOKUP($D49,'PA - Por Componente'!$A$13:$Q$321,5,FALSE)</f>
        <v>SN</v>
      </c>
      <c r="F49" s="326">
        <v>0</v>
      </c>
      <c r="G49" s="326">
        <v>0</v>
      </c>
      <c r="H49" s="336">
        <f>VLOOKUP($D49,'PA - Por Componente'!$A$13:$Q$321,8,FALSE)</f>
        <v>432000</v>
      </c>
      <c r="I49" s="330">
        <f>VLOOKUP($D49,'PA - Por Componente'!$A$13:$Q$321,9,FALSE)</f>
        <v>1</v>
      </c>
      <c r="J49" s="330">
        <f>VLOOKUP($D49,'PA - Por Componente'!$A$13:$Q$321,10,FALSE)</f>
        <v>0</v>
      </c>
      <c r="K49" s="337" t="str">
        <f t="shared" si="0"/>
        <v>1</v>
      </c>
      <c r="L49" s="326" t="str">
        <f>VLOOKUP($D49,'PA - Por Componente'!$A$13:$Q$321,12,FALSE)</f>
        <v>Ex-post</v>
      </c>
      <c r="M49" s="332">
        <f>VLOOKUP($D49,'PA - Por Componente'!$A$13:$Q$321,13,FALSE)</f>
        <v>44805</v>
      </c>
      <c r="N49" s="332">
        <f>VLOOKUP($D49,'PA - Por Componente'!$A$13:$Q$321,14,FALSE)</f>
        <v>45231</v>
      </c>
      <c r="O49" s="326" t="str">
        <f>VLOOKUP($D49,'PA - Por Componente'!$A$13:$Q$321,15,FALSE)</f>
        <v>PE/ARP</v>
      </c>
      <c r="P49" s="326">
        <f>VLOOKUP($D49,'PA - Por Componente'!$A$13:$Q$321,16,FALSE)</f>
        <v>0</v>
      </c>
      <c r="Q49" s="326" t="str">
        <f>VLOOKUP($D49,'PA - Por Componente'!$A$13:$Q$321,17,FALSE)</f>
        <v>Processo em Curso</v>
      </c>
      <c r="R49" s="98"/>
      <c r="S49" s="399"/>
    </row>
    <row r="50" spans="1:19" s="106" customFormat="1" ht="33.75" customHeight="1">
      <c r="A50" s="334" t="s">
        <v>353</v>
      </c>
      <c r="B50" s="334" t="s">
        <v>151</v>
      </c>
      <c r="C50" s="335" t="str">
        <f>VLOOKUP($D50,'PA - Por Componente'!$A$13:$Q$321,2,FALSE)</f>
        <v>Aquisição de 02 nobreaks 20 KVA</v>
      </c>
      <c r="D50" s="326" t="s">
        <v>457</v>
      </c>
      <c r="E50" s="326" t="str">
        <f>VLOOKUP($D50,'PA - Por Componente'!$A$13:$Q$321,5,FALSE)</f>
        <v>SN</v>
      </c>
      <c r="F50" s="326">
        <v>0</v>
      </c>
      <c r="G50" s="326">
        <v>0</v>
      </c>
      <c r="H50" s="336">
        <f>VLOOKUP($D50,'PA - Por Componente'!$A$13:$Q$321,8,FALSE)</f>
        <v>15354.98</v>
      </c>
      <c r="I50" s="330">
        <f>VLOOKUP($D50,'PA - Por Componente'!$A$13:$Q$321,9,FALSE)</f>
        <v>1</v>
      </c>
      <c r="J50" s="330">
        <f>VLOOKUP($D50,'PA - Por Componente'!$A$13:$Q$321,10,FALSE)</f>
        <v>0</v>
      </c>
      <c r="K50" s="337" t="str">
        <f t="shared" si="0"/>
        <v>1</v>
      </c>
      <c r="L50" s="326" t="str">
        <f>VLOOKUP($D50,'PA - Por Componente'!$A$13:$Q$321,12,FALSE)</f>
        <v>Ex-post</v>
      </c>
      <c r="M50" s="332">
        <f>VLOOKUP($D50,'PA - Por Componente'!$A$13:$Q$321,13,FALSE)</f>
        <v>44197</v>
      </c>
      <c r="N50" s="332">
        <f>VLOOKUP($D50,'PA - Por Componente'!$A$13:$Q$321,14,FALSE)</f>
        <v>44256</v>
      </c>
      <c r="O50" s="326" t="str">
        <f>VLOOKUP($D50,'PA - Por Componente'!$A$13:$Q$321,15,FALSE)</f>
        <v>PE/ARP</v>
      </c>
      <c r="P50" s="326">
        <f>VLOOKUP($D50,'PA - Por Componente'!$A$13:$Q$321,16,FALSE)</f>
        <v>0</v>
      </c>
      <c r="Q50" s="326" t="str">
        <f>VLOOKUP($D50,'PA - Por Componente'!$A$13:$Q$321,17,FALSE)</f>
        <v>Contrato Concluído</v>
      </c>
      <c r="R50" s="98"/>
      <c r="S50" s="399"/>
    </row>
    <row r="51" spans="1:19" s="133" customFormat="1" ht="33.75" customHeight="1">
      <c r="A51" s="170" t="s">
        <v>354</v>
      </c>
      <c r="B51" s="170" t="s">
        <v>151</v>
      </c>
      <c r="C51" s="717" t="str">
        <f>VLOOKUP($D51,'PA - Por Componente'!$A$13:$Q$321,2,FALSE)</f>
        <v>Aquisição de Equipamentos de Tecnologia da Informação</v>
      </c>
      <c r="D51" s="134" t="s">
        <v>595</v>
      </c>
      <c r="E51" s="134" t="str">
        <f>VLOOKUP($D51,'PA - Por Componente'!$A$13:$Q$321,5,FALSE)</f>
        <v>SN</v>
      </c>
      <c r="F51" s="134">
        <v>0</v>
      </c>
      <c r="G51" s="134">
        <v>0</v>
      </c>
      <c r="H51" s="323">
        <f>VLOOKUP($D51,'PA - Por Componente'!$A$13:$Q$321,8,FALSE)</f>
        <v>3597025.09792605</v>
      </c>
      <c r="I51" s="718">
        <f>VLOOKUP($D51,'PA - Por Componente'!$A$13:$Q$321,9,FALSE)</f>
        <v>1</v>
      </c>
      <c r="J51" s="718">
        <f>VLOOKUP($D51,'PA - Por Componente'!$A$13:$Q$321,10,FALSE)</f>
        <v>0</v>
      </c>
      <c r="K51" s="324" t="str">
        <f t="shared" si="0"/>
        <v>1</v>
      </c>
      <c r="L51" s="134" t="str">
        <f>VLOOKUP($D51,'PA - Por Componente'!$A$13:$Q$321,12,FALSE)</f>
        <v>Ex-post</v>
      </c>
      <c r="M51" s="312">
        <f>VLOOKUP($D51,'PA - Por Componente'!$A$13:$Q$321,13,FALSE)</f>
        <v>44470</v>
      </c>
      <c r="N51" s="312">
        <f>VLOOKUP($D51,'PA - Por Componente'!$A$13:$Q$321,14,FALSE)</f>
        <v>45261</v>
      </c>
      <c r="O51" s="134" t="str">
        <f>VLOOKUP($D51,'PA - Por Componente'!$A$13:$Q$321,15,FALSE)</f>
        <v>PE/ARP</v>
      </c>
      <c r="P51" s="134">
        <f>VLOOKUP($D51,'PA - Por Componente'!$A$13:$Q$321,16,FALSE)</f>
        <v>0</v>
      </c>
      <c r="Q51" s="134" t="str">
        <f>VLOOKUP($D51,'PA - Por Componente'!$A$13:$Q$321,17,FALSE)</f>
        <v>Processo em Curso</v>
      </c>
      <c r="R51" s="301"/>
      <c r="S51" s="132"/>
    </row>
    <row r="52" spans="1:19" s="106" customFormat="1" ht="33.75" customHeight="1">
      <c r="A52" s="334" t="s">
        <v>355</v>
      </c>
      <c r="B52" s="334" t="s">
        <v>151</v>
      </c>
      <c r="C52" s="335" t="str">
        <f>VLOOKUP($D52,'PA - Por Componente'!$A$13:$Q$321,2,FALSE)</f>
        <v>Aquisição de equipamentos de Laboratório para o HRVJ</v>
      </c>
      <c r="D52" s="351" t="s">
        <v>459</v>
      </c>
      <c r="E52" s="326" t="str">
        <f>VLOOKUP($D52,'PA - Por Componente'!$A$13:$Q$321,5,FALSE)</f>
        <v>SN</v>
      </c>
      <c r="F52" s="326">
        <v>0</v>
      </c>
      <c r="G52" s="326">
        <v>0</v>
      </c>
      <c r="H52" s="336">
        <f>VLOOKUP($D52,'PA - Por Componente'!$A$13:$Q$321,8,FALSE)</f>
        <v>213604.47</v>
      </c>
      <c r="I52" s="330">
        <f>VLOOKUP($D52,'PA - Por Componente'!$A$13:$Q$321,9,FALSE)</f>
        <v>1</v>
      </c>
      <c r="J52" s="330">
        <f>VLOOKUP($D52,'PA - Por Componente'!$A$13:$Q$321,10,FALSE)</f>
        <v>0</v>
      </c>
      <c r="K52" s="337" t="str">
        <f t="shared" si="0"/>
        <v>2</v>
      </c>
      <c r="L52" s="326">
        <f>VLOOKUP($D52,'PA - Por Componente'!$A$13:$Q$321,12,FALSE)</f>
        <v>0</v>
      </c>
      <c r="M52" s="332">
        <f>VLOOKUP($D52,'PA - Por Componente'!$A$13:$Q$321,13,FALSE)</f>
        <v>44470</v>
      </c>
      <c r="N52" s="332">
        <f>VLOOKUP($D52,'PA - Por Componente'!$A$13:$Q$321,14,FALSE)</f>
        <v>45383</v>
      </c>
      <c r="O52" s="326" t="str">
        <f>VLOOKUP($D52,'PA - Por Componente'!$A$13:$Q$321,15,FALSE)</f>
        <v>PE/ARP</v>
      </c>
      <c r="P52" s="326">
        <f>VLOOKUP($D52,'PA - Por Componente'!$A$13:$Q$321,16,FALSE)</f>
        <v>0</v>
      </c>
      <c r="Q52" s="326" t="str">
        <f>VLOOKUP($D52,'PA - Por Componente'!$A$13:$Q$321,17,FALSE)</f>
        <v>Processo em curso</v>
      </c>
      <c r="R52" s="98"/>
      <c r="S52" s="399"/>
    </row>
    <row r="53" spans="1:19" s="106" customFormat="1" ht="33.75" customHeight="1">
      <c r="A53" s="334" t="s">
        <v>356</v>
      </c>
      <c r="B53" s="334" t="s">
        <v>151</v>
      </c>
      <c r="C53" s="335" t="str">
        <f>VLOOKUP($D53,'PA - Por Componente'!$A$13:$Q$321,2,FALSE)</f>
        <v>Aquisição de Equipamentos de Diagnóstico para o HRVJ</v>
      </c>
      <c r="D53" s="351" t="s">
        <v>460</v>
      </c>
      <c r="E53" s="326" t="str">
        <f>VLOOKUP($D53,'PA - Por Componente'!$A$13:$Q$321,5,FALSE)</f>
        <v>SN</v>
      </c>
      <c r="F53" s="326">
        <v>0</v>
      </c>
      <c r="G53" s="326">
        <v>0</v>
      </c>
      <c r="H53" s="336">
        <f>VLOOKUP($D53,'PA - Por Componente'!$A$13:$Q$321,8,FALSE)</f>
        <v>3412119.078666667</v>
      </c>
      <c r="I53" s="330">
        <f>VLOOKUP($D53,'PA - Por Componente'!$A$13:$Q$321,9,FALSE)</f>
        <v>1</v>
      </c>
      <c r="J53" s="330">
        <f>VLOOKUP($D53,'PA - Por Componente'!$A$13:$Q$321,10,FALSE)</f>
        <v>0</v>
      </c>
      <c r="K53" s="337" t="str">
        <f t="shared" si="0"/>
        <v>2</v>
      </c>
      <c r="L53" s="326" t="str">
        <f>VLOOKUP($D53,'PA - Por Componente'!$A$13:$Q$321,12,FALSE)</f>
        <v>Ex-post</v>
      </c>
      <c r="M53" s="332">
        <f>VLOOKUP($D53,'PA - Por Componente'!$A$13:$Q$321,13,FALSE)</f>
        <v>44076</v>
      </c>
      <c r="N53" s="332">
        <f>VLOOKUP($D53,'PA - Por Componente'!$A$13:$Q$321,14,FALSE)</f>
        <v>45383</v>
      </c>
      <c r="O53" s="326" t="str">
        <f>VLOOKUP($D53,'PA - Por Componente'!$A$13:$Q$321,15,FALSE)</f>
        <v>PE/ARP</v>
      </c>
      <c r="P53" s="326">
        <f>VLOOKUP($D53,'PA - Por Componente'!$A$13:$Q$321,16,FALSE)</f>
        <v>0</v>
      </c>
      <c r="Q53" s="326" t="str">
        <f>VLOOKUP($D53,'PA - Por Componente'!$A$13:$Q$321,17,FALSE)</f>
        <v>Processo em curso</v>
      </c>
      <c r="R53" s="98"/>
      <c r="S53" s="399"/>
    </row>
    <row r="54" spans="1:19" s="106" customFormat="1" ht="33" customHeight="1">
      <c r="A54" s="334" t="s">
        <v>357</v>
      </c>
      <c r="B54" s="334" t="s">
        <v>151</v>
      </c>
      <c r="C54" s="335" t="str">
        <f>VLOOKUP($D54,'PA - Por Componente'!$A$13:$Q$321,2,FALSE)</f>
        <v>Aquisição de Equipamentos Cirúrgicos para o HRVJ. </v>
      </c>
      <c r="D54" s="351" t="s">
        <v>461</v>
      </c>
      <c r="E54" s="326" t="str">
        <f>VLOOKUP($D54,'PA - Por Componente'!$A$13:$Q$321,5,FALSE)</f>
        <v>SN</v>
      </c>
      <c r="F54" s="326">
        <v>0</v>
      </c>
      <c r="G54" s="326">
        <v>0</v>
      </c>
      <c r="H54" s="336">
        <f>VLOOKUP($D54,'PA - Por Componente'!$A$13:$Q$321,8,FALSE)</f>
        <v>3305482.356</v>
      </c>
      <c r="I54" s="330">
        <f>VLOOKUP($D54,'PA - Por Componente'!$A$13:$Q$321,9,FALSE)</f>
        <v>1</v>
      </c>
      <c r="J54" s="330">
        <f>VLOOKUP($D54,'PA - Por Componente'!$A$13:$Q$321,10,FALSE)</f>
        <v>0</v>
      </c>
      <c r="K54" s="337" t="str">
        <f t="shared" si="0"/>
        <v>2</v>
      </c>
      <c r="L54" s="326" t="str">
        <f>VLOOKUP($D54,'PA - Por Componente'!$A$13:$Q$321,12,FALSE)</f>
        <v>Ex-post</v>
      </c>
      <c r="M54" s="332">
        <f>VLOOKUP($D54,'PA - Por Componente'!$A$13:$Q$321,13,FALSE)</f>
        <v>44105</v>
      </c>
      <c r="N54" s="332">
        <f>VLOOKUP($D54,'PA - Por Componente'!$A$13:$Q$321,14,FALSE)</f>
        <v>45383</v>
      </c>
      <c r="O54" s="326" t="str">
        <f>VLOOKUP($D54,'PA - Por Componente'!$A$13:$Q$321,15,FALSE)</f>
        <v>PE/ARP</v>
      </c>
      <c r="P54" s="326">
        <f>VLOOKUP($D54,'PA - Por Componente'!$A$13:$Q$321,16,FALSE)</f>
        <v>0</v>
      </c>
      <c r="Q54" s="326" t="str">
        <f>VLOOKUP($D54,'PA - Por Componente'!$A$13:$Q$321,17,FALSE)</f>
        <v>Processo em curso</v>
      </c>
      <c r="R54" s="98"/>
      <c r="S54" s="399"/>
    </row>
    <row r="55" spans="1:19" s="106" customFormat="1" ht="31.5">
      <c r="A55" s="334" t="s">
        <v>358</v>
      </c>
      <c r="B55" s="334" t="s">
        <v>151</v>
      </c>
      <c r="C55" s="335" t="str">
        <f>VLOOKUP($D55,'PA - Por Componente'!$A$13:$Q$321,2,FALSE)</f>
        <v>Aquisição de Equipamentos Médico/Apoio Assistencial para o HRVJ</v>
      </c>
      <c r="D55" s="351" t="s">
        <v>462</v>
      </c>
      <c r="E55" s="326" t="str">
        <f>VLOOKUP($D55,'PA - Por Componente'!$A$13:$Q$321,5,FALSE)</f>
        <v>SN</v>
      </c>
      <c r="F55" s="326">
        <v>0</v>
      </c>
      <c r="G55" s="326">
        <v>0</v>
      </c>
      <c r="H55" s="336">
        <f>VLOOKUP($D55,'PA - Por Componente'!$A$13:$Q$321,8,FALSE)</f>
        <v>1492925.8213333334</v>
      </c>
      <c r="I55" s="330">
        <f>VLOOKUP($D55,'PA - Por Componente'!$A$13:$Q$321,9,FALSE)</f>
        <v>1</v>
      </c>
      <c r="J55" s="330">
        <f>VLOOKUP($D55,'PA - Por Componente'!$A$13:$Q$321,10,FALSE)</f>
        <v>0</v>
      </c>
      <c r="K55" s="337" t="str">
        <f t="shared" si="0"/>
        <v>2</v>
      </c>
      <c r="L55" s="326" t="str">
        <f>VLOOKUP($D55,'PA - Por Componente'!$A$13:$Q$321,12,FALSE)</f>
        <v>Ex-post</v>
      </c>
      <c r="M55" s="332">
        <f>VLOOKUP($D55,'PA - Por Componente'!$A$13:$Q$321,13,FALSE)</f>
        <v>44106</v>
      </c>
      <c r="N55" s="332">
        <f>VLOOKUP($D55,'PA - Por Componente'!$A$13:$Q$321,14,FALSE)</f>
        <v>45383</v>
      </c>
      <c r="O55" s="326" t="str">
        <f>VLOOKUP($D55,'PA - Por Componente'!$A$13:$Q$321,15,FALSE)</f>
        <v>PE/ARP</v>
      </c>
      <c r="P55" s="326">
        <f>VLOOKUP($D55,'PA - Por Componente'!$A$13:$Q$321,16,FALSE)</f>
        <v>0</v>
      </c>
      <c r="Q55" s="326" t="str">
        <f>VLOOKUP($D55,'PA - Por Componente'!$A$13:$Q$321,17,FALSE)</f>
        <v>Processo em curso</v>
      </c>
      <c r="R55" s="98"/>
      <c r="S55" s="399"/>
    </row>
    <row r="56" spans="1:19" s="106" customFormat="1" ht="33" customHeight="1">
      <c r="A56" s="334" t="s">
        <v>359</v>
      </c>
      <c r="B56" s="334" t="s">
        <v>151</v>
      </c>
      <c r="C56" s="335" t="str">
        <f>VLOOKUP($D56,'PA - Por Componente'!$A$13:$Q$321,2,FALSE)</f>
        <v>Aquisição de Eletrodomésticos para o HRVJ</v>
      </c>
      <c r="D56" s="351" t="s">
        <v>463</v>
      </c>
      <c r="E56" s="326" t="str">
        <f>VLOOKUP($D56,'PA - Por Componente'!$A$13:$Q$321,5,FALSE)</f>
        <v>SN</v>
      </c>
      <c r="F56" s="326">
        <v>0</v>
      </c>
      <c r="G56" s="326">
        <v>0</v>
      </c>
      <c r="H56" s="336">
        <f>VLOOKUP($D56,'PA - Por Componente'!$A$13:$Q$321,8,FALSE)</f>
        <v>105000</v>
      </c>
      <c r="I56" s="330">
        <f>VLOOKUP($D56,'PA - Por Componente'!$A$13:$Q$321,9,FALSE)</f>
        <v>1</v>
      </c>
      <c r="J56" s="330">
        <f>VLOOKUP($D56,'PA - Por Componente'!$A$13:$Q$321,10,FALSE)</f>
        <v>0</v>
      </c>
      <c r="K56" s="337" t="str">
        <f t="shared" si="0"/>
        <v>2</v>
      </c>
      <c r="L56" s="326" t="str">
        <f>VLOOKUP($D56,'PA - Por Componente'!$A$13:$Q$321,12,FALSE)</f>
        <v>Ex-post</v>
      </c>
      <c r="M56" s="332">
        <f>VLOOKUP($D56,'PA - Por Componente'!$A$13:$Q$321,13,FALSE)</f>
        <v>44107</v>
      </c>
      <c r="N56" s="332">
        <f>VLOOKUP($D56,'PA - Por Componente'!$A$13:$Q$321,14,FALSE)</f>
        <v>45383</v>
      </c>
      <c r="O56" s="326" t="str">
        <f>VLOOKUP($D56,'PA - Por Componente'!$A$13:$Q$321,15,FALSE)</f>
        <v>PE/ARP</v>
      </c>
      <c r="P56" s="326">
        <f>VLOOKUP($D56,'PA - Por Componente'!$A$13:$Q$321,16,FALSE)</f>
        <v>0</v>
      </c>
      <c r="Q56" s="326" t="str">
        <f>VLOOKUP($D56,'PA - Por Componente'!$A$13:$Q$321,17,FALSE)</f>
        <v>Processo em curso</v>
      </c>
      <c r="R56" s="98"/>
      <c r="S56" s="399"/>
    </row>
    <row r="57" spans="1:19" s="106" customFormat="1" ht="33" customHeight="1">
      <c r="A57" s="334" t="s">
        <v>360</v>
      </c>
      <c r="B57" s="334" t="s">
        <v>151</v>
      </c>
      <c r="C57" s="335" t="str">
        <f>VLOOKUP($D57,'PA - Por Componente'!$A$13:$Q$321,2,FALSE)</f>
        <v>Aquisição de Equipamentos de Esterilização para o HRVJ</v>
      </c>
      <c r="D57" s="351" t="s">
        <v>464</v>
      </c>
      <c r="E57" s="326" t="str">
        <f>VLOOKUP($D57,'PA - Por Componente'!$A$13:$Q$321,5,FALSE)</f>
        <v>SN</v>
      </c>
      <c r="F57" s="326">
        <v>0</v>
      </c>
      <c r="G57" s="326">
        <v>0</v>
      </c>
      <c r="H57" s="336">
        <f>VLOOKUP($D57,'PA - Por Componente'!$A$13:$Q$321,8,FALSE)</f>
        <v>460000</v>
      </c>
      <c r="I57" s="330">
        <f>VLOOKUP($D57,'PA - Por Componente'!$A$13:$Q$321,9,FALSE)</f>
        <v>1</v>
      </c>
      <c r="J57" s="330">
        <f>VLOOKUP($D57,'PA - Por Componente'!$A$13:$Q$321,10,FALSE)</f>
        <v>0</v>
      </c>
      <c r="K57" s="337" t="str">
        <f t="shared" si="0"/>
        <v>2</v>
      </c>
      <c r="L57" s="326" t="str">
        <f>VLOOKUP($D57,'PA - Por Componente'!$A$13:$Q$321,12,FALSE)</f>
        <v>Ex-post</v>
      </c>
      <c r="M57" s="332">
        <f>VLOOKUP($D57,'PA - Por Componente'!$A$13:$Q$321,13,FALSE)</f>
        <v>44136</v>
      </c>
      <c r="N57" s="332">
        <f>VLOOKUP($D57,'PA - Por Componente'!$A$13:$Q$321,14,FALSE)</f>
        <v>45383</v>
      </c>
      <c r="O57" s="326" t="str">
        <f>VLOOKUP($D57,'PA - Por Componente'!$A$13:$Q$321,15,FALSE)</f>
        <v>PE/ARP</v>
      </c>
      <c r="P57" s="326">
        <f>VLOOKUP($D57,'PA - Por Componente'!$A$13:$Q$321,16,FALSE)</f>
        <v>0</v>
      </c>
      <c r="Q57" s="326" t="str">
        <f>VLOOKUP($D57,'PA - Por Componente'!$A$13:$Q$321,17,FALSE)</f>
        <v>Processo em curso</v>
      </c>
      <c r="R57" s="98"/>
      <c r="S57" s="399"/>
    </row>
    <row r="58" spans="1:19" s="106" customFormat="1" ht="33.75" customHeight="1">
      <c r="A58" s="334" t="s">
        <v>361</v>
      </c>
      <c r="B58" s="334" t="s">
        <v>151</v>
      </c>
      <c r="C58" s="335" t="str">
        <f>VLOOKUP($D58,'PA - Por Componente'!$A$13:$Q$321,2,FALSE)</f>
        <v>Aquisição de Mobiliário/Utensílio de Nutrição para o HRVJ.</v>
      </c>
      <c r="D58" s="351" t="s">
        <v>465</v>
      </c>
      <c r="E58" s="326" t="str">
        <f>VLOOKUP($D58,'PA - Por Componente'!$A$13:$Q$321,5,FALSE)</f>
        <v>SN</v>
      </c>
      <c r="F58" s="326">
        <v>0</v>
      </c>
      <c r="G58" s="326">
        <v>0</v>
      </c>
      <c r="H58" s="336">
        <f>VLOOKUP($D58,'PA - Por Componente'!$A$13:$Q$321,8,FALSE)</f>
        <v>141500</v>
      </c>
      <c r="I58" s="330">
        <f>VLOOKUP($D58,'PA - Por Componente'!$A$13:$Q$321,9,FALSE)</f>
        <v>1</v>
      </c>
      <c r="J58" s="330">
        <f>VLOOKUP($D58,'PA - Por Componente'!$A$13:$Q$321,10,FALSE)</f>
        <v>0</v>
      </c>
      <c r="K58" s="337" t="str">
        <f t="shared" si="0"/>
        <v>2</v>
      </c>
      <c r="L58" s="326" t="str">
        <f>VLOOKUP($D58,'PA - Por Componente'!$A$13:$Q$321,12,FALSE)</f>
        <v>Ex-post</v>
      </c>
      <c r="M58" s="332">
        <f>VLOOKUP($D58,'PA - Por Componente'!$A$13:$Q$321,13,FALSE)</f>
        <v>44137</v>
      </c>
      <c r="N58" s="332">
        <f>VLOOKUP($D58,'PA - Por Componente'!$A$13:$Q$321,14,FALSE)</f>
        <v>45383</v>
      </c>
      <c r="O58" s="326" t="str">
        <f>VLOOKUP($D58,'PA - Por Componente'!$A$13:$Q$321,15,FALSE)</f>
        <v>PE/ARP</v>
      </c>
      <c r="P58" s="326">
        <f>VLOOKUP($D58,'PA - Por Componente'!$A$13:$Q$321,16,FALSE)</f>
        <v>0</v>
      </c>
      <c r="Q58" s="326" t="str">
        <f>VLOOKUP($D58,'PA - Por Componente'!$A$13:$Q$321,17,FALSE)</f>
        <v>Processo em curso</v>
      </c>
      <c r="R58" s="98"/>
      <c r="S58" s="399"/>
    </row>
    <row r="59" spans="1:19" s="106" customFormat="1" ht="33" customHeight="1">
      <c r="A59" s="334" t="s">
        <v>362</v>
      </c>
      <c r="B59" s="334" t="s">
        <v>151</v>
      </c>
      <c r="C59" s="335" t="str">
        <f>VLOOKUP($D59,'PA - Por Componente'!$A$13:$Q$321,2,FALSE)</f>
        <v>Aquisição de Equipamentos de Monitorização para o HRVJ</v>
      </c>
      <c r="D59" s="351" t="s">
        <v>466</v>
      </c>
      <c r="E59" s="326" t="str">
        <f>VLOOKUP($D59,'PA - Por Componente'!$A$13:$Q$321,5,FALSE)</f>
        <v>SN</v>
      </c>
      <c r="F59" s="326">
        <v>0</v>
      </c>
      <c r="G59" s="326">
        <v>0</v>
      </c>
      <c r="H59" s="336">
        <f>VLOOKUP($D59,'PA - Por Componente'!$A$13:$Q$321,8,FALSE)</f>
        <v>849566.1546666699</v>
      </c>
      <c r="I59" s="330">
        <f>VLOOKUP($D59,'PA - Por Componente'!$A$13:$Q$321,9,FALSE)</f>
        <v>1</v>
      </c>
      <c r="J59" s="330">
        <f>VLOOKUP($D59,'PA - Por Componente'!$A$13:$Q$321,10,FALSE)</f>
        <v>0</v>
      </c>
      <c r="K59" s="337" t="str">
        <f t="shared" si="0"/>
        <v>2</v>
      </c>
      <c r="L59" s="326" t="str">
        <f>VLOOKUP($D59,'PA - Por Componente'!$A$13:$Q$321,12,FALSE)</f>
        <v>Ex-post</v>
      </c>
      <c r="M59" s="332">
        <f>VLOOKUP($D59,'PA - Por Componente'!$A$13:$Q$321,13,FALSE)</f>
        <v>44256</v>
      </c>
      <c r="N59" s="332">
        <f>VLOOKUP($D59,'PA - Por Componente'!$A$13:$Q$321,14,FALSE)</f>
        <v>45383</v>
      </c>
      <c r="O59" s="326" t="str">
        <f>VLOOKUP($D59,'PA - Por Componente'!$A$13:$Q$321,15,FALSE)</f>
        <v>PE/ARP</v>
      </c>
      <c r="P59" s="326">
        <f>VLOOKUP($D59,'PA - Por Componente'!$A$13:$Q$321,16,FALSE)</f>
        <v>0</v>
      </c>
      <c r="Q59" s="326" t="str">
        <f>VLOOKUP($D59,'PA - Por Componente'!$A$13:$Q$321,17,FALSE)</f>
        <v>Processo em curso</v>
      </c>
      <c r="R59" s="98"/>
      <c r="S59" s="399"/>
    </row>
    <row r="60" spans="1:19" s="106" customFormat="1" ht="33" customHeight="1">
      <c r="A60" s="334" t="s">
        <v>363</v>
      </c>
      <c r="B60" s="334" t="s">
        <v>151</v>
      </c>
      <c r="C60" s="335" t="str">
        <f>VLOOKUP($D60,'PA - Por Componente'!$A$13:$Q$321,2,FALSE)</f>
        <v>Aquisição de Equipamentos de Suporte à Vida para o HRVJ</v>
      </c>
      <c r="D60" s="351" t="s">
        <v>467</v>
      </c>
      <c r="E60" s="326" t="str">
        <f>VLOOKUP($D60,'PA - Por Componente'!$A$13:$Q$321,5,FALSE)</f>
        <v>SN</v>
      </c>
      <c r="F60" s="326">
        <v>0</v>
      </c>
      <c r="G60" s="326">
        <v>0</v>
      </c>
      <c r="H60" s="336">
        <f>VLOOKUP($D60,'PA - Por Componente'!$A$13:$Q$321,8,FALSE)</f>
        <v>915377.6633333331</v>
      </c>
      <c r="I60" s="330">
        <f>VLOOKUP($D60,'PA - Por Componente'!$A$13:$Q$321,9,FALSE)</f>
        <v>1</v>
      </c>
      <c r="J60" s="330">
        <f>VLOOKUP($D60,'PA - Por Componente'!$A$13:$Q$321,10,FALSE)</f>
        <v>0</v>
      </c>
      <c r="K60" s="337" t="str">
        <f t="shared" si="0"/>
        <v>2</v>
      </c>
      <c r="L60" s="326" t="str">
        <f>VLOOKUP($D60,'PA - Por Componente'!$A$13:$Q$321,12,FALSE)</f>
        <v>Ex-post</v>
      </c>
      <c r="M60" s="332">
        <f>VLOOKUP($D60,'PA - Por Componente'!$A$13:$Q$321,13,FALSE)</f>
        <v>44256</v>
      </c>
      <c r="N60" s="332">
        <f>VLOOKUP($D60,'PA - Por Componente'!$A$13:$Q$321,14,FALSE)</f>
        <v>45383</v>
      </c>
      <c r="O60" s="326" t="str">
        <f>VLOOKUP($D60,'PA - Por Componente'!$A$13:$Q$321,15,FALSE)</f>
        <v>PE/ARP</v>
      </c>
      <c r="P60" s="326">
        <f>VLOOKUP($D60,'PA - Por Componente'!$A$13:$Q$321,16,FALSE)</f>
        <v>0</v>
      </c>
      <c r="Q60" s="326" t="str">
        <f>VLOOKUP($D60,'PA - Por Componente'!$A$13:$Q$321,17,FALSE)</f>
        <v>Processo em curso</v>
      </c>
      <c r="R60" s="98"/>
      <c r="S60" s="399"/>
    </row>
    <row r="61" spans="1:19" s="106" customFormat="1" ht="33" customHeight="1">
      <c r="A61" s="334" t="s">
        <v>364</v>
      </c>
      <c r="B61" s="334" t="s">
        <v>151</v>
      </c>
      <c r="C61" s="335" t="str">
        <f>VLOOKUP($D61,'PA - Por Componente'!$A$13:$Q$321,2,FALSE)</f>
        <v>Aquisição de Equipamentos de T.I para o HRVJ</v>
      </c>
      <c r="D61" s="351" t="s">
        <v>468</v>
      </c>
      <c r="E61" s="326" t="str">
        <f>VLOOKUP($D61,'PA - Por Componente'!$A$13:$Q$321,5,FALSE)</f>
        <v>SN</v>
      </c>
      <c r="F61" s="326">
        <v>0</v>
      </c>
      <c r="G61" s="326">
        <v>0</v>
      </c>
      <c r="H61" s="336">
        <f>VLOOKUP($D61,'PA - Por Componente'!$A$13:$Q$321,8,FALSE)</f>
        <v>310000</v>
      </c>
      <c r="I61" s="330">
        <f>VLOOKUP($D61,'PA - Por Componente'!$A$13:$Q$321,9,FALSE)</f>
        <v>1</v>
      </c>
      <c r="J61" s="330">
        <f>VLOOKUP($D61,'PA - Por Componente'!$A$13:$Q$321,10,FALSE)</f>
        <v>0</v>
      </c>
      <c r="K61" s="337" t="str">
        <f t="shared" si="0"/>
        <v>2</v>
      </c>
      <c r="L61" s="326" t="str">
        <f>VLOOKUP($D61,'PA - Por Componente'!$A$13:$Q$321,12,FALSE)</f>
        <v>Ex-post</v>
      </c>
      <c r="M61" s="332">
        <f>VLOOKUP($D61,'PA - Por Componente'!$A$13:$Q$321,13,FALSE)</f>
        <v>44256</v>
      </c>
      <c r="N61" s="332">
        <f>VLOOKUP($D61,'PA - Por Componente'!$A$13:$Q$321,14,FALSE)</f>
        <v>45383</v>
      </c>
      <c r="O61" s="326" t="str">
        <f>VLOOKUP($D61,'PA - Por Componente'!$A$13:$Q$321,15,FALSE)</f>
        <v>PE/ARP</v>
      </c>
      <c r="P61" s="326">
        <f>VLOOKUP($D61,'PA - Por Componente'!$A$13:$Q$321,16,FALSE)</f>
        <v>0</v>
      </c>
      <c r="Q61" s="326" t="str">
        <f>VLOOKUP($D61,'PA - Por Componente'!$A$13:$Q$321,17,FALSE)</f>
        <v>Processo em curso</v>
      </c>
      <c r="R61" s="98"/>
      <c r="S61" s="399"/>
    </row>
    <row r="62" spans="1:19" s="106" customFormat="1" ht="33" customHeight="1">
      <c r="A62" s="334" t="s">
        <v>365</v>
      </c>
      <c r="B62" s="334" t="s">
        <v>151</v>
      </c>
      <c r="C62" s="335" t="str">
        <f>VLOOKUP($D62,'PA - Por Componente'!$A$13:$Q$321,2,FALSE)</f>
        <v>Aquisição de Equipamentos de Terapia e Reabilitação para o HRVJ</v>
      </c>
      <c r="D62" s="351" t="s">
        <v>469</v>
      </c>
      <c r="E62" s="326" t="str">
        <f>VLOOKUP($D62,'PA - Por Componente'!$A$13:$Q$321,5,FALSE)</f>
        <v>SN</v>
      </c>
      <c r="F62" s="326">
        <v>0</v>
      </c>
      <c r="G62" s="326">
        <v>0</v>
      </c>
      <c r="H62" s="336">
        <f>VLOOKUP($D62,'PA - Por Componente'!$A$13:$Q$321,8,FALSE)</f>
        <v>25700</v>
      </c>
      <c r="I62" s="330">
        <f>VLOOKUP($D62,'PA - Por Componente'!$A$13:$Q$321,9,FALSE)</f>
        <v>1</v>
      </c>
      <c r="J62" s="330">
        <f>VLOOKUP($D62,'PA - Por Componente'!$A$13:$Q$321,10,FALSE)</f>
        <v>0</v>
      </c>
      <c r="K62" s="337" t="str">
        <f t="shared" si="0"/>
        <v>2</v>
      </c>
      <c r="L62" s="326" t="str">
        <f>VLOOKUP($D62,'PA - Por Componente'!$A$13:$Q$321,12,FALSE)</f>
        <v>Ex-post</v>
      </c>
      <c r="M62" s="332">
        <f>VLOOKUP($D62,'PA - Por Componente'!$A$13:$Q$321,13,FALSE)</f>
        <v>44256</v>
      </c>
      <c r="N62" s="332">
        <f>VLOOKUP($D62,'PA - Por Componente'!$A$13:$Q$321,14,FALSE)</f>
        <v>45383</v>
      </c>
      <c r="O62" s="326" t="str">
        <f>VLOOKUP($D62,'PA - Por Componente'!$A$13:$Q$321,15,FALSE)</f>
        <v>PE/ARP</v>
      </c>
      <c r="P62" s="326">
        <f>VLOOKUP($D62,'PA - Por Componente'!$A$13:$Q$321,16,FALSE)</f>
        <v>0</v>
      </c>
      <c r="Q62" s="326" t="str">
        <f>VLOOKUP($D62,'PA - Por Componente'!$A$13:$Q$321,17,FALSE)</f>
        <v>Processo em curso</v>
      </c>
      <c r="R62" s="98"/>
      <c r="S62" s="399"/>
    </row>
    <row r="63" spans="1:19" s="106" customFormat="1" ht="36.75" customHeight="1">
      <c r="A63" s="334" t="s">
        <v>366</v>
      </c>
      <c r="B63" s="334" t="s">
        <v>151</v>
      </c>
      <c r="C63" s="335" t="str">
        <f>VLOOKUP($D63,'PA - Por Componente'!$A$13:$Q$321,2,FALSE)</f>
        <v>Aquisição de Equipamentos de Uso Geral para o HRVJ</v>
      </c>
      <c r="D63" s="351" t="s">
        <v>470</v>
      </c>
      <c r="E63" s="326" t="str">
        <f>VLOOKUP($D63,'PA - Por Componente'!$A$13:$Q$321,5,FALSE)</f>
        <v>SN</v>
      </c>
      <c r="F63" s="326">
        <v>0</v>
      </c>
      <c r="G63" s="326">
        <v>0</v>
      </c>
      <c r="H63" s="336">
        <f>VLOOKUP($D63,'PA - Por Componente'!$A$13:$Q$321,8,FALSE)</f>
        <v>20000</v>
      </c>
      <c r="I63" s="330">
        <f>VLOOKUP($D63,'PA - Por Componente'!$A$13:$Q$321,9,FALSE)</f>
        <v>1</v>
      </c>
      <c r="J63" s="330">
        <f>VLOOKUP($D63,'PA - Por Componente'!$A$13:$Q$321,10,FALSE)</f>
        <v>0</v>
      </c>
      <c r="K63" s="337" t="str">
        <f t="shared" si="0"/>
        <v>2</v>
      </c>
      <c r="L63" s="326" t="str">
        <f>VLOOKUP($D63,'PA - Por Componente'!$A$13:$Q$321,12,FALSE)</f>
        <v>Ex-post</v>
      </c>
      <c r="M63" s="332">
        <f>VLOOKUP($D63,'PA - Por Componente'!$A$13:$Q$321,13,FALSE)</f>
        <v>44256</v>
      </c>
      <c r="N63" s="332">
        <f>VLOOKUP($D63,'PA - Por Componente'!$A$13:$Q$321,14,FALSE)</f>
        <v>45383</v>
      </c>
      <c r="O63" s="326" t="str">
        <f>VLOOKUP($D63,'PA - Por Componente'!$A$13:$Q$321,15,FALSE)</f>
        <v>PE/ARP</v>
      </c>
      <c r="P63" s="326">
        <f>VLOOKUP($D63,'PA - Por Componente'!$A$13:$Q$321,16,FALSE)</f>
        <v>0</v>
      </c>
      <c r="Q63" s="326" t="str">
        <f>VLOOKUP($D63,'PA - Por Componente'!$A$13:$Q$321,17,FALSE)</f>
        <v>Processo em curso</v>
      </c>
      <c r="R63" s="98"/>
      <c r="S63" s="399"/>
    </row>
    <row r="64" spans="1:19" s="106" customFormat="1" ht="33" customHeight="1">
      <c r="A64" s="334" t="s">
        <v>367</v>
      </c>
      <c r="B64" s="334" t="s">
        <v>151</v>
      </c>
      <c r="C64" s="335" t="str">
        <f>VLOOKUP($D64,'PA - Por Componente'!$A$13:$Q$321,2,FALSE)</f>
        <v>Aquisição de Equipamentos de Infraestrutura para o  HRVJ</v>
      </c>
      <c r="D64" s="326" t="s">
        <v>471</v>
      </c>
      <c r="E64" s="326" t="str">
        <f>VLOOKUP($D64,'PA - Por Componente'!$A$13:$Q$321,5,FALSE)</f>
        <v>SN</v>
      </c>
      <c r="F64" s="326">
        <v>0</v>
      </c>
      <c r="G64" s="326">
        <v>0</v>
      </c>
      <c r="H64" s="336">
        <f>VLOOKUP($D64,'PA - Por Componente'!$A$13:$Q$321,8,FALSE)</f>
        <v>154800</v>
      </c>
      <c r="I64" s="330">
        <f>VLOOKUP($D64,'PA - Por Componente'!$A$13:$Q$321,9,FALSE)</f>
        <v>1</v>
      </c>
      <c r="J64" s="330">
        <f>VLOOKUP($D64,'PA - Por Componente'!$A$13:$Q$321,10,FALSE)</f>
        <v>0</v>
      </c>
      <c r="K64" s="337" t="str">
        <f t="shared" si="0"/>
        <v>2</v>
      </c>
      <c r="L64" s="326" t="str">
        <f>VLOOKUP($D64,'PA - Por Componente'!$A$13:$Q$321,12,FALSE)</f>
        <v>Ex-post</v>
      </c>
      <c r="M64" s="332">
        <f>VLOOKUP($D64,'PA - Por Componente'!$A$13:$Q$321,13,FALSE)</f>
        <v>44348</v>
      </c>
      <c r="N64" s="332">
        <f>VLOOKUP($D64,'PA - Por Componente'!$A$13:$Q$321,14,FALSE)</f>
        <v>45383</v>
      </c>
      <c r="O64" s="326" t="str">
        <f>VLOOKUP($D64,'PA - Por Componente'!$A$13:$Q$321,15,FALSE)</f>
        <v>PE/ARP</v>
      </c>
      <c r="P64" s="326">
        <f>VLOOKUP($D64,'PA - Por Componente'!$A$13:$Q$321,16,FALSE)</f>
        <v>0</v>
      </c>
      <c r="Q64" s="326" t="str">
        <f>VLOOKUP($D64,'PA - Por Componente'!$A$13:$Q$321,17,FALSE)</f>
        <v>Processo em curso</v>
      </c>
      <c r="R64" s="98"/>
      <c r="S64" s="399"/>
    </row>
    <row r="65" spans="1:19" s="106" customFormat="1" ht="33" customHeight="1">
      <c r="A65" s="334" t="s">
        <v>368</v>
      </c>
      <c r="B65" s="334" t="s">
        <v>151</v>
      </c>
      <c r="C65" s="335" t="str">
        <f>VLOOKUP($D65,'PA - Por Componente'!$A$13:$Q$321,2,FALSE)</f>
        <v>Aquisição de Instrumental para o HRVJ</v>
      </c>
      <c r="D65" s="351" t="s">
        <v>472</v>
      </c>
      <c r="E65" s="326" t="str">
        <f>VLOOKUP($D65,'PA - Por Componente'!$A$13:$Q$321,5,FALSE)</f>
        <v>SN</v>
      </c>
      <c r="F65" s="326">
        <v>0</v>
      </c>
      <c r="G65" s="326">
        <v>0</v>
      </c>
      <c r="H65" s="336">
        <f>VLOOKUP($D65,'PA - Por Componente'!$A$13:$Q$321,8,FALSE)</f>
        <v>1043795.7980000002</v>
      </c>
      <c r="I65" s="330">
        <f>VLOOKUP($D65,'PA - Por Componente'!$A$13:$Q$321,9,FALSE)</f>
        <v>1</v>
      </c>
      <c r="J65" s="330">
        <f>VLOOKUP($D65,'PA - Por Componente'!$A$13:$Q$321,10,FALSE)</f>
        <v>0</v>
      </c>
      <c r="K65" s="337" t="str">
        <f t="shared" si="0"/>
        <v>2</v>
      </c>
      <c r="L65" s="326" t="str">
        <f>VLOOKUP($D65,'PA - Por Componente'!$A$13:$Q$321,12,FALSE)</f>
        <v>Ex-post</v>
      </c>
      <c r="M65" s="332">
        <f>VLOOKUP($D65,'PA - Por Componente'!$A$13:$Q$321,13,FALSE)</f>
        <v>44256</v>
      </c>
      <c r="N65" s="332">
        <f>VLOOKUP($D65,'PA - Por Componente'!$A$13:$Q$321,14,FALSE)</f>
        <v>45383</v>
      </c>
      <c r="O65" s="326" t="str">
        <f>VLOOKUP($D65,'PA - Por Componente'!$A$13:$Q$321,15,FALSE)</f>
        <v>PE/ARP</v>
      </c>
      <c r="P65" s="326">
        <f>VLOOKUP($D65,'PA - Por Componente'!$A$13:$Q$321,16,FALSE)</f>
        <v>0</v>
      </c>
      <c r="Q65" s="326" t="str">
        <f>VLOOKUP($D65,'PA - Por Componente'!$A$13:$Q$321,17,FALSE)</f>
        <v>Processo em curso</v>
      </c>
      <c r="R65" s="98"/>
      <c r="S65" s="399"/>
    </row>
    <row r="66" spans="1:19" s="106" customFormat="1" ht="33" customHeight="1">
      <c r="A66" s="334" t="s">
        <v>369</v>
      </c>
      <c r="B66" s="334" t="s">
        <v>151</v>
      </c>
      <c r="C66" s="335" t="str">
        <f>VLOOKUP($D66,'PA - Por Componente'!$A$13:$Q$321,2,FALSE)</f>
        <v>Aquisição de Mobiliário Hospitalar para o HRVJ</v>
      </c>
      <c r="D66" s="326" t="s">
        <v>554</v>
      </c>
      <c r="E66" s="326" t="str">
        <f>VLOOKUP($D66,'PA - Por Componente'!$A$13:$Q$321,5,FALSE)</f>
        <v>SN</v>
      </c>
      <c r="F66" s="326">
        <v>0</v>
      </c>
      <c r="G66" s="326">
        <v>0</v>
      </c>
      <c r="H66" s="336">
        <f>VLOOKUP($D66,'PA - Por Componente'!$A$13:$Q$321,8,FALSE)</f>
        <v>1215000</v>
      </c>
      <c r="I66" s="330">
        <f>VLOOKUP($D66,'PA - Por Componente'!$A$13:$Q$321,9,FALSE)</f>
        <v>1</v>
      </c>
      <c r="J66" s="330">
        <f>VLOOKUP($D66,'PA - Por Componente'!$A$13:$Q$321,10,FALSE)</f>
        <v>0</v>
      </c>
      <c r="K66" s="337" t="str">
        <f t="shared" si="0"/>
        <v>2</v>
      </c>
      <c r="L66" s="326" t="str">
        <f>VLOOKUP($D66,'PA - Por Componente'!$A$13:$Q$321,12,FALSE)</f>
        <v>Ex-post</v>
      </c>
      <c r="M66" s="332">
        <f>VLOOKUP($D66,'PA - Por Componente'!$A$13:$Q$321,13,FALSE)</f>
        <v>44348</v>
      </c>
      <c r="N66" s="332">
        <f>VLOOKUP($D66,'PA - Por Componente'!$A$13:$Q$321,14,FALSE)</f>
        <v>45383</v>
      </c>
      <c r="O66" s="326" t="str">
        <f>VLOOKUP($D66,'PA - Por Componente'!$A$13:$Q$321,15,FALSE)</f>
        <v>PE/ARP</v>
      </c>
      <c r="P66" s="326">
        <f>VLOOKUP($D66,'PA - Por Componente'!$A$13:$Q$321,16,FALSE)</f>
        <v>0</v>
      </c>
      <c r="Q66" s="326" t="str">
        <f>VLOOKUP($D66,'PA - Por Componente'!$A$13:$Q$321,17,FALSE)</f>
        <v>Processo em curso</v>
      </c>
      <c r="R66" s="98"/>
      <c r="S66" s="399"/>
    </row>
    <row r="67" spans="1:19" s="106" customFormat="1" ht="33" customHeight="1">
      <c r="A67" s="334" t="s">
        <v>370</v>
      </c>
      <c r="B67" s="334" t="s">
        <v>151</v>
      </c>
      <c r="C67" s="335" t="str">
        <f>VLOOKUP($D67,'PA - Por Componente'!$A$13:$Q$321,2,FALSE)</f>
        <v>Aquisição de Mobiliário Administrativo para o HRVJ</v>
      </c>
      <c r="D67" s="326" t="s">
        <v>555</v>
      </c>
      <c r="E67" s="326" t="str">
        <f>VLOOKUP($D67,'PA - Por Componente'!$A$13:$Q$321,5,FALSE)</f>
        <v>SN</v>
      </c>
      <c r="F67" s="326">
        <v>0</v>
      </c>
      <c r="G67" s="326">
        <v>0</v>
      </c>
      <c r="H67" s="336">
        <f>VLOOKUP($D67,'PA - Por Componente'!$A$13:$Q$321,8,FALSE)</f>
        <v>588900</v>
      </c>
      <c r="I67" s="330">
        <f>VLOOKUP($D67,'PA - Por Componente'!$A$13:$Q$321,9,FALSE)</f>
        <v>1</v>
      </c>
      <c r="J67" s="330">
        <f>VLOOKUP($D67,'PA - Por Componente'!$A$13:$Q$321,10,FALSE)</f>
        <v>0</v>
      </c>
      <c r="K67" s="337" t="str">
        <f t="shared" si="0"/>
        <v>2</v>
      </c>
      <c r="L67" s="326" t="str">
        <f>VLOOKUP($D67,'PA - Por Componente'!$A$13:$Q$321,12,FALSE)</f>
        <v>Ex-post</v>
      </c>
      <c r="M67" s="332">
        <f>VLOOKUP($D67,'PA - Por Componente'!$A$13:$Q$321,13,FALSE)</f>
        <v>44348</v>
      </c>
      <c r="N67" s="332">
        <f>VLOOKUP($D67,'PA - Por Componente'!$A$13:$Q$321,14,FALSE)</f>
        <v>45383</v>
      </c>
      <c r="O67" s="326" t="str">
        <f>VLOOKUP($D67,'PA - Por Componente'!$A$13:$Q$321,15,FALSE)</f>
        <v>PE/ARP</v>
      </c>
      <c r="P67" s="326">
        <f>VLOOKUP($D67,'PA - Por Componente'!$A$13:$Q$321,16,FALSE)</f>
        <v>0</v>
      </c>
      <c r="Q67" s="326" t="str">
        <f>VLOOKUP($D67,'PA - Por Componente'!$A$13:$Q$321,17,FALSE)</f>
        <v>Processo em curso</v>
      </c>
      <c r="R67" s="98"/>
      <c r="S67" s="399"/>
    </row>
    <row r="68" spans="1:19" s="133" customFormat="1" ht="33" customHeight="1">
      <c r="A68" s="334" t="s">
        <v>371</v>
      </c>
      <c r="B68" s="334" t="s">
        <v>151</v>
      </c>
      <c r="C68" s="335" t="str">
        <f>VLOOKUP($D68,'PA - Por Componente'!$A$13:$Q$321,2,FALSE)</f>
        <v>Aquisição de Cortinas Leito para o HRVJ</v>
      </c>
      <c r="D68" s="326" t="s">
        <v>550</v>
      </c>
      <c r="E68" s="326" t="str">
        <f>VLOOKUP($D68,'PA - Por Componente'!$A$13:$Q$321,5,FALSE)</f>
        <v>CP</v>
      </c>
      <c r="F68" s="326">
        <v>0</v>
      </c>
      <c r="G68" s="326">
        <v>0</v>
      </c>
      <c r="H68" s="336">
        <f>VLOOKUP($D68,'PA - Por Componente'!$A$13:$Q$321,8,FALSE)</f>
        <v>37501.1</v>
      </c>
      <c r="I68" s="330">
        <f>VLOOKUP($D68,'PA - Por Componente'!$A$13:$Q$321,9,FALSE)</f>
        <v>1</v>
      </c>
      <c r="J68" s="330">
        <f>VLOOKUP($D68,'PA - Por Componente'!$A$13:$Q$321,10,FALSE)</f>
        <v>0</v>
      </c>
      <c r="K68" s="337" t="str">
        <f t="shared" si="0"/>
        <v>2</v>
      </c>
      <c r="L68" s="326" t="str">
        <f>VLOOKUP($D68,'PA - Por Componente'!$A$13:$Q$321,12,FALSE)</f>
        <v>Ex-post</v>
      </c>
      <c r="M68" s="332">
        <f>VLOOKUP($D68,'PA - Por Componente'!$A$13:$Q$321,13,FALSE)</f>
        <v>44256</v>
      </c>
      <c r="N68" s="332">
        <f>VLOOKUP($D68,'PA - Por Componente'!$A$13:$Q$321,14,FALSE)</f>
        <v>44531</v>
      </c>
      <c r="O68" s="326" t="str">
        <f>VLOOKUP($D68,'PA - Por Componente'!$A$13:$Q$321,15,FALSE)</f>
        <v>PE/ARP</v>
      </c>
      <c r="P68" s="326">
        <f>VLOOKUP($D68,'PA - Por Componente'!$A$13:$Q$321,16,FALSE)</f>
        <v>0</v>
      </c>
      <c r="Q68" s="326" t="str">
        <f>VLOOKUP($D68,'PA - Por Componente'!$A$13:$Q$321,17,FALSE)</f>
        <v>Contrato Concluído</v>
      </c>
      <c r="R68" s="301"/>
      <c r="S68" s="132"/>
    </row>
    <row r="69" spans="1:19" s="106" customFormat="1" ht="33" customHeight="1">
      <c r="A69" s="334" t="s">
        <v>372</v>
      </c>
      <c r="B69" s="334" t="s">
        <v>151</v>
      </c>
      <c r="C69" s="335" t="str">
        <f>VLOOKUP($D69,'PA - Por Componente'!$A$13:$Q$321,2,FALSE)</f>
        <v>Aquisição de Equipamentos de Telecomunicação para o HRVJ</v>
      </c>
      <c r="D69" s="326" t="s">
        <v>663</v>
      </c>
      <c r="E69" s="326" t="str">
        <f>VLOOKUP($D69,'PA - Por Componente'!$A$13:$Q$321,5,FALSE)</f>
        <v>SN</v>
      </c>
      <c r="F69" s="326">
        <v>0</v>
      </c>
      <c r="G69" s="326">
        <v>0</v>
      </c>
      <c r="H69" s="336">
        <f>VLOOKUP($D69,'PA - Por Componente'!$A$13:$Q$321,8,FALSE)</f>
        <v>5000</v>
      </c>
      <c r="I69" s="330">
        <f>VLOOKUP($D69,'PA - Por Componente'!$A$13:$Q$321,9,FALSE)</f>
        <v>1</v>
      </c>
      <c r="J69" s="330">
        <f>VLOOKUP($D69,'PA - Por Componente'!$A$13:$Q$321,10,FALSE)</f>
        <v>0</v>
      </c>
      <c r="K69" s="337" t="str">
        <f>LEFT(D69,1)</f>
        <v>2</v>
      </c>
      <c r="L69" s="326" t="str">
        <f>VLOOKUP($D69,'PA - Por Componente'!$A$13:$Q$321,12,FALSE)</f>
        <v>Ex-post</v>
      </c>
      <c r="M69" s="332">
        <f>VLOOKUP($D69,'PA - Por Componente'!$A$13:$Q$321,13,FALSE)</f>
        <v>44896</v>
      </c>
      <c r="N69" s="332">
        <f>VLOOKUP($D69,'PA - Por Componente'!$A$13:$Q$321,14,FALSE)</f>
        <v>45383</v>
      </c>
      <c r="O69" s="326" t="str">
        <f>VLOOKUP($D69,'PA - Por Componente'!$A$13:$Q$321,15,FALSE)</f>
        <v>PE/ARP</v>
      </c>
      <c r="P69" s="326">
        <f>VLOOKUP($D69,'PA - Por Componente'!$A$13:$Q$321,16,FALSE)</f>
        <v>0</v>
      </c>
      <c r="Q69" s="326" t="str">
        <f>VLOOKUP($D69,'PA - Por Componente'!$A$13:$Q$321,17,FALSE)</f>
        <v>Processo em curso</v>
      </c>
      <c r="R69" s="98"/>
      <c r="S69" s="399"/>
    </row>
    <row r="70" spans="1:19" s="106" customFormat="1" ht="33" customHeight="1">
      <c r="A70" s="334" t="s">
        <v>373</v>
      </c>
      <c r="B70" s="334" t="s">
        <v>151</v>
      </c>
      <c r="C70" s="335" t="str">
        <f>VLOOKUP($D70,'PA - Por Componente'!$A$13:$Q$321,2,FALSE)</f>
        <v>Aquisição de Equipamento Médico/Apoio Assistencial para a Policlínica do Crato</v>
      </c>
      <c r="D70" s="326" t="s">
        <v>564</v>
      </c>
      <c r="E70" s="326" t="str">
        <f>VLOOKUP($D70,'PA - Por Componente'!$A$13:$Q$321,5,FALSE)</f>
        <v>SN</v>
      </c>
      <c r="F70" s="326">
        <v>0</v>
      </c>
      <c r="G70" s="326">
        <v>0</v>
      </c>
      <c r="H70" s="336">
        <f>VLOOKUP($D70,'PA - Por Componente'!$A$13:$Q$321,8,FALSE)</f>
        <v>47140.490300000005</v>
      </c>
      <c r="I70" s="330">
        <f>VLOOKUP($D70,'PA - Por Componente'!$A$13:$Q$321,9,FALSE)</f>
        <v>1</v>
      </c>
      <c r="J70" s="330">
        <f>VLOOKUP($D70,'PA - Por Componente'!$A$13:$Q$321,10,FALSE)</f>
        <v>0</v>
      </c>
      <c r="K70" s="337" t="str">
        <f t="shared" si="0"/>
        <v>2</v>
      </c>
      <c r="L70" s="326" t="str">
        <f>VLOOKUP($D70,'PA - Por Componente'!$A$13:$Q$321,12,FALSE)</f>
        <v>Ex-post</v>
      </c>
      <c r="M70" s="332">
        <f>VLOOKUP($D70,'PA - Por Componente'!$A$13:$Q$321,13,FALSE)</f>
        <v>44470</v>
      </c>
      <c r="N70" s="332">
        <f>VLOOKUP($D70,'PA - Por Componente'!$A$13:$Q$321,14,FALSE)</f>
        <v>45292</v>
      </c>
      <c r="O70" s="326" t="str">
        <f>VLOOKUP($D70,'PA - Por Componente'!$A$13:$Q$321,15,FALSE)</f>
        <v>PE/ARP</v>
      </c>
      <c r="P70" s="326">
        <f>VLOOKUP($D70,'PA - Por Componente'!$A$13:$Q$321,16,FALSE)</f>
        <v>0</v>
      </c>
      <c r="Q70" s="326" t="str">
        <f>VLOOKUP($D70,'PA - Por Componente'!$A$13:$Q$321,17,FALSE)</f>
        <v>Processo em curso</v>
      </c>
      <c r="R70" s="98"/>
      <c r="S70" s="399"/>
    </row>
    <row r="71" spans="1:19" s="133" customFormat="1" ht="33" customHeight="1">
      <c r="A71" s="334" t="s">
        <v>374</v>
      </c>
      <c r="B71" s="334" t="s">
        <v>151</v>
      </c>
      <c r="C71" s="335" t="str">
        <f>VLOOKUP($D71,'PA - Por Componente'!$A$13:$Q$321,2,FALSE)</f>
        <v>Aquisição de Equipamento Diagnóstico para a Policlínica do Crato</v>
      </c>
      <c r="D71" s="326" t="s">
        <v>565</v>
      </c>
      <c r="E71" s="326" t="str">
        <f>VLOOKUP($D71,'PA - Por Componente'!$A$13:$Q$321,5,FALSE)</f>
        <v>SN</v>
      </c>
      <c r="F71" s="326">
        <v>0</v>
      </c>
      <c r="G71" s="326">
        <v>0</v>
      </c>
      <c r="H71" s="336">
        <f>VLOOKUP($D71,'PA - Por Componente'!$A$13:$Q$321,8,FALSE)</f>
        <v>80847.52</v>
      </c>
      <c r="I71" s="330">
        <f>VLOOKUP($D71,'PA - Por Componente'!$A$13:$Q$321,9,FALSE)</f>
        <v>1</v>
      </c>
      <c r="J71" s="330">
        <f>VLOOKUP($D71,'PA - Por Componente'!$A$13:$Q$321,10,FALSE)</f>
        <v>0</v>
      </c>
      <c r="K71" s="337" t="str">
        <f t="shared" si="0"/>
        <v>2</v>
      </c>
      <c r="L71" s="326" t="str">
        <f>VLOOKUP($D71,'PA - Por Componente'!$A$13:$Q$321,12,FALSE)</f>
        <v>Ex-post</v>
      </c>
      <c r="M71" s="332">
        <f>VLOOKUP($D71,'PA - Por Componente'!$A$13:$Q$321,13,FALSE)</f>
        <v>44470</v>
      </c>
      <c r="N71" s="332">
        <f>VLOOKUP($D71,'PA - Por Componente'!$A$13:$Q$321,14,FALSE)</f>
        <v>45170</v>
      </c>
      <c r="O71" s="326" t="str">
        <f>VLOOKUP($D71,'PA - Por Componente'!$A$13:$Q$321,15,FALSE)</f>
        <v>PE/ARP</v>
      </c>
      <c r="P71" s="326">
        <f>VLOOKUP($D71,'PA - Por Componente'!$A$13:$Q$321,16,FALSE)</f>
        <v>0</v>
      </c>
      <c r="Q71" s="326" t="str">
        <f>VLOOKUP($D71,'PA - Por Componente'!$A$13:$Q$321,17,FALSE)</f>
        <v>Contrato Concluido</v>
      </c>
      <c r="R71" s="301"/>
      <c r="S71" s="132"/>
    </row>
    <row r="72" spans="1:19" s="106" customFormat="1" ht="33" customHeight="1">
      <c r="A72" s="334" t="s">
        <v>375</v>
      </c>
      <c r="B72" s="334" t="s">
        <v>151</v>
      </c>
      <c r="C72" s="335" t="str">
        <f>VLOOKUP($D72,'PA - Por Componente'!$A$13:$Q$321,2,FALSE)</f>
        <v>Aquisição de Equipamento Cirúrgico para a Policlínica do Crato</v>
      </c>
      <c r="D72" s="326" t="s">
        <v>566</v>
      </c>
      <c r="E72" s="326" t="str">
        <f>VLOOKUP($D72,'PA - Por Componente'!$A$13:$Q$321,5,FALSE)</f>
        <v>SN</v>
      </c>
      <c r="F72" s="326">
        <v>0</v>
      </c>
      <c r="G72" s="326">
        <v>0</v>
      </c>
      <c r="H72" s="336">
        <f>VLOOKUP($D72,'PA - Por Componente'!$A$13:$Q$321,8,FALSE)</f>
        <v>9000</v>
      </c>
      <c r="I72" s="330">
        <f>VLOOKUP($D72,'PA - Por Componente'!$A$13:$Q$321,9,FALSE)</f>
        <v>1</v>
      </c>
      <c r="J72" s="330">
        <f>VLOOKUP($D72,'PA - Por Componente'!$A$13:$Q$321,10,FALSE)</f>
        <v>0</v>
      </c>
      <c r="K72" s="337" t="str">
        <f t="shared" si="0"/>
        <v>2</v>
      </c>
      <c r="L72" s="326" t="str">
        <f>VLOOKUP($D72,'PA - Por Componente'!$A$13:$Q$321,12,FALSE)</f>
        <v>Ex-post</v>
      </c>
      <c r="M72" s="332">
        <f>VLOOKUP($D72,'PA - Por Componente'!$A$13:$Q$321,13,FALSE)</f>
        <v>44470</v>
      </c>
      <c r="N72" s="332">
        <f>VLOOKUP($D72,'PA - Por Componente'!$A$13:$Q$321,14,FALSE)</f>
        <v>45292</v>
      </c>
      <c r="O72" s="326" t="str">
        <f>VLOOKUP($D72,'PA - Por Componente'!$A$13:$Q$321,15,FALSE)</f>
        <v>PE/ARP</v>
      </c>
      <c r="P72" s="326">
        <f>VLOOKUP($D72,'PA - Por Componente'!$A$13:$Q$321,16,FALSE)</f>
        <v>0</v>
      </c>
      <c r="Q72" s="326" t="str">
        <f>VLOOKUP($D72,'PA - Por Componente'!$A$13:$Q$321,17,FALSE)</f>
        <v>Processo em curso</v>
      </c>
      <c r="R72" s="98"/>
      <c r="S72" s="399"/>
    </row>
    <row r="73" spans="1:19" s="106" customFormat="1" ht="33" customHeight="1">
      <c r="A73" s="334" t="s">
        <v>376</v>
      </c>
      <c r="B73" s="334" t="s">
        <v>151</v>
      </c>
      <c r="C73" s="335" t="str">
        <f>VLOOKUP($D73,'PA - Por Componente'!$A$13:$Q$321,2,FALSE)</f>
        <v>Aquisição de Instrumentais para a Policlínica do Crato</v>
      </c>
      <c r="D73" s="351" t="s">
        <v>475</v>
      </c>
      <c r="E73" s="326" t="str">
        <f>VLOOKUP($D73,'PA - Por Componente'!$A$13:$Q$321,5,FALSE)</f>
        <v>SN</v>
      </c>
      <c r="F73" s="326">
        <v>0</v>
      </c>
      <c r="G73" s="326">
        <v>0</v>
      </c>
      <c r="H73" s="336">
        <f>VLOOKUP($D73,'PA - Por Componente'!$A$13:$Q$321,8,FALSE)</f>
        <v>24224.274661538453</v>
      </c>
      <c r="I73" s="330">
        <f>VLOOKUP($D73,'PA - Por Componente'!$A$13:$Q$321,9,FALSE)</f>
        <v>1</v>
      </c>
      <c r="J73" s="330">
        <f>VLOOKUP($D73,'PA - Por Componente'!$A$13:$Q$321,10,FALSE)</f>
        <v>0</v>
      </c>
      <c r="K73" s="337" t="str">
        <f t="shared" si="0"/>
        <v>2</v>
      </c>
      <c r="L73" s="326" t="str">
        <f>VLOOKUP($D73,'PA - Por Componente'!$A$13:$Q$321,12,FALSE)</f>
        <v>Ex-post</v>
      </c>
      <c r="M73" s="332">
        <f>VLOOKUP($D73,'PA - Por Componente'!$A$13:$Q$321,13,FALSE)</f>
        <v>44166</v>
      </c>
      <c r="N73" s="332">
        <f>VLOOKUP($D73,'PA - Por Componente'!$A$13:$Q$321,14,FALSE)</f>
        <v>45292</v>
      </c>
      <c r="O73" s="326" t="str">
        <f>VLOOKUP($D73,'PA - Por Componente'!$A$13:$Q$321,15,FALSE)</f>
        <v>PE/ARP</v>
      </c>
      <c r="P73" s="326">
        <f>VLOOKUP($D73,'PA - Por Componente'!$A$13:$Q$321,16,FALSE)</f>
        <v>0</v>
      </c>
      <c r="Q73" s="326" t="str">
        <f>VLOOKUP($D73,'PA - Por Componente'!$A$13:$Q$321,17,FALSE)</f>
        <v>Processo em curso</v>
      </c>
      <c r="R73" s="98"/>
      <c r="S73" s="399"/>
    </row>
    <row r="74" spans="1:19" s="106" customFormat="1" ht="33" customHeight="1">
      <c r="A74" s="334" t="s">
        <v>377</v>
      </c>
      <c r="B74" s="334" t="s">
        <v>151</v>
      </c>
      <c r="C74" s="335" t="str">
        <f>VLOOKUP($D74,'PA - Por Componente'!$A$13:$Q$321,2,FALSE)</f>
        <v>Aquisição de Mobiliário Administrativo para a Policlínica do Crato</v>
      </c>
      <c r="D74" s="326" t="s">
        <v>574</v>
      </c>
      <c r="E74" s="326" t="str">
        <f>VLOOKUP($D74,'PA - Por Componente'!$A$13:$Q$321,5,FALSE)</f>
        <v>SN</v>
      </c>
      <c r="F74" s="326">
        <v>0</v>
      </c>
      <c r="G74" s="326">
        <v>0</v>
      </c>
      <c r="H74" s="336">
        <f>VLOOKUP($D74,'PA - Por Componente'!$A$13:$Q$321,8,FALSE)</f>
        <v>5168.37</v>
      </c>
      <c r="I74" s="330">
        <f>VLOOKUP($D74,'PA - Por Componente'!$A$13:$Q$321,9,FALSE)</f>
        <v>1</v>
      </c>
      <c r="J74" s="330">
        <f>VLOOKUP($D74,'PA - Por Componente'!$A$13:$Q$321,10,FALSE)</f>
        <v>0</v>
      </c>
      <c r="K74" s="337" t="str">
        <f t="shared" si="0"/>
        <v>2</v>
      </c>
      <c r="L74" s="326" t="str">
        <f>VLOOKUP($D74,'PA - Por Componente'!$A$13:$Q$321,12,FALSE)</f>
        <v>Ex-post</v>
      </c>
      <c r="M74" s="332">
        <f>VLOOKUP($D74,'PA - Por Componente'!$A$13:$Q$321,13,FALSE)</f>
        <v>44470</v>
      </c>
      <c r="N74" s="332">
        <f>VLOOKUP($D74,'PA - Por Componente'!$A$13:$Q$321,14,FALSE)</f>
        <v>45292</v>
      </c>
      <c r="O74" s="326" t="str">
        <f>VLOOKUP($D74,'PA - Por Componente'!$A$13:$Q$321,15,FALSE)</f>
        <v>PE/ARP</v>
      </c>
      <c r="P74" s="326">
        <f>VLOOKUP($D74,'PA - Por Componente'!$A$13:$Q$321,16,FALSE)</f>
        <v>0</v>
      </c>
      <c r="Q74" s="326" t="str">
        <f>VLOOKUP($D74,'PA - Por Componente'!$A$13:$Q$321,17,FALSE)</f>
        <v>Processo em curso</v>
      </c>
      <c r="R74" s="98"/>
      <c r="S74" s="399"/>
    </row>
    <row r="75" spans="1:19" s="106" customFormat="1" ht="33" customHeight="1">
      <c r="A75" s="334" t="s">
        <v>378</v>
      </c>
      <c r="B75" s="334" t="s">
        <v>151</v>
      </c>
      <c r="C75" s="335" t="str">
        <f>VLOOKUP($D75,'PA - Por Componente'!$A$13:$Q$321,2,FALSE)</f>
        <v>Aquisição de Mobiliário Hospitalar para a Policlínica do Crato</v>
      </c>
      <c r="D75" s="326" t="s">
        <v>575</v>
      </c>
      <c r="E75" s="326" t="str">
        <f>VLOOKUP($D75,'PA - Por Componente'!$A$13:$Q$321,5,FALSE)</f>
        <v>SN</v>
      </c>
      <c r="F75" s="326">
        <v>0</v>
      </c>
      <c r="G75" s="326">
        <v>0</v>
      </c>
      <c r="H75" s="336">
        <f>VLOOKUP($D75,'PA - Por Componente'!$A$13:$Q$321,8,FALSE)</f>
        <v>15762.879999999997</v>
      </c>
      <c r="I75" s="330">
        <f>VLOOKUP($D75,'PA - Por Componente'!$A$13:$Q$321,9,FALSE)</f>
        <v>1</v>
      </c>
      <c r="J75" s="330">
        <f>VLOOKUP($D75,'PA - Por Componente'!$A$13:$Q$321,10,FALSE)</f>
        <v>0</v>
      </c>
      <c r="K75" s="337" t="str">
        <f t="shared" si="0"/>
        <v>2</v>
      </c>
      <c r="L75" s="326" t="str">
        <f>VLOOKUP($D75,'PA - Por Componente'!$A$13:$Q$321,12,FALSE)</f>
        <v>Ex-post</v>
      </c>
      <c r="M75" s="332">
        <f>VLOOKUP($D75,'PA - Por Componente'!$A$13:$Q$321,13,FALSE)</f>
        <v>44470</v>
      </c>
      <c r="N75" s="332">
        <f>VLOOKUP($D75,'PA - Por Componente'!$A$13:$Q$321,14,FALSE)</f>
        <v>45292</v>
      </c>
      <c r="O75" s="326" t="str">
        <f>VLOOKUP($D75,'PA - Por Componente'!$A$13:$Q$321,15,FALSE)</f>
        <v>PE/ARP</v>
      </c>
      <c r="P75" s="326">
        <f>VLOOKUP($D75,'PA - Por Componente'!$A$13:$Q$321,16,FALSE)</f>
        <v>0</v>
      </c>
      <c r="Q75" s="326" t="str">
        <f>VLOOKUP($D75,'PA - Por Componente'!$A$13:$Q$321,17,FALSE)</f>
        <v>Processo em curso</v>
      </c>
      <c r="R75" s="98"/>
      <c r="S75" s="399"/>
    </row>
    <row r="76" spans="1:19" s="133" customFormat="1" ht="33" customHeight="1">
      <c r="A76" s="334" t="s">
        <v>382</v>
      </c>
      <c r="B76" s="334" t="s">
        <v>151</v>
      </c>
      <c r="C76" s="335" t="str">
        <f>VLOOKUP($D76,'PA - Por Componente'!$A$13:$Q$321,2,FALSE)</f>
        <v>Aquisição de Equipamentos de TI para a Policlínica do Crato</v>
      </c>
      <c r="D76" s="351" t="s">
        <v>477</v>
      </c>
      <c r="E76" s="326" t="str">
        <f>VLOOKUP($D76,'PA - Por Componente'!$A$13:$Q$321,5,FALSE)</f>
        <v>SN</v>
      </c>
      <c r="F76" s="326">
        <v>0</v>
      </c>
      <c r="G76" s="326">
        <v>0</v>
      </c>
      <c r="H76" s="336">
        <f>VLOOKUP($D76,'PA - Por Componente'!$A$13:$Q$321,8,FALSE)</f>
        <v>1390.6</v>
      </c>
      <c r="I76" s="330">
        <f>VLOOKUP($D76,'PA - Por Componente'!$A$13:$Q$321,9,FALSE)</f>
        <v>1</v>
      </c>
      <c r="J76" s="330">
        <f>VLOOKUP($D76,'PA - Por Componente'!$A$13:$Q$321,10,FALSE)</f>
        <v>0</v>
      </c>
      <c r="K76" s="337" t="str">
        <f t="shared" si="0"/>
        <v>2</v>
      </c>
      <c r="L76" s="326" t="str">
        <f>VLOOKUP($D76,'PA - Por Componente'!$A$13:$Q$321,12,FALSE)</f>
        <v>Ex-post</v>
      </c>
      <c r="M76" s="332">
        <f>VLOOKUP($D76,'PA - Por Componente'!$A$13:$Q$321,13,FALSE)</f>
        <v>44105</v>
      </c>
      <c r="N76" s="332">
        <f>VLOOKUP($D76,'PA - Por Componente'!$A$13:$Q$321,14,FALSE)</f>
        <v>45200</v>
      </c>
      <c r="O76" s="326" t="str">
        <f>VLOOKUP($D76,'PA - Por Componente'!$A$13:$Q$321,15,FALSE)</f>
        <v>PE/ARP</v>
      </c>
      <c r="P76" s="326">
        <f>VLOOKUP($D76,'PA - Por Componente'!$A$13:$Q$321,16,FALSE)</f>
        <v>0</v>
      </c>
      <c r="Q76" s="326" t="str">
        <f>VLOOKUP($D76,'PA - Por Componente'!$A$13:$Q$321,17,FALSE)</f>
        <v>Contrato Concluído</v>
      </c>
      <c r="R76" s="301"/>
      <c r="S76" s="132"/>
    </row>
    <row r="77" spans="1:19" s="106" customFormat="1" ht="33" customHeight="1">
      <c r="A77" s="334" t="s">
        <v>383</v>
      </c>
      <c r="B77" s="334" t="s">
        <v>151</v>
      </c>
      <c r="C77" s="335" t="str">
        <f>VLOOKUP($D77,'PA - Por Componente'!$A$13:$Q$321,2,FALSE)</f>
        <v>Aquisição de Eletrodomésticos para a Policlínica do Crato</v>
      </c>
      <c r="D77" s="351" t="s">
        <v>478</v>
      </c>
      <c r="E77" s="326" t="str">
        <f>VLOOKUP($D77,'PA - Por Componente'!$A$13:$Q$321,5,FALSE)</f>
        <v>SN</v>
      </c>
      <c r="F77" s="326">
        <v>0</v>
      </c>
      <c r="G77" s="326">
        <v>0</v>
      </c>
      <c r="H77" s="336">
        <f>VLOOKUP($D77,'PA - Por Componente'!$A$13:$Q$321,8,FALSE)</f>
        <v>18798.6156</v>
      </c>
      <c r="I77" s="330">
        <f>VLOOKUP($D77,'PA - Por Componente'!$A$13:$Q$321,9,FALSE)</f>
        <v>1</v>
      </c>
      <c r="J77" s="330">
        <f>VLOOKUP($D77,'PA - Por Componente'!$A$13:$Q$321,10,FALSE)</f>
        <v>0</v>
      </c>
      <c r="K77" s="337" t="str">
        <f t="shared" si="0"/>
        <v>2</v>
      </c>
      <c r="L77" s="326" t="str">
        <f>VLOOKUP($D77,'PA - Por Componente'!$A$13:$Q$321,12,FALSE)</f>
        <v>Ex-post</v>
      </c>
      <c r="M77" s="332">
        <f>VLOOKUP($D77,'PA - Por Componente'!$A$13:$Q$321,13,FALSE)</f>
        <v>44470</v>
      </c>
      <c r="N77" s="332">
        <f>VLOOKUP($D77,'PA - Por Componente'!$A$13:$Q$321,14,FALSE)</f>
        <v>45292</v>
      </c>
      <c r="O77" s="326" t="str">
        <f>VLOOKUP($D77,'PA - Por Componente'!$A$13:$Q$321,15,FALSE)</f>
        <v>PE/ARP</v>
      </c>
      <c r="P77" s="326">
        <f>VLOOKUP($D77,'PA - Por Componente'!$A$13:$Q$321,16,FALSE)</f>
        <v>0</v>
      </c>
      <c r="Q77" s="326" t="str">
        <f>VLOOKUP($D77,'PA - Por Componente'!$A$13:$Q$321,17,FALSE)</f>
        <v>Processo em curso</v>
      </c>
      <c r="R77" s="98"/>
      <c r="S77" s="399"/>
    </row>
    <row r="78" spans="1:19" s="106" customFormat="1" ht="33" customHeight="1">
      <c r="A78" s="334" t="s">
        <v>384</v>
      </c>
      <c r="B78" s="334" t="s">
        <v>151</v>
      </c>
      <c r="C78" s="335" t="str">
        <f>VLOOKUP($D78,'PA - Por Componente'!$A$13:$Q$321,2,FALSE)</f>
        <v>Aquisição de Equipamentos de Telecomunicação para o Crato</v>
      </c>
      <c r="D78" s="351" t="s">
        <v>665</v>
      </c>
      <c r="E78" s="326" t="str">
        <f>VLOOKUP($D78,'PA - Por Componente'!$A$13:$Q$321,5,FALSE)</f>
        <v>SN</v>
      </c>
      <c r="F78" s="326">
        <v>0</v>
      </c>
      <c r="G78" s="326">
        <v>0</v>
      </c>
      <c r="H78" s="336">
        <f>VLOOKUP($D78,'PA - Por Componente'!$A$13:$Q$321,8,FALSE)</f>
        <v>1500</v>
      </c>
      <c r="I78" s="330">
        <f>VLOOKUP($D78,'PA - Por Componente'!$A$13:$Q$321,9,FALSE)</f>
        <v>1</v>
      </c>
      <c r="J78" s="330">
        <f>VLOOKUP($D78,'PA - Por Componente'!$A$13:$Q$321,10,FALSE)</f>
        <v>0</v>
      </c>
      <c r="K78" s="337" t="str">
        <f>LEFT(D78,1)</f>
        <v>2</v>
      </c>
      <c r="L78" s="326" t="str">
        <f>VLOOKUP($D78,'PA - Por Componente'!$A$13:$Q$321,12,FALSE)</f>
        <v>Ex-post</v>
      </c>
      <c r="M78" s="332">
        <f>VLOOKUP($D78,'PA - Por Componente'!$A$13:$Q$321,13,FALSE)</f>
        <v>44958</v>
      </c>
      <c r="N78" s="332">
        <f>VLOOKUP($D78,'PA - Por Componente'!$A$13:$Q$321,14,FALSE)</f>
        <v>45292</v>
      </c>
      <c r="O78" s="326" t="str">
        <f>VLOOKUP($D78,'PA - Por Componente'!$A$13:$Q$321,15,FALSE)</f>
        <v>PE/ARP</v>
      </c>
      <c r="P78" s="326">
        <f>VLOOKUP($D78,'PA - Por Componente'!$A$13:$Q$321,16,FALSE)</f>
        <v>0</v>
      </c>
      <c r="Q78" s="326" t="str">
        <f>VLOOKUP($D78,'PA - Por Componente'!$A$13:$Q$321,17,FALSE)</f>
        <v>Processo em curso</v>
      </c>
      <c r="R78" s="98"/>
      <c r="S78" s="399"/>
    </row>
    <row r="79" spans="1:19" s="184" customFormat="1" ht="33" customHeight="1">
      <c r="A79" s="334" t="s">
        <v>386</v>
      </c>
      <c r="B79" s="334" t="s">
        <v>151</v>
      </c>
      <c r="C79" s="335" t="str">
        <f>VLOOKUP($D79,'PA - Por Componente'!$A$13:$Q$321,2,FALSE)</f>
        <v> Aquisição de equipamentos para Policlínica de Fortaleza HZAN</v>
      </c>
      <c r="D79" s="351" t="s">
        <v>422</v>
      </c>
      <c r="E79" s="326" t="str">
        <f>VLOOKUP($D79,'PA - Por Componente'!$A$13:$Q$321,5,FALSE)</f>
        <v>SN</v>
      </c>
      <c r="F79" s="326">
        <v>0</v>
      </c>
      <c r="G79" s="326">
        <v>0</v>
      </c>
      <c r="H79" s="336">
        <f>VLOOKUP($D79,'PA - Por Componente'!$A$13:$Q$321,8,FALSE)</f>
        <v>74440.4835897437</v>
      </c>
      <c r="I79" s="330">
        <f>VLOOKUP($D79,'PA - Por Componente'!$A$13:$Q$321,9,FALSE)</f>
        <v>1</v>
      </c>
      <c r="J79" s="330">
        <f>VLOOKUP($D79,'PA - Por Componente'!$A$13:$Q$321,10,FALSE)</f>
        <v>0</v>
      </c>
      <c r="K79" s="337" t="str">
        <f t="shared" si="0"/>
        <v>2</v>
      </c>
      <c r="L79" s="326" t="str">
        <f>VLOOKUP($D79,'PA - Por Componente'!$A$13:$Q$321,12,FALSE)</f>
        <v>Ex-post</v>
      </c>
      <c r="M79" s="332">
        <f>VLOOKUP($D79,'PA - Por Componente'!$A$13:$Q$321,13,FALSE)</f>
        <v>44105</v>
      </c>
      <c r="N79" s="332">
        <f>VLOOKUP($D79,'PA - Por Componente'!$A$13:$Q$321,14,FALSE)</f>
        <v>44291</v>
      </c>
      <c r="O79" s="326" t="str">
        <f>VLOOKUP($D79,'PA - Por Componente'!$A$13:$Q$321,15,FALSE)</f>
        <v>PE/ARP</v>
      </c>
      <c r="P79" s="326">
        <f>VLOOKUP($D79,'PA - Por Componente'!$A$13:$Q$321,16,FALSE)</f>
        <v>0</v>
      </c>
      <c r="Q79" s="326" t="str">
        <f>VLOOKUP($D79,'PA - Por Componente'!$A$13:$Q$321,17,FALSE)</f>
        <v>Contrato Concluído</v>
      </c>
      <c r="R79" s="309"/>
      <c r="S79" s="186"/>
    </row>
    <row r="80" spans="1:19" s="106" customFormat="1" ht="33" customHeight="1">
      <c r="A80" s="334" t="s">
        <v>387</v>
      </c>
      <c r="B80" s="334" t="s">
        <v>151</v>
      </c>
      <c r="C80" s="335" t="str">
        <f>VLOOKUP($D80,'PA - Por Componente'!$A$13:$Q$321,2,FALSE)</f>
        <v>Aquisição de Equipamento Médico/Apoio Assistencial para a Policlínica de Maracanaú</v>
      </c>
      <c r="D80" s="326" t="s">
        <v>576</v>
      </c>
      <c r="E80" s="326" t="str">
        <f>VLOOKUP($D80,'PA - Por Componente'!$A$13:$Q$321,5,FALSE)</f>
        <v>SN</v>
      </c>
      <c r="F80" s="326">
        <v>0</v>
      </c>
      <c r="G80" s="326">
        <v>0</v>
      </c>
      <c r="H80" s="336">
        <f>VLOOKUP($D80,'PA - Por Componente'!$A$13:$Q$321,8,FALSE)</f>
        <v>23418</v>
      </c>
      <c r="I80" s="330">
        <f>VLOOKUP($D80,'PA - Por Componente'!$A$13:$Q$321,9,FALSE)</f>
        <v>1</v>
      </c>
      <c r="J80" s="330">
        <f>VLOOKUP($D80,'PA - Por Componente'!$A$13:$Q$321,10,FALSE)</f>
        <v>0</v>
      </c>
      <c r="K80" s="337" t="str">
        <f t="shared" si="0"/>
        <v>2</v>
      </c>
      <c r="L80" s="326" t="str">
        <f>VLOOKUP($D80,'PA - Por Componente'!$A$13:$Q$321,12,FALSE)</f>
        <v>Ex-post</v>
      </c>
      <c r="M80" s="332">
        <f>VLOOKUP($D80,'PA - Por Componente'!$A$13:$Q$321,13,FALSE)</f>
        <v>44470</v>
      </c>
      <c r="N80" s="332">
        <f>VLOOKUP($D80,'PA - Por Componente'!$A$13:$Q$321,14,FALSE)</f>
        <v>45170</v>
      </c>
      <c r="O80" s="326" t="str">
        <f>VLOOKUP($D80,'PA - Por Componente'!$A$13:$Q$321,15,FALSE)</f>
        <v>PE/ARP</v>
      </c>
      <c r="P80" s="326">
        <f>VLOOKUP($D80,'PA - Por Componente'!$A$13:$Q$321,16,FALSE)</f>
        <v>0</v>
      </c>
      <c r="Q80" s="326" t="str">
        <f>VLOOKUP($D80,'PA - Por Componente'!$A$13:$Q$321,17,FALSE)</f>
        <v>Processo em curso</v>
      </c>
      <c r="R80" s="98"/>
      <c r="S80" s="399"/>
    </row>
    <row r="81" spans="1:19" s="133" customFormat="1" ht="33" customHeight="1">
      <c r="A81" s="334" t="s">
        <v>388</v>
      </c>
      <c r="B81" s="334" t="s">
        <v>151</v>
      </c>
      <c r="C81" s="335" t="str">
        <f>VLOOKUP($D81,'PA - Por Componente'!$A$13:$Q$321,2,FALSE)</f>
        <v>Aquisição de Equipamento Diagnóstico para a Policlínica de Maracanaú</v>
      </c>
      <c r="D81" s="326" t="s">
        <v>577</v>
      </c>
      <c r="E81" s="326" t="str">
        <f>VLOOKUP($D81,'PA - Por Componente'!$A$13:$Q$321,5,FALSE)</f>
        <v>SN</v>
      </c>
      <c r="F81" s="326">
        <v>0</v>
      </c>
      <c r="G81" s="326">
        <v>0</v>
      </c>
      <c r="H81" s="336">
        <f>VLOOKUP($D81,'PA - Por Componente'!$A$13:$Q$321,8,FALSE)</f>
        <v>121322.67</v>
      </c>
      <c r="I81" s="330">
        <f>VLOOKUP($D81,'PA - Por Componente'!$A$13:$Q$321,9,FALSE)</f>
        <v>1</v>
      </c>
      <c r="J81" s="330">
        <f>VLOOKUP($D81,'PA - Por Componente'!$A$13:$Q$321,10,FALSE)</f>
        <v>0</v>
      </c>
      <c r="K81" s="337" t="str">
        <f t="shared" si="0"/>
        <v>2</v>
      </c>
      <c r="L81" s="326" t="str">
        <f>VLOOKUP($D81,'PA - Por Componente'!$A$13:$Q$321,12,FALSE)</f>
        <v>Ex-post</v>
      </c>
      <c r="M81" s="332">
        <f>VLOOKUP($D81,'PA - Por Componente'!$A$13:$Q$321,13,FALSE)</f>
        <v>44470</v>
      </c>
      <c r="N81" s="332">
        <f>VLOOKUP($D81,'PA - Por Componente'!$A$13:$Q$321,14,FALSE)</f>
        <v>45170</v>
      </c>
      <c r="O81" s="326" t="str">
        <f>VLOOKUP($D81,'PA - Por Componente'!$A$13:$Q$321,15,FALSE)</f>
        <v>PE/ARP</v>
      </c>
      <c r="P81" s="326">
        <f>VLOOKUP($D81,'PA - Por Componente'!$A$13:$Q$321,16,FALSE)</f>
        <v>0</v>
      </c>
      <c r="Q81" s="326" t="str">
        <f>VLOOKUP($D81,'PA - Por Componente'!$A$13:$Q$321,17,FALSE)</f>
        <v>Contrato Concluído</v>
      </c>
      <c r="R81" s="301"/>
      <c r="S81" s="132"/>
    </row>
    <row r="82" spans="1:19" s="106" customFormat="1" ht="33" customHeight="1">
      <c r="A82" s="334" t="s">
        <v>389</v>
      </c>
      <c r="B82" s="334" t="s">
        <v>151</v>
      </c>
      <c r="C82" s="335" t="str">
        <f>VLOOKUP($D82,'PA - Por Componente'!$A$13:$Q$321,2,FALSE)</f>
        <v>Aquisição de Equipamento Cirúrgico para a Policlínica de Maracanaú</v>
      </c>
      <c r="D82" s="326" t="s">
        <v>578</v>
      </c>
      <c r="E82" s="326" t="str">
        <f>VLOOKUP($D82,'PA - Por Componente'!$A$13:$Q$321,5,FALSE)</f>
        <v>SN</v>
      </c>
      <c r="F82" s="326">
        <v>0</v>
      </c>
      <c r="G82" s="326">
        <v>0</v>
      </c>
      <c r="H82" s="336">
        <f>VLOOKUP($D82,'PA - Por Componente'!$A$13:$Q$321,8,FALSE)</f>
        <v>12500</v>
      </c>
      <c r="I82" s="330">
        <f>VLOOKUP($D82,'PA - Por Componente'!$A$13:$Q$321,9,FALSE)</f>
        <v>1</v>
      </c>
      <c r="J82" s="330">
        <f>VLOOKUP($D82,'PA - Por Componente'!$A$13:$Q$321,10,FALSE)</f>
        <v>0</v>
      </c>
      <c r="K82" s="337" t="str">
        <f t="shared" si="0"/>
        <v>2</v>
      </c>
      <c r="L82" s="326" t="str">
        <f>VLOOKUP($D82,'PA - Por Componente'!$A$13:$Q$321,12,FALSE)</f>
        <v>Ex-post</v>
      </c>
      <c r="M82" s="332">
        <f>VLOOKUP($D82,'PA - Por Componente'!$A$13:$Q$321,13,FALSE)</f>
        <v>44470</v>
      </c>
      <c r="N82" s="332">
        <f>VLOOKUP($D82,'PA - Por Componente'!$A$13:$Q$321,14,FALSE)</f>
        <v>45292</v>
      </c>
      <c r="O82" s="326" t="str">
        <f>VLOOKUP($D82,'PA - Por Componente'!$A$13:$Q$321,15,FALSE)</f>
        <v>PE/ARP</v>
      </c>
      <c r="P82" s="326">
        <f>VLOOKUP($D82,'PA - Por Componente'!$A$13:$Q$321,16,FALSE)</f>
        <v>0</v>
      </c>
      <c r="Q82" s="326" t="str">
        <f>VLOOKUP($D82,'PA - Por Componente'!$A$13:$Q$321,17,FALSE)</f>
        <v>Processo em curso</v>
      </c>
      <c r="R82" s="98"/>
      <c r="S82" s="399"/>
    </row>
    <row r="83" spans="1:19" s="133" customFormat="1" ht="33" customHeight="1">
      <c r="A83" s="334" t="s">
        <v>390</v>
      </c>
      <c r="B83" s="334" t="s">
        <v>151</v>
      </c>
      <c r="C83" s="335" t="str">
        <f>VLOOKUP($D83,'PA - Por Componente'!$A$13:$Q$321,2,FALSE)</f>
        <v>Aquisição de Equipamento de Monitorização para a Policlínica de Maracanaú</v>
      </c>
      <c r="D83" s="326" t="s">
        <v>579</v>
      </c>
      <c r="E83" s="326" t="str">
        <f>VLOOKUP($D83,'PA - Por Componente'!$A$13:$Q$321,5,FALSE)</f>
        <v>SN</v>
      </c>
      <c r="F83" s="326">
        <v>0</v>
      </c>
      <c r="G83" s="326">
        <v>0</v>
      </c>
      <c r="H83" s="336">
        <f>VLOOKUP($D83,'PA - Por Componente'!$A$13:$Q$321,8,FALSE)</f>
        <v>26857.28</v>
      </c>
      <c r="I83" s="330">
        <f>VLOOKUP($D83,'PA - Por Componente'!$A$13:$Q$321,9,FALSE)</f>
        <v>1</v>
      </c>
      <c r="J83" s="330">
        <f>VLOOKUP($D83,'PA - Por Componente'!$A$13:$Q$321,10,FALSE)</f>
        <v>0</v>
      </c>
      <c r="K83" s="337" t="str">
        <f t="shared" si="0"/>
        <v>2</v>
      </c>
      <c r="L83" s="326" t="str">
        <f>VLOOKUP($D83,'PA - Por Componente'!$A$13:$Q$321,12,FALSE)</f>
        <v>Ex-post</v>
      </c>
      <c r="M83" s="332">
        <f>VLOOKUP($D83,'PA - Por Componente'!$A$13:$Q$321,13,FALSE)</f>
        <v>44470</v>
      </c>
      <c r="N83" s="332">
        <f>VLOOKUP($D83,'PA - Por Componente'!$A$13:$Q$321,14,FALSE)</f>
        <v>45170</v>
      </c>
      <c r="O83" s="326" t="str">
        <f>VLOOKUP($D83,'PA - Por Componente'!$A$13:$Q$321,15,FALSE)</f>
        <v>PE/ARP</v>
      </c>
      <c r="P83" s="326">
        <f>VLOOKUP($D83,'PA - Por Componente'!$A$13:$Q$321,16,FALSE)</f>
        <v>0</v>
      </c>
      <c r="Q83" s="326" t="str">
        <f>VLOOKUP($D83,'PA - Por Componente'!$A$13:$Q$321,17,FALSE)</f>
        <v>Contrato Concluído</v>
      </c>
      <c r="R83" s="301"/>
      <c r="S83" s="132"/>
    </row>
    <row r="84" spans="1:19" s="106" customFormat="1" ht="33" customHeight="1">
      <c r="A84" s="334" t="s">
        <v>391</v>
      </c>
      <c r="B84" s="334" t="s">
        <v>151</v>
      </c>
      <c r="C84" s="335" t="str">
        <f>VLOOKUP($D84,'PA - Por Componente'!$A$13:$Q$321,2,FALSE)</f>
        <v>Aquisição de Instrumentais para a Policlínica de Maracanaú</v>
      </c>
      <c r="D84" s="351" t="s">
        <v>481</v>
      </c>
      <c r="E84" s="326" t="str">
        <f>VLOOKUP($D84,'PA - Por Componente'!$A$13:$Q$321,5,FALSE)</f>
        <v>SN</v>
      </c>
      <c r="F84" s="326">
        <v>0</v>
      </c>
      <c r="G84" s="326">
        <v>0</v>
      </c>
      <c r="H84" s="336">
        <f>VLOOKUP($D84,'PA - Por Componente'!$A$13:$Q$321,8,FALSE)</f>
        <v>41530.5676923077</v>
      </c>
      <c r="I84" s="330">
        <f>VLOOKUP($D84,'PA - Por Componente'!$A$13:$Q$321,9,FALSE)</f>
        <v>1</v>
      </c>
      <c r="J84" s="330">
        <f>VLOOKUP($D84,'PA - Por Componente'!$A$13:$Q$321,10,FALSE)</f>
        <v>0</v>
      </c>
      <c r="K84" s="337" t="str">
        <f t="shared" si="0"/>
        <v>2</v>
      </c>
      <c r="L84" s="326" t="str">
        <f>VLOOKUP($D84,'PA - Por Componente'!$A$13:$Q$321,12,FALSE)</f>
        <v>Ex-post</v>
      </c>
      <c r="M84" s="332">
        <f>VLOOKUP($D84,'PA - Por Componente'!$A$13:$Q$321,13,FALSE)</f>
        <v>44105</v>
      </c>
      <c r="N84" s="332">
        <f>VLOOKUP($D84,'PA - Por Componente'!$A$13:$Q$321,14,FALSE)</f>
        <v>45292</v>
      </c>
      <c r="O84" s="326" t="str">
        <f>VLOOKUP($D84,'PA - Por Componente'!$A$13:$Q$321,15,FALSE)</f>
        <v>PE/ARP</v>
      </c>
      <c r="P84" s="326">
        <f>VLOOKUP($D84,'PA - Por Componente'!$A$13:$Q$321,16,FALSE)</f>
        <v>0</v>
      </c>
      <c r="Q84" s="326" t="str">
        <f>VLOOKUP($D84,'PA - Por Componente'!$A$13:$Q$321,17,FALSE)</f>
        <v>Processo em curso</v>
      </c>
      <c r="R84" s="98"/>
      <c r="S84" s="399"/>
    </row>
    <row r="85" spans="1:19" s="106" customFormat="1" ht="33" customHeight="1">
      <c r="A85" s="334" t="s">
        <v>392</v>
      </c>
      <c r="B85" s="334" t="s">
        <v>151</v>
      </c>
      <c r="C85" s="335" t="str">
        <f>VLOOKUP($D85,'PA - Por Componente'!$A$13:$Q$321,2,FALSE)</f>
        <v>Aquisição de Mobiliário Administrativo para a Policlínica de Maracanaú</v>
      </c>
      <c r="D85" s="326" t="s">
        <v>572</v>
      </c>
      <c r="E85" s="326" t="str">
        <f>VLOOKUP($D85,'PA - Por Componente'!$A$13:$Q$321,5,FALSE)</f>
        <v>SN</v>
      </c>
      <c r="F85" s="326">
        <v>0</v>
      </c>
      <c r="G85" s="326">
        <v>0</v>
      </c>
      <c r="H85" s="336">
        <f>VLOOKUP($D85,'PA - Por Componente'!$A$13:$Q$321,8,FALSE)</f>
        <v>20000</v>
      </c>
      <c r="I85" s="330">
        <f>VLOOKUP($D85,'PA - Por Componente'!$A$13:$Q$321,9,FALSE)</f>
        <v>1</v>
      </c>
      <c r="J85" s="330">
        <f>VLOOKUP($D85,'PA - Por Componente'!$A$13:$Q$321,10,FALSE)</f>
        <v>0</v>
      </c>
      <c r="K85" s="337" t="str">
        <f t="shared" si="0"/>
        <v>2</v>
      </c>
      <c r="L85" s="326" t="str">
        <f>VLOOKUP($D85,'PA - Por Componente'!$A$13:$Q$321,12,FALSE)</f>
        <v>Ex-post</v>
      </c>
      <c r="M85" s="332">
        <f>VLOOKUP($D85,'PA - Por Componente'!$A$13:$Q$321,13,FALSE)</f>
        <v>44470</v>
      </c>
      <c r="N85" s="332">
        <f>VLOOKUP($D85,'PA - Por Componente'!$A$13:$Q$321,14,FALSE)</f>
        <v>45292</v>
      </c>
      <c r="O85" s="326" t="str">
        <f>VLOOKUP($D85,'PA - Por Componente'!$A$13:$Q$321,15,FALSE)</f>
        <v>PE/ARP</v>
      </c>
      <c r="P85" s="326">
        <f>VLOOKUP($D85,'PA - Por Componente'!$A$13:$Q$321,16,FALSE)</f>
        <v>0</v>
      </c>
      <c r="Q85" s="326" t="str">
        <f>VLOOKUP($D85,'PA - Por Componente'!$A$13:$Q$321,17,FALSE)</f>
        <v>Processo em curso</v>
      </c>
      <c r="R85" s="98"/>
      <c r="S85" s="399"/>
    </row>
    <row r="86" spans="1:19" s="133" customFormat="1" ht="33" customHeight="1">
      <c r="A86" s="334" t="s">
        <v>393</v>
      </c>
      <c r="B86" s="334" t="s">
        <v>151</v>
      </c>
      <c r="C86" s="335" t="str">
        <f>VLOOKUP($D86,'PA - Por Componente'!$A$13:$Q$321,2,FALSE)</f>
        <v>Aquisição de Mobiliário Hospitalar para a Policlínica de Maracanaú</v>
      </c>
      <c r="D86" s="326" t="s">
        <v>573</v>
      </c>
      <c r="E86" s="326" t="str">
        <f>VLOOKUP($D86,'PA - Por Componente'!$A$13:$Q$321,5,FALSE)</f>
        <v>SN</v>
      </c>
      <c r="F86" s="326">
        <v>0</v>
      </c>
      <c r="G86" s="326">
        <v>0</v>
      </c>
      <c r="H86" s="336">
        <f>VLOOKUP($D86,'PA - Por Componente'!$A$13:$Q$321,8,FALSE)</f>
        <v>6540.299999999999</v>
      </c>
      <c r="I86" s="330">
        <f>VLOOKUP($D86,'PA - Por Componente'!$A$13:$Q$321,9,FALSE)</f>
        <v>1</v>
      </c>
      <c r="J86" s="330">
        <f>VLOOKUP($D86,'PA - Por Componente'!$A$13:$Q$321,10,FALSE)</f>
        <v>0</v>
      </c>
      <c r="K86" s="337" t="str">
        <f t="shared" si="0"/>
        <v>2</v>
      </c>
      <c r="L86" s="326" t="str">
        <f>VLOOKUP($D86,'PA - Por Componente'!$A$13:$Q$321,12,FALSE)</f>
        <v>Ex-post</v>
      </c>
      <c r="M86" s="332">
        <f>VLOOKUP($D86,'PA - Por Componente'!$A$13:$Q$321,13,FALSE)</f>
        <v>44470</v>
      </c>
      <c r="N86" s="332">
        <f>VLOOKUP($D86,'PA - Por Componente'!$A$13:$Q$321,14,FALSE)</f>
        <v>45170</v>
      </c>
      <c r="O86" s="326" t="str">
        <f>VLOOKUP($D86,'PA - Por Componente'!$A$13:$Q$321,15,FALSE)</f>
        <v>PE/ARP</v>
      </c>
      <c r="P86" s="326">
        <f>VLOOKUP($D86,'PA - Por Componente'!$A$13:$Q$321,16,FALSE)</f>
        <v>0</v>
      </c>
      <c r="Q86" s="326" t="str">
        <f>VLOOKUP($D86,'PA - Por Componente'!$A$13:$Q$321,17,FALSE)</f>
        <v>Contrato Concluído</v>
      </c>
      <c r="R86" s="301"/>
      <c r="S86" s="132"/>
    </row>
    <row r="87" spans="1:19" s="133" customFormat="1" ht="33" customHeight="1">
      <c r="A87" s="334" t="s">
        <v>409</v>
      </c>
      <c r="B87" s="334" t="s">
        <v>151</v>
      </c>
      <c r="C87" s="335" t="str">
        <f>VLOOKUP($D87,'PA - Por Componente'!$A$13:$Q$321,2,FALSE)</f>
        <v>Aquisição de Equipamentos de TI para a Policlínica de Maracanaú</v>
      </c>
      <c r="D87" s="351" t="s">
        <v>483</v>
      </c>
      <c r="E87" s="326" t="str">
        <f>VLOOKUP($D87,'PA - Por Componente'!$A$13:$Q$321,5,FALSE)</f>
        <v>SN</v>
      </c>
      <c r="F87" s="326">
        <v>0</v>
      </c>
      <c r="G87" s="326">
        <v>0</v>
      </c>
      <c r="H87" s="336">
        <f>VLOOKUP($D87,'PA - Por Componente'!$A$13:$Q$321,8,FALSE)</f>
        <v>1390.6</v>
      </c>
      <c r="I87" s="330">
        <f>VLOOKUP($D87,'PA - Por Componente'!$A$13:$Q$321,9,FALSE)</f>
        <v>1</v>
      </c>
      <c r="J87" s="330">
        <f>VLOOKUP($D87,'PA - Por Componente'!$A$13:$Q$321,10,FALSE)</f>
        <v>0</v>
      </c>
      <c r="K87" s="337" t="str">
        <f t="shared" si="0"/>
        <v>2</v>
      </c>
      <c r="L87" s="326" t="str">
        <f>VLOOKUP($D87,'PA - Por Componente'!$A$13:$Q$321,12,FALSE)</f>
        <v>Ex-post</v>
      </c>
      <c r="M87" s="332">
        <f>VLOOKUP($D87,'PA - Por Componente'!$A$13:$Q$321,13,FALSE)</f>
        <v>44105</v>
      </c>
      <c r="N87" s="332">
        <f>VLOOKUP($D87,'PA - Por Componente'!$A$13:$Q$321,14,FALSE)</f>
        <v>45170</v>
      </c>
      <c r="O87" s="326" t="str">
        <f>VLOOKUP($D87,'PA - Por Componente'!$A$13:$Q$321,15,FALSE)</f>
        <v>PE/ARP</v>
      </c>
      <c r="P87" s="326">
        <f>VLOOKUP($D87,'PA - Por Componente'!$A$13:$Q$321,16,FALSE)</f>
        <v>0</v>
      </c>
      <c r="Q87" s="326" t="str">
        <f>VLOOKUP($D87,'PA - Por Componente'!$A$13:$Q$321,17,FALSE)</f>
        <v>Contrato Concluído</v>
      </c>
      <c r="R87" s="301"/>
      <c r="S87" s="132"/>
    </row>
    <row r="88" spans="1:19" s="106" customFormat="1" ht="33" customHeight="1">
      <c r="A88" s="334" t="s">
        <v>410</v>
      </c>
      <c r="B88" s="334" t="s">
        <v>151</v>
      </c>
      <c r="C88" s="335" t="str">
        <f>VLOOKUP($D88,'PA - Por Componente'!$A$13:$Q$321,2,FALSE)</f>
        <v>Aquisição de Equipamentos de Telecomunicação para o Maracanaú</v>
      </c>
      <c r="D88" s="593" t="s">
        <v>664</v>
      </c>
      <c r="E88" s="326" t="str">
        <f>VLOOKUP($D88,'PA - Por Componente'!$A$13:$Q$321,5,FALSE)</f>
        <v>SN</v>
      </c>
      <c r="F88" s="326">
        <v>0</v>
      </c>
      <c r="G88" s="326">
        <v>0</v>
      </c>
      <c r="H88" s="336">
        <f>VLOOKUP($D88,'PA - Por Componente'!$A$13:$Q$321,8,FALSE)</f>
        <v>500</v>
      </c>
      <c r="I88" s="330">
        <f>VLOOKUP($D88,'PA - Por Componente'!$A$13:$Q$321,9,FALSE)</f>
        <v>1</v>
      </c>
      <c r="J88" s="330">
        <f>VLOOKUP($D88,'PA - Por Componente'!$A$13:$Q$321,10,FALSE)</f>
        <v>0</v>
      </c>
      <c r="K88" s="337" t="str">
        <f>LEFT(D88,1)</f>
        <v>2</v>
      </c>
      <c r="L88" s="326" t="str">
        <f>VLOOKUP($D88,'PA - Por Componente'!$A$13:$Q$321,12,FALSE)</f>
        <v>Ex-post</v>
      </c>
      <c r="M88" s="332">
        <f>VLOOKUP($D88,'PA - Por Componente'!$A$13:$Q$321,13,FALSE)</f>
        <v>44958</v>
      </c>
      <c r="N88" s="332">
        <f>VLOOKUP($D88,'PA - Por Componente'!$A$13:$Q$321,14,FALSE)</f>
        <v>45292</v>
      </c>
      <c r="O88" s="326" t="str">
        <f>VLOOKUP($D88,'PA - Por Componente'!$A$13:$Q$321,15,FALSE)</f>
        <v>PE/ARP</v>
      </c>
      <c r="P88" s="326">
        <f>VLOOKUP($D88,'PA - Por Componente'!$A$13:$Q$321,16,FALSE)</f>
        <v>0</v>
      </c>
      <c r="Q88" s="326" t="str">
        <f>VLOOKUP($D88,'PA - Por Componente'!$A$13:$Q$321,17,FALSE)</f>
        <v>Processo em curso</v>
      </c>
      <c r="R88" s="98"/>
      <c r="S88" s="399"/>
    </row>
    <row r="89" spans="1:19" s="106" customFormat="1" ht="33" customHeight="1">
      <c r="A89" s="334" t="s">
        <v>411</v>
      </c>
      <c r="B89" s="334" t="s">
        <v>151</v>
      </c>
      <c r="C89" s="335" t="str">
        <f>VLOOKUP($D89,'PA - Por Componente'!$A$13:$Q$321,2,FALSE)</f>
        <v>Aquisição de Equipamento Médico/Apoio Assistencial para a Policlínica de Canindé</v>
      </c>
      <c r="D89" s="439" t="s">
        <v>584</v>
      </c>
      <c r="E89" s="326" t="str">
        <f>VLOOKUP($D89,'PA - Por Componente'!$A$13:$Q$321,5,FALSE)</f>
        <v>SN</v>
      </c>
      <c r="F89" s="326">
        <v>0</v>
      </c>
      <c r="G89" s="326">
        <v>0</v>
      </c>
      <c r="H89" s="336">
        <f>VLOOKUP($D89,'PA - Por Componente'!$A$13:$Q$321,8,FALSE)</f>
        <v>30000</v>
      </c>
      <c r="I89" s="330">
        <f>VLOOKUP($D89,'PA - Por Componente'!$A$13:$Q$321,9,FALSE)</f>
        <v>1</v>
      </c>
      <c r="J89" s="330">
        <f>VLOOKUP($D89,'PA - Por Componente'!$A$13:$Q$321,10,FALSE)</f>
        <v>0</v>
      </c>
      <c r="K89" s="337" t="str">
        <f t="shared" si="0"/>
        <v>2</v>
      </c>
      <c r="L89" s="326" t="str">
        <f>VLOOKUP($D89,'PA - Por Componente'!$A$13:$Q$321,12,FALSE)</f>
        <v>Ex-post</v>
      </c>
      <c r="M89" s="332">
        <f>VLOOKUP($D89,'PA - Por Componente'!$A$13:$Q$321,13,FALSE)</f>
        <v>44470</v>
      </c>
      <c r="N89" s="332">
        <f>VLOOKUP($D89,'PA - Por Componente'!$A$13:$Q$321,14,FALSE)</f>
        <v>45292</v>
      </c>
      <c r="O89" s="326" t="str">
        <f>VLOOKUP($D89,'PA - Por Componente'!$A$13:$Q$321,15,FALSE)</f>
        <v>PE/ARP</v>
      </c>
      <c r="P89" s="326">
        <f>VLOOKUP($D89,'PA - Por Componente'!$A$13:$Q$321,16,FALSE)</f>
        <v>0</v>
      </c>
      <c r="Q89" s="326" t="str">
        <f>VLOOKUP($D89,'PA - Por Componente'!$A$13:$Q$321,17,FALSE)</f>
        <v>Processo em curso</v>
      </c>
      <c r="R89" s="98"/>
      <c r="S89" s="399"/>
    </row>
    <row r="90" spans="1:19" s="133" customFormat="1" ht="33" customHeight="1">
      <c r="A90" s="334" t="s">
        <v>504</v>
      </c>
      <c r="B90" s="334" t="s">
        <v>151</v>
      </c>
      <c r="C90" s="335" t="str">
        <f>VLOOKUP($D90,'PA - Por Componente'!$A$13:$Q$321,2,FALSE)</f>
        <v>Aquisição de Equipamento Diagnóstico para a Policlínica de Canindé</v>
      </c>
      <c r="D90" s="439" t="s">
        <v>585</v>
      </c>
      <c r="E90" s="326" t="str">
        <f>VLOOKUP($D90,'PA - Por Componente'!$A$13:$Q$321,5,FALSE)</f>
        <v>SN</v>
      </c>
      <c r="F90" s="326">
        <v>0</v>
      </c>
      <c r="G90" s="326">
        <v>0</v>
      </c>
      <c r="H90" s="336">
        <f>VLOOKUP($D90,'PA - Por Componente'!$A$13:$Q$321,8,FALSE)</f>
        <v>55629.45</v>
      </c>
      <c r="I90" s="330">
        <f>VLOOKUP($D90,'PA - Por Componente'!$A$13:$Q$321,9,FALSE)</f>
        <v>1</v>
      </c>
      <c r="J90" s="330">
        <f>VLOOKUP($D90,'PA - Por Componente'!$A$13:$Q$321,10,FALSE)</f>
        <v>0</v>
      </c>
      <c r="K90" s="337" t="str">
        <f t="shared" si="0"/>
        <v>2</v>
      </c>
      <c r="L90" s="326" t="str">
        <f>VLOOKUP($D90,'PA - Por Componente'!$A$13:$Q$321,12,FALSE)</f>
        <v>Ex-post</v>
      </c>
      <c r="M90" s="332">
        <f>VLOOKUP($D90,'PA - Por Componente'!$A$13:$Q$321,13,FALSE)</f>
        <v>44470</v>
      </c>
      <c r="N90" s="332">
        <f>VLOOKUP($D90,'PA - Por Componente'!$A$13:$Q$321,14,FALSE)</f>
        <v>45170</v>
      </c>
      <c r="O90" s="326" t="str">
        <f>VLOOKUP($D90,'PA - Por Componente'!$A$13:$Q$321,15,FALSE)</f>
        <v>PE/ARP</v>
      </c>
      <c r="P90" s="326">
        <f>VLOOKUP($D90,'PA - Por Componente'!$A$13:$Q$321,16,FALSE)</f>
        <v>0</v>
      </c>
      <c r="Q90" s="326" t="str">
        <f>VLOOKUP($D90,'PA - Por Componente'!$A$13:$Q$321,17,FALSE)</f>
        <v>Contrato Concluído</v>
      </c>
      <c r="R90" s="301"/>
      <c r="S90" s="132"/>
    </row>
    <row r="91" spans="1:19" s="106" customFormat="1" ht="33" customHeight="1">
      <c r="A91" s="334" t="s">
        <v>505</v>
      </c>
      <c r="B91" s="334" t="s">
        <v>151</v>
      </c>
      <c r="C91" s="335" t="str">
        <f>VLOOKUP($D91,'PA - Por Componente'!$A$13:$Q$321,2,FALSE)</f>
        <v>Aquisição de Equipamento Cirúrgico para a Policlínica de Canindé</v>
      </c>
      <c r="D91" s="439" t="s">
        <v>586</v>
      </c>
      <c r="E91" s="326" t="str">
        <f>VLOOKUP($D91,'PA - Por Componente'!$A$13:$Q$321,5,FALSE)</f>
        <v>SN</v>
      </c>
      <c r="F91" s="326">
        <v>0</v>
      </c>
      <c r="G91" s="326">
        <v>0</v>
      </c>
      <c r="H91" s="336">
        <f>VLOOKUP($D91,'PA - Por Componente'!$A$13:$Q$321,8,FALSE)</f>
        <v>20000</v>
      </c>
      <c r="I91" s="330">
        <f>VLOOKUP($D91,'PA - Por Componente'!$A$13:$Q$321,9,FALSE)</f>
        <v>1</v>
      </c>
      <c r="J91" s="330">
        <f>VLOOKUP($D91,'PA - Por Componente'!$A$13:$Q$321,10,FALSE)</f>
        <v>0</v>
      </c>
      <c r="K91" s="337" t="str">
        <f t="shared" si="0"/>
        <v>2</v>
      </c>
      <c r="L91" s="326" t="str">
        <f>VLOOKUP($D91,'PA - Por Componente'!$A$13:$Q$321,12,FALSE)</f>
        <v>Ex-post</v>
      </c>
      <c r="M91" s="332">
        <f>VLOOKUP($D91,'PA - Por Componente'!$A$13:$Q$321,13,FALSE)</f>
        <v>44470</v>
      </c>
      <c r="N91" s="332">
        <f>VLOOKUP($D91,'PA - Por Componente'!$A$13:$Q$321,14,FALSE)</f>
        <v>45292</v>
      </c>
      <c r="O91" s="326" t="str">
        <f>VLOOKUP($D91,'PA - Por Componente'!$A$13:$Q$321,15,FALSE)</f>
        <v>PE/ARP</v>
      </c>
      <c r="P91" s="326">
        <f>VLOOKUP($D91,'PA - Por Componente'!$A$13:$Q$321,16,FALSE)</f>
        <v>0</v>
      </c>
      <c r="Q91" s="326" t="str">
        <f>VLOOKUP($D91,'PA - Por Componente'!$A$13:$Q$321,17,FALSE)</f>
        <v>Processo em curso</v>
      </c>
      <c r="R91" s="98"/>
      <c r="S91" s="399"/>
    </row>
    <row r="92" spans="1:19" s="133" customFormat="1" ht="33" customHeight="1">
      <c r="A92" s="334" t="s">
        <v>506</v>
      </c>
      <c r="B92" s="334" t="s">
        <v>151</v>
      </c>
      <c r="C92" s="335" t="str">
        <f>VLOOKUP($D92,'PA - Por Componente'!$A$13:$Q$321,2,FALSE)</f>
        <v>Aquisição de Equipamento de Monitorização para a Policlínica de Canindé</v>
      </c>
      <c r="D92" s="439" t="s">
        <v>587</v>
      </c>
      <c r="E92" s="326" t="str">
        <f>VLOOKUP($D92,'PA - Por Componente'!$A$13:$Q$321,5,FALSE)</f>
        <v>SN</v>
      </c>
      <c r="F92" s="326">
        <v>0</v>
      </c>
      <c r="G92" s="326">
        <v>0</v>
      </c>
      <c r="H92" s="336">
        <f>VLOOKUP($D92,'PA - Por Componente'!$A$13:$Q$321,8,FALSE)</f>
        <v>26857.28</v>
      </c>
      <c r="I92" s="330">
        <f>VLOOKUP($D92,'PA - Por Componente'!$A$13:$Q$321,9,FALSE)</f>
        <v>1</v>
      </c>
      <c r="J92" s="330">
        <f>VLOOKUP($D92,'PA - Por Componente'!$A$13:$Q$321,10,FALSE)</f>
        <v>0</v>
      </c>
      <c r="K92" s="337" t="str">
        <f t="shared" si="0"/>
        <v>2</v>
      </c>
      <c r="L92" s="326" t="str">
        <f>VLOOKUP($D92,'PA - Por Componente'!$A$13:$Q$321,12,FALSE)</f>
        <v>Ex-post</v>
      </c>
      <c r="M92" s="332">
        <f>VLOOKUP($D92,'PA - Por Componente'!$A$13:$Q$321,13,FALSE)</f>
        <v>44470</v>
      </c>
      <c r="N92" s="332">
        <f>VLOOKUP($D92,'PA - Por Componente'!$A$13:$Q$321,14,FALSE)</f>
        <v>45170</v>
      </c>
      <c r="O92" s="326" t="str">
        <f>VLOOKUP($D92,'PA - Por Componente'!$A$13:$Q$321,15,FALSE)</f>
        <v>PE/ARP</v>
      </c>
      <c r="P92" s="326">
        <f>VLOOKUP($D92,'PA - Por Componente'!$A$13:$Q$321,16,FALSE)</f>
        <v>0</v>
      </c>
      <c r="Q92" s="326" t="str">
        <f>VLOOKUP($D92,'PA - Por Componente'!$A$13:$Q$321,17,FALSE)</f>
        <v>Contrato Concluído</v>
      </c>
      <c r="R92" s="301"/>
      <c r="S92" s="132"/>
    </row>
    <row r="93" spans="1:19" s="106" customFormat="1" ht="33" customHeight="1">
      <c r="A93" s="334" t="s">
        <v>507</v>
      </c>
      <c r="B93" s="334" t="s">
        <v>151</v>
      </c>
      <c r="C93" s="335" t="str">
        <f>VLOOKUP($D93,'PA - Por Componente'!$A$13:$Q$321,2,FALSE)</f>
        <v>Aquisição de Instrumentais para a Policlínica de Canindé</v>
      </c>
      <c r="D93" s="351" t="s">
        <v>487</v>
      </c>
      <c r="E93" s="326" t="str">
        <f>VLOOKUP($D93,'PA - Por Componente'!$A$13:$Q$321,5,FALSE)</f>
        <v>SN</v>
      </c>
      <c r="F93" s="326">
        <v>0</v>
      </c>
      <c r="G93" s="326">
        <v>0</v>
      </c>
      <c r="H93" s="336">
        <f>VLOOKUP($D93,'PA - Por Componente'!$A$13:$Q$321,8,FALSE)</f>
        <v>45288.082515384616</v>
      </c>
      <c r="I93" s="330">
        <f>VLOOKUP($D93,'PA - Por Componente'!$A$13:$Q$321,9,FALSE)</f>
        <v>1</v>
      </c>
      <c r="J93" s="330">
        <f>VLOOKUP($D93,'PA - Por Componente'!$A$13:$Q$321,10,FALSE)</f>
        <v>0</v>
      </c>
      <c r="K93" s="337" t="str">
        <f t="shared" si="0"/>
        <v>2</v>
      </c>
      <c r="L93" s="326" t="str">
        <f>VLOOKUP($D93,'PA - Por Componente'!$A$13:$Q$321,12,FALSE)</f>
        <v>Ex-post</v>
      </c>
      <c r="M93" s="332">
        <f>VLOOKUP($D93,'PA - Por Componente'!$A$13:$Q$321,13,FALSE)</f>
        <v>44105</v>
      </c>
      <c r="N93" s="332">
        <f>VLOOKUP($D93,'PA - Por Componente'!$A$13:$Q$321,14,FALSE)</f>
        <v>45292</v>
      </c>
      <c r="O93" s="326" t="str">
        <f>VLOOKUP($D93,'PA - Por Componente'!$A$13:$Q$321,15,FALSE)</f>
        <v>PE/ARP</v>
      </c>
      <c r="P93" s="326">
        <f>VLOOKUP($D93,'PA - Por Componente'!$A$13:$Q$321,16,FALSE)</f>
        <v>0</v>
      </c>
      <c r="Q93" s="326" t="str">
        <f>VLOOKUP($D93,'PA - Por Componente'!$A$13:$Q$321,17,FALSE)</f>
        <v>Processo em curso</v>
      </c>
      <c r="R93" s="98"/>
      <c r="S93" s="399"/>
    </row>
    <row r="94" spans="1:19" s="106" customFormat="1" ht="33" customHeight="1">
      <c r="A94" s="334" t="s">
        <v>508</v>
      </c>
      <c r="B94" s="334" t="s">
        <v>151</v>
      </c>
      <c r="C94" s="335" t="str">
        <f>VLOOKUP($D94,'PA - Por Componente'!$A$13:$Q$321,2,FALSE)</f>
        <v>Aquisição de Mobiliário Administrativo para a Policlínica de Canindé</v>
      </c>
      <c r="D94" s="326" t="s">
        <v>591</v>
      </c>
      <c r="E94" s="326" t="str">
        <f>VLOOKUP($D94,'PA - Por Componente'!$A$13:$Q$321,5,FALSE)</f>
        <v>SN</v>
      </c>
      <c r="F94" s="326">
        <v>0</v>
      </c>
      <c r="G94" s="326">
        <v>0</v>
      </c>
      <c r="H94" s="336">
        <f>VLOOKUP($D94,'PA - Por Componente'!$A$13:$Q$321,8,FALSE)</f>
        <v>4000</v>
      </c>
      <c r="I94" s="330">
        <f>VLOOKUP($D94,'PA - Por Componente'!$A$13:$Q$321,9,FALSE)</f>
        <v>1</v>
      </c>
      <c r="J94" s="330">
        <f>VLOOKUP($D94,'PA - Por Componente'!$A$13:$Q$321,10,FALSE)</f>
        <v>0</v>
      </c>
      <c r="K94" s="337" t="str">
        <f t="shared" si="0"/>
        <v>2</v>
      </c>
      <c r="L94" s="326" t="str">
        <f>VLOOKUP($D94,'PA - Por Componente'!$A$13:$Q$321,12,FALSE)</f>
        <v>Ex-post</v>
      </c>
      <c r="M94" s="332">
        <f>VLOOKUP($D94,'PA - Por Componente'!$A$13:$Q$321,13,FALSE)</f>
        <v>44470</v>
      </c>
      <c r="N94" s="332">
        <f>VLOOKUP($D94,'PA - Por Componente'!$A$13:$Q$321,14,FALSE)</f>
        <v>45292</v>
      </c>
      <c r="O94" s="326" t="str">
        <f>VLOOKUP($D94,'PA - Por Componente'!$A$13:$Q$321,15,FALSE)</f>
        <v>PE/ARP</v>
      </c>
      <c r="P94" s="326">
        <f>VLOOKUP($D94,'PA - Por Componente'!$A$13:$Q$321,16,FALSE)</f>
        <v>0</v>
      </c>
      <c r="Q94" s="326" t="str">
        <f>VLOOKUP($D94,'PA - Por Componente'!$A$13:$Q$321,17,FALSE)</f>
        <v>Processo em curso</v>
      </c>
      <c r="R94" s="98"/>
      <c r="S94" s="399"/>
    </row>
    <row r="95" spans="1:19" s="106" customFormat="1" ht="33" customHeight="1">
      <c r="A95" s="334" t="s">
        <v>599</v>
      </c>
      <c r="B95" s="334" t="s">
        <v>151</v>
      </c>
      <c r="C95" s="335" t="str">
        <f>VLOOKUP($D95,'PA - Por Componente'!$A$13:$Q$321,2,FALSE)</f>
        <v>Aquisição de Mobiliário Hospitalar para a Policlínica de Canindé</v>
      </c>
      <c r="D95" s="326" t="s">
        <v>592</v>
      </c>
      <c r="E95" s="326" t="str">
        <f>VLOOKUP($D95,'PA - Por Componente'!$A$13:$Q$321,5,FALSE)</f>
        <v>SN</v>
      </c>
      <c r="F95" s="326">
        <v>0</v>
      </c>
      <c r="G95" s="326">
        <v>0</v>
      </c>
      <c r="H95" s="336">
        <f>VLOOKUP($D95,'PA - Por Componente'!$A$13:$Q$321,8,FALSE)</f>
        <v>7542</v>
      </c>
      <c r="I95" s="330">
        <f>VLOOKUP($D95,'PA - Por Componente'!$A$13:$Q$321,9,FALSE)</f>
        <v>1</v>
      </c>
      <c r="J95" s="330">
        <f>VLOOKUP($D95,'PA - Por Componente'!$A$13:$Q$321,10,FALSE)</f>
        <v>0</v>
      </c>
      <c r="K95" s="337" t="str">
        <f t="shared" si="0"/>
        <v>2</v>
      </c>
      <c r="L95" s="326" t="str">
        <f>VLOOKUP($D95,'PA - Por Componente'!$A$13:$Q$321,12,FALSE)</f>
        <v>Ex-post</v>
      </c>
      <c r="M95" s="332">
        <f>VLOOKUP($D95,'PA - Por Componente'!$A$13:$Q$321,13,FALSE)</f>
        <v>44470</v>
      </c>
      <c r="N95" s="332">
        <f>VLOOKUP($D95,'PA - Por Componente'!$A$13:$Q$321,14,FALSE)</f>
        <v>45292</v>
      </c>
      <c r="O95" s="326" t="str">
        <f>VLOOKUP($D95,'PA - Por Componente'!$A$13:$Q$321,15,FALSE)</f>
        <v>PE/ARP</v>
      </c>
      <c r="P95" s="326">
        <f>VLOOKUP($D95,'PA - Por Componente'!$A$13:$Q$321,16,FALSE)</f>
        <v>0</v>
      </c>
      <c r="Q95" s="326" t="str">
        <f>VLOOKUP($D95,'PA - Por Componente'!$A$13:$Q$321,17,FALSE)</f>
        <v>Processo em curso</v>
      </c>
      <c r="R95" s="98"/>
      <c r="S95" s="399"/>
    </row>
    <row r="96" spans="1:19" s="106" customFormat="1" ht="33" customHeight="1">
      <c r="A96" s="334" t="s">
        <v>600</v>
      </c>
      <c r="B96" s="334" t="s">
        <v>151</v>
      </c>
      <c r="C96" s="335" t="str">
        <f>VLOOKUP($D96,'PA - Por Componente'!$A$13:$Q$321,2,FALSE)</f>
        <v>Aquisição de Equipamentos de TI para a Policlínica de Canindé</v>
      </c>
      <c r="D96" s="351" t="s">
        <v>489</v>
      </c>
      <c r="E96" s="326" t="str">
        <f>VLOOKUP($D96,'PA - Por Componente'!$A$13:$Q$321,5,FALSE)</f>
        <v>SN</v>
      </c>
      <c r="F96" s="326">
        <v>0</v>
      </c>
      <c r="G96" s="326">
        <v>0</v>
      </c>
      <c r="H96" s="336">
        <f>VLOOKUP($D96,'PA - Por Componente'!$A$13:$Q$321,8,FALSE)</f>
        <v>1390.6000000000004</v>
      </c>
      <c r="I96" s="330">
        <f>VLOOKUP($D96,'PA - Por Componente'!$A$13:$Q$321,9,FALSE)</f>
        <v>1</v>
      </c>
      <c r="J96" s="330">
        <f>VLOOKUP($D96,'PA - Por Componente'!$A$13:$Q$321,10,FALSE)</f>
        <v>0</v>
      </c>
      <c r="K96" s="337" t="str">
        <f t="shared" si="0"/>
        <v>2</v>
      </c>
      <c r="L96" s="326" t="str">
        <f>VLOOKUP($D96,'PA - Por Componente'!$A$13:$Q$321,12,FALSE)</f>
        <v>Ex-post</v>
      </c>
      <c r="M96" s="332">
        <f>VLOOKUP($D96,'PA - Por Componente'!$A$13:$Q$321,13,FALSE)</f>
        <v>44105</v>
      </c>
      <c r="N96" s="332">
        <f>VLOOKUP($D96,'PA - Por Componente'!$A$13:$Q$321,14,FALSE)</f>
        <v>45292</v>
      </c>
      <c r="O96" s="326" t="str">
        <f>VLOOKUP($D96,'PA - Por Componente'!$A$13:$Q$321,15,FALSE)</f>
        <v>PE/ARP</v>
      </c>
      <c r="P96" s="326">
        <f>VLOOKUP($D96,'PA - Por Componente'!$A$13:$Q$321,16,FALSE)</f>
        <v>0</v>
      </c>
      <c r="Q96" s="326" t="str">
        <f>VLOOKUP($D96,'PA - Por Componente'!$A$13:$Q$321,17,FALSE)</f>
        <v>Contrato Concluído</v>
      </c>
      <c r="R96" s="98"/>
      <c r="S96" s="399"/>
    </row>
    <row r="97" spans="1:19" s="106" customFormat="1" ht="33" customHeight="1">
      <c r="A97" s="334" t="s">
        <v>601</v>
      </c>
      <c r="B97" s="334" t="s">
        <v>151</v>
      </c>
      <c r="C97" s="335" t="str">
        <f>VLOOKUP($D97,'PA - Por Componente'!$A$13:$Q$321,2,FALSE)</f>
        <v>Aquisição de Eletrodomésticos para a Policlínica de Canindé</v>
      </c>
      <c r="D97" s="351" t="s">
        <v>580</v>
      </c>
      <c r="E97" s="326" t="str">
        <f>VLOOKUP($D97,'PA - Por Componente'!$A$13:$Q$321,5,FALSE)</f>
        <v>SN</v>
      </c>
      <c r="F97" s="326">
        <v>0</v>
      </c>
      <c r="G97" s="326">
        <v>0</v>
      </c>
      <c r="H97" s="336">
        <f>VLOOKUP($D97,'PA - Por Componente'!$A$13:$Q$321,8,FALSE)</f>
        <v>1000</v>
      </c>
      <c r="I97" s="330">
        <f>VLOOKUP($D97,'PA - Por Componente'!$A$13:$Q$321,9,FALSE)</f>
        <v>1</v>
      </c>
      <c r="J97" s="330">
        <f>VLOOKUP($D97,'PA - Por Componente'!$A$13:$Q$321,10,FALSE)</f>
        <v>0</v>
      </c>
      <c r="K97" s="337" t="str">
        <f t="shared" si="0"/>
        <v>2</v>
      </c>
      <c r="L97" s="326" t="str">
        <f>VLOOKUP($D97,'PA - Por Componente'!$A$13:$Q$321,12,FALSE)</f>
        <v>Ex-post</v>
      </c>
      <c r="M97" s="332">
        <f>VLOOKUP($D97,'PA - Por Componente'!$A$13:$Q$321,13,FALSE)</f>
        <v>44470</v>
      </c>
      <c r="N97" s="332">
        <f>VLOOKUP($D97,'PA - Por Componente'!$A$13:$Q$321,14,FALSE)</f>
        <v>45292</v>
      </c>
      <c r="O97" s="326" t="str">
        <f>VLOOKUP($D97,'PA - Por Componente'!$A$13:$Q$321,15,FALSE)</f>
        <v>PE/ARP</v>
      </c>
      <c r="P97" s="326">
        <f>VLOOKUP($D97,'PA - Por Componente'!$A$13:$Q$321,16,FALSE)</f>
        <v>0</v>
      </c>
      <c r="Q97" s="326" t="str">
        <f>VLOOKUP($D97,'PA - Por Componente'!$A$13:$Q$321,17,FALSE)</f>
        <v>Processo em curso</v>
      </c>
      <c r="R97" s="98"/>
      <c r="S97" s="399"/>
    </row>
    <row r="98" spans="1:19" s="106" customFormat="1" ht="33" customHeight="1">
      <c r="A98" s="334" t="s">
        <v>602</v>
      </c>
      <c r="B98" s="334" t="s">
        <v>151</v>
      </c>
      <c r="C98" s="335" t="str">
        <f>VLOOKUP($D98,'PA - Por Componente'!$A$13:$Q$321,2,FALSE)</f>
        <v>Aquisição de Ventilador Pulmonar Mecânico para Pacientes Pediátricos e Adultos</v>
      </c>
      <c r="D98" s="326" t="s">
        <v>655</v>
      </c>
      <c r="E98" s="326" t="str">
        <f>VLOOKUP($D98,'PA - Por Componente'!$A$13:$Q$321,5,FALSE)</f>
        <v>CD</v>
      </c>
      <c r="F98" s="326">
        <v>0</v>
      </c>
      <c r="G98" s="326">
        <v>0</v>
      </c>
      <c r="H98" s="336">
        <f>VLOOKUP($D98,'PA - Por Componente'!$A$13:$Q$321,8,FALSE)</f>
        <v>15985615.57</v>
      </c>
      <c r="I98" s="330">
        <f>VLOOKUP($D98,'PA - Por Componente'!$A$13:$Q$321,9,FALSE)</f>
        <v>1</v>
      </c>
      <c r="J98" s="330">
        <f>VLOOKUP($D98,'PA - Por Componente'!$A$13:$Q$321,10,FALSE)</f>
        <v>0</v>
      </c>
      <c r="K98" s="337" t="str">
        <f t="shared" si="0"/>
        <v>2</v>
      </c>
      <c r="L98" s="326" t="str">
        <f>VLOOKUP($D98,'PA - Por Componente'!$A$13:$Q$321,12,FALSE)</f>
        <v>Ex-ante</v>
      </c>
      <c r="M98" s="332">
        <f>VLOOKUP($D98,'PA - Por Componente'!$A$13:$Q$321,13,FALSE)</f>
        <v>43891</v>
      </c>
      <c r="N98" s="332">
        <f>VLOOKUP($D98,'PA - Por Componente'!$A$13:$Q$321,14,FALSE)</f>
        <v>43891</v>
      </c>
      <c r="O98" s="326">
        <f>VLOOKUP($D98,'PA - Por Componente'!$A$13:$Q$321,15,FALSE)</f>
        <v>0</v>
      </c>
      <c r="P98" s="326" t="str">
        <f>VLOOKUP($D98,'PA - Por Componente'!$A$13:$Q$321,16,FALSE)</f>
        <v>BRB 4007</v>
      </c>
      <c r="Q98" s="326" t="str">
        <f>VLOOKUP($D98,'PA - Por Componente'!$A$13:$Q$321,17,FALSE)</f>
        <v>Contrato Concluído</v>
      </c>
      <c r="R98" s="98"/>
      <c r="S98" s="399"/>
    </row>
    <row r="99" spans="1:19" s="106" customFormat="1" ht="47.25">
      <c r="A99" s="334" t="s">
        <v>603</v>
      </c>
      <c r="B99" s="334" t="s">
        <v>151</v>
      </c>
      <c r="C99" s="335" t="str">
        <f>VLOOKUP($D99,'PA - Por Componente'!$A$13:$Q$321,2,FALSE)</f>
        <v>Aquisição de insumos para a Rede SESA - COVID-19 (EPI´s e  Kits de Teste rápido anticorpo para detecção de COVID-19)</v>
      </c>
      <c r="D99" s="326" t="s">
        <v>656</v>
      </c>
      <c r="E99" s="326" t="str">
        <f>VLOOKUP($D99,'PA - Por Componente'!$A$13:$Q$321,5,FALSE)</f>
        <v>CD</v>
      </c>
      <c r="F99" s="326">
        <v>0</v>
      </c>
      <c r="G99" s="326">
        <v>0</v>
      </c>
      <c r="H99" s="336">
        <f>VLOOKUP($D99,'PA - Por Componente'!$A$13:$Q$321,8,FALSE)</f>
        <v>20046862.45</v>
      </c>
      <c r="I99" s="330">
        <f>VLOOKUP($D99,'PA - Por Componente'!$A$13:$Q$321,9,FALSE)</f>
        <v>1</v>
      </c>
      <c r="J99" s="330">
        <f>VLOOKUP($D99,'PA - Por Componente'!$A$13:$Q$321,10,FALSE)</f>
        <v>0</v>
      </c>
      <c r="K99" s="337" t="str">
        <f t="shared" si="0"/>
        <v>2</v>
      </c>
      <c r="L99" s="326" t="str">
        <f>VLOOKUP($D99,'PA - Por Componente'!$A$13:$Q$321,12,FALSE)</f>
        <v>Ex-ante</v>
      </c>
      <c r="M99" s="332">
        <f>VLOOKUP($D99,'PA - Por Componente'!$A$13:$Q$321,13,FALSE)</f>
        <v>43891</v>
      </c>
      <c r="N99" s="332">
        <f>VLOOKUP($D99,'PA - Por Componente'!$A$13:$Q$321,14,FALSE)</f>
        <v>43922</v>
      </c>
      <c r="O99" s="326">
        <f>VLOOKUP($D99,'PA - Por Componente'!$A$13:$Q$321,15,FALSE)</f>
        <v>0</v>
      </c>
      <c r="P99" s="326" t="str">
        <f>VLOOKUP($D99,'PA - Por Componente'!$A$13:$Q$321,16,FALSE)</f>
        <v>BRB 4008</v>
      </c>
      <c r="Q99" s="326" t="str">
        <f>VLOOKUP($D99,'PA - Por Componente'!$A$13:$Q$321,17,FALSE)</f>
        <v>Contrato Concluído</v>
      </c>
      <c r="R99" s="98"/>
      <c r="S99" s="399"/>
    </row>
    <row r="100" spans="1:19" s="133" customFormat="1" ht="33" customHeight="1">
      <c r="A100" s="334" t="s">
        <v>604</v>
      </c>
      <c r="B100" s="334" t="s">
        <v>151</v>
      </c>
      <c r="C100" s="335" t="str">
        <f>VLOOKUP($D100,'PA - Por Componente'!$A$13:$Q$321,2,FALSE)</f>
        <v>Aquisição de Equipamentos Cirúrgicos para a Rede SESA</v>
      </c>
      <c r="D100" s="351" t="s">
        <v>493</v>
      </c>
      <c r="E100" s="326" t="str">
        <f>VLOOKUP($D100,'PA - Por Componente'!$A$13:$Q$321,5,FALSE)</f>
        <v>SN</v>
      </c>
      <c r="F100" s="326">
        <v>0</v>
      </c>
      <c r="G100" s="326">
        <v>0</v>
      </c>
      <c r="H100" s="336">
        <f>VLOOKUP($D100,'PA - Por Componente'!$A$13:$Q$321,8,FALSE)</f>
        <v>2185788.6</v>
      </c>
      <c r="I100" s="330">
        <f>VLOOKUP($D100,'PA - Por Componente'!$A$13:$Q$321,9,FALSE)</f>
        <v>1</v>
      </c>
      <c r="J100" s="330">
        <f>VLOOKUP($D100,'PA - Por Componente'!$A$13:$Q$321,10,FALSE)</f>
        <v>0</v>
      </c>
      <c r="K100" s="337" t="str">
        <f t="shared" si="0"/>
        <v>2</v>
      </c>
      <c r="L100" s="326" t="str">
        <f>VLOOKUP($D100,'PA - Por Componente'!$A$13:$Q$321,12,FALSE)</f>
        <v>Ex-post</v>
      </c>
      <c r="M100" s="332">
        <f>VLOOKUP($D100,'PA - Por Componente'!$A$13:$Q$321,13,FALSE)</f>
        <v>44317</v>
      </c>
      <c r="N100" s="332">
        <f>VLOOKUP($D100,'PA - Por Componente'!$A$13:$Q$321,14,FALSE)</f>
        <v>45292</v>
      </c>
      <c r="O100" s="326" t="str">
        <f>VLOOKUP($D100,'PA - Por Componente'!$A$13:$Q$321,15,FALSE)</f>
        <v>PE/ARP</v>
      </c>
      <c r="P100" s="326">
        <f>VLOOKUP($D100,'PA - Por Componente'!$A$13:$Q$321,16,FALSE)</f>
        <v>0</v>
      </c>
      <c r="Q100" s="326" t="str">
        <f>VLOOKUP($D100,'PA - Por Componente'!$A$13:$Q$321,17,FALSE)</f>
        <v>Processo em curso</v>
      </c>
      <c r="R100" s="301"/>
      <c r="S100" s="132"/>
    </row>
    <row r="101" spans="1:19" s="133" customFormat="1" ht="33" customHeight="1">
      <c r="A101" s="334" t="s">
        <v>666</v>
      </c>
      <c r="B101" s="334" t="s">
        <v>151</v>
      </c>
      <c r="C101" s="335" t="str">
        <f>VLOOKUP($D101,'PA - Por Componente'!$A$13:$Q$321,2,FALSE)</f>
        <v>Aquisição de Equipamentos de Diagnóstico para a Rede SESA</v>
      </c>
      <c r="D101" s="351" t="s">
        <v>494</v>
      </c>
      <c r="E101" s="326" t="str">
        <f>VLOOKUP($D101,'PA - Por Componente'!$A$13:$Q$321,5,FALSE)</f>
        <v>SN</v>
      </c>
      <c r="F101" s="326">
        <v>0</v>
      </c>
      <c r="G101" s="326">
        <v>0</v>
      </c>
      <c r="H101" s="336">
        <f>VLOOKUP($D101,'PA - Por Componente'!$A$13:$Q$321,8,FALSE)</f>
        <v>4530000</v>
      </c>
      <c r="I101" s="330">
        <f>VLOOKUP($D101,'PA - Por Componente'!$A$13:$Q$321,9,FALSE)</f>
        <v>1</v>
      </c>
      <c r="J101" s="330">
        <f>VLOOKUP($D101,'PA - Por Componente'!$A$13:$Q$321,10,FALSE)</f>
        <v>0</v>
      </c>
      <c r="K101" s="337" t="str">
        <f t="shared" si="0"/>
        <v>2</v>
      </c>
      <c r="L101" s="326" t="str">
        <f>VLOOKUP($D101,'PA - Por Componente'!$A$13:$Q$321,12,FALSE)</f>
        <v>Ex-post</v>
      </c>
      <c r="M101" s="332">
        <f>VLOOKUP($D101,'PA - Por Componente'!$A$13:$Q$321,13,FALSE)</f>
        <v>44317</v>
      </c>
      <c r="N101" s="332">
        <f>VLOOKUP($D101,'PA - Por Componente'!$A$13:$Q$321,14,FALSE)</f>
        <v>45292</v>
      </c>
      <c r="O101" s="326" t="str">
        <f>VLOOKUP($D101,'PA - Por Componente'!$A$13:$Q$321,15,FALSE)</f>
        <v>PE/ARP</v>
      </c>
      <c r="P101" s="326">
        <f>VLOOKUP($D101,'PA - Por Componente'!$A$13:$Q$321,16,FALSE)</f>
        <v>0</v>
      </c>
      <c r="Q101" s="326" t="str">
        <f>VLOOKUP($D101,'PA - Por Componente'!$A$13:$Q$321,17,FALSE)</f>
        <v>Processo em curso</v>
      </c>
      <c r="R101" s="301"/>
      <c r="S101" s="132"/>
    </row>
    <row r="102" spans="1:19" s="133" customFormat="1" ht="33" customHeight="1">
      <c r="A102" s="334" t="s">
        <v>667</v>
      </c>
      <c r="B102" s="334" t="s">
        <v>151</v>
      </c>
      <c r="C102" s="335" t="str">
        <f>VLOOKUP($D102,'PA - Por Componente'!$A$13:$Q$321,2,FALSE)</f>
        <v>Aquisição de Equipamento Médico Assistencial para a Rede SESA</v>
      </c>
      <c r="D102" s="351" t="s">
        <v>657</v>
      </c>
      <c r="E102" s="326" t="str">
        <f>VLOOKUP($D102,'PA - Por Componente'!$A$13:$Q$321,5,FALSE)</f>
        <v>SN</v>
      </c>
      <c r="F102" s="326">
        <v>0</v>
      </c>
      <c r="G102" s="326">
        <v>0</v>
      </c>
      <c r="H102" s="336">
        <f>VLOOKUP($D102,'PA - Por Componente'!$A$13:$Q$321,8,FALSE)</f>
        <v>2456248.3014624</v>
      </c>
      <c r="I102" s="330">
        <f>VLOOKUP($D102,'PA - Por Componente'!$A$13:$Q$321,9,FALSE)</f>
        <v>1</v>
      </c>
      <c r="J102" s="330">
        <f>VLOOKUP($D102,'PA - Por Componente'!$A$13:$Q$321,10,FALSE)</f>
        <v>0</v>
      </c>
      <c r="K102" s="337" t="str">
        <f t="shared" si="0"/>
        <v>2</v>
      </c>
      <c r="L102" s="326" t="str">
        <f>VLOOKUP($D102,'PA - Por Componente'!$A$13:$Q$321,12,FALSE)</f>
        <v>Ex-post</v>
      </c>
      <c r="M102" s="332">
        <f>VLOOKUP($D102,'PA - Por Componente'!$A$13:$Q$321,13,FALSE)</f>
        <v>44317</v>
      </c>
      <c r="N102" s="332">
        <f>VLOOKUP($D102,'PA - Por Componente'!$A$13:$Q$321,14,FALSE)</f>
        <v>45292</v>
      </c>
      <c r="O102" s="326" t="str">
        <f>VLOOKUP($D102,'PA - Por Componente'!$A$13:$Q$321,15,FALSE)</f>
        <v>PE/ARP</v>
      </c>
      <c r="P102" s="326">
        <f>VLOOKUP($D102,'PA - Por Componente'!$A$13:$Q$321,16,FALSE)</f>
        <v>0</v>
      </c>
      <c r="Q102" s="326" t="str">
        <f>VLOOKUP($D102,'PA - Por Componente'!$A$13:$Q$321,17,FALSE)</f>
        <v>Processo em curso</v>
      </c>
      <c r="R102" s="301"/>
      <c r="S102" s="132"/>
    </row>
    <row r="103" spans="1:19" s="133" customFormat="1" ht="33" customHeight="1">
      <c r="A103" s="334" t="s">
        <v>668</v>
      </c>
      <c r="B103" s="334" t="s">
        <v>151</v>
      </c>
      <c r="C103" s="335" t="str">
        <f>VLOOKUP($D103,'PA - Por Componente'!$A$13:$Q$321,2,FALSE)</f>
        <v>Aquisição de Equipamento de Monitorização e Suporte a Vida para a Rede SESA</v>
      </c>
      <c r="D103" s="351" t="s">
        <v>658</v>
      </c>
      <c r="E103" s="326" t="str">
        <f>VLOOKUP($D103,'PA - Por Componente'!$A$13:$Q$321,5,FALSE)</f>
        <v>SN</v>
      </c>
      <c r="F103" s="326">
        <v>0</v>
      </c>
      <c r="G103" s="326">
        <v>0</v>
      </c>
      <c r="H103" s="336">
        <f>VLOOKUP($D103,'PA - Por Componente'!$A$13:$Q$321,8,FALSE)</f>
        <v>1750000</v>
      </c>
      <c r="I103" s="330">
        <f>VLOOKUP($D103,'PA - Por Componente'!$A$13:$Q$321,9,FALSE)</f>
        <v>1</v>
      </c>
      <c r="J103" s="330">
        <f>VLOOKUP($D103,'PA - Por Componente'!$A$13:$Q$321,10,FALSE)</f>
        <v>0</v>
      </c>
      <c r="K103" s="337" t="str">
        <f t="shared" si="0"/>
        <v>2</v>
      </c>
      <c r="L103" s="326" t="str">
        <f>VLOOKUP($D103,'PA - Por Componente'!$A$13:$Q$321,12,FALSE)</f>
        <v>Ex-post</v>
      </c>
      <c r="M103" s="332">
        <f>VLOOKUP($D103,'PA - Por Componente'!$A$13:$Q$321,13,FALSE)</f>
        <v>44317</v>
      </c>
      <c r="N103" s="332">
        <f>VLOOKUP($D103,'PA - Por Componente'!$A$13:$Q$321,14,FALSE)</f>
        <v>45292</v>
      </c>
      <c r="O103" s="326" t="str">
        <f>VLOOKUP($D103,'PA - Por Componente'!$A$13:$Q$321,15,FALSE)</f>
        <v>PE/ARP</v>
      </c>
      <c r="P103" s="326">
        <f>VLOOKUP($D103,'PA - Por Componente'!$A$13:$Q$321,16,FALSE)</f>
        <v>0</v>
      </c>
      <c r="Q103" s="326" t="str">
        <f>VLOOKUP($D103,'PA - Por Componente'!$A$13:$Q$321,17,FALSE)</f>
        <v>Processo em curso</v>
      </c>
      <c r="R103" s="301"/>
      <c r="S103" s="132"/>
    </row>
    <row r="104" spans="1:19" s="133" customFormat="1" ht="33" customHeight="1">
      <c r="A104" s="334" t="s">
        <v>679</v>
      </c>
      <c r="B104" s="334" t="s">
        <v>151</v>
      </c>
      <c r="C104" s="335" t="str">
        <f>VLOOKUP($D104,'PA - Por Componente'!$A$13:$Q$321,2,FALSE)</f>
        <v>Aquisição de Equipamento de Radiologia para a Rede SESA</v>
      </c>
      <c r="D104" s="351" t="s">
        <v>659</v>
      </c>
      <c r="E104" s="326" t="str">
        <f>VLOOKUP($D104,'PA - Por Componente'!$A$13:$Q$321,5,FALSE)</f>
        <v>SN</v>
      </c>
      <c r="F104" s="326">
        <v>0</v>
      </c>
      <c r="G104" s="326">
        <v>0</v>
      </c>
      <c r="H104" s="336">
        <f>VLOOKUP($D104,'PA - Por Componente'!$A$13:$Q$321,8,FALSE)</f>
        <v>4800000</v>
      </c>
      <c r="I104" s="330">
        <f>VLOOKUP($D104,'PA - Por Componente'!$A$13:$Q$321,9,FALSE)</f>
        <v>1</v>
      </c>
      <c r="J104" s="330">
        <f>VLOOKUP($D104,'PA - Por Componente'!$A$13:$Q$321,10,FALSE)</f>
        <v>0</v>
      </c>
      <c r="K104" s="337" t="str">
        <f>LEFT(D104,1)</f>
        <v>2</v>
      </c>
      <c r="L104" s="326" t="str">
        <f>VLOOKUP($D104,'PA - Por Componente'!$A$13:$Q$321,12,FALSE)</f>
        <v>Ex-post</v>
      </c>
      <c r="M104" s="332">
        <f>VLOOKUP($D104,'PA - Por Componente'!$A$13:$Q$321,13,FALSE)</f>
        <v>44317</v>
      </c>
      <c r="N104" s="332">
        <f>VLOOKUP($D104,'PA - Por Componente'!$A$13:$Q$321,14,FALSE)</f>
        <v>45292</v>
      </c>
      <c r="O104" s="326" t="str">
        <f>VLOOKUP($D104,'PA - Por Componente'!$A$13:$Q$321,15,FALSE)</f>
        <v>PE/ARP</v>
      </c>
      <c r="P104" s="326">
        <f>VLOOKUP($D104,'PA - Por Componente'!$A$13:$Q$321,16,FALSE)</f>
        <v>0</v>
      </c>
      <c r="Q104" s="326" t="str">
        <f>VLOOKUP($D104,'PA - Por Componente'!$A$13:$Q$321,17,FALSE)</f>
        <v>Processo em curso</v>
      </c>
      <c r="R104" s="301"/>
      <c r="S104" s="132"/>
    </row>
    <row r="105" spans="1:19" s="133" customFormat="1" ht="33" customHeight="1">
      <c r="A105" s="170" t="s">
        <v>680</v>
      </c>
      <c r="B105" s="170" t="s">
        <v>151</v>
      </c>
      <c r="C105" s="717" t="str">
        <f>VLOOKUP($D105,'PA - Por Componente'!$A$13:$Q$321,2,FALSE)</f>
        <v>Aquisição de Equipamento de Suporte ao Funcionamento da Rede SESA</v>
      </c>
      <c r="D105" s="720" t="s">
        <v>677</v>
      </c>
      <c r="E105" s="134" t="str">
        <f>VLOOKUP($D105,'PA - Por Componente'!$A$13:$Q$321,5,FALSE)</f>
        <v>SN</v>
      </c>
      <c r="F105" s="134">
        <v>0</v>
      </c>
      <c r="G105" s="134">
        <v>0</v>
      </c>
      <c r="H105" s="323">
        <f>VLOOKUP($D105,'PA - Por Componente'!$A$13:$Q$321,8,FALSE)</f>
        <v>163493.468</v>
      </c>
      <c r="I105" s="718">
        <f>VLOOKUP($D105,'PA - Por Componente'!$A$13:$Q$321,9,FALSE)</f>
        <v>1</v>
      </c>
      <c r="J105" s="718">
        <f>VLOOKUP($D105,'PA - Por Componente'!$A$13:$Q$321,10,FALSE)</f>
        <v>0</v>
      </c>
      <c r="K105" s="324" t="str">
        <f>LEFT(D105,1)</f>
        <v>2</v>
      </c>
      <c r="L105" s="134" t="str">
        <f>VLOOKUP($D105,'PA - Por Componente'!$A$13:$Q$321,12,FALSE)</f>
        <v>Ex-post</v>
      </c>
      <c r="M105" s="312">
        <f>VLOOKUP($D105,'PA - Por Componente'!$A$13:$Q$321,13,FALSE)</f>
        <v>44317</v>
      </c>
      <c r="N105" s="312">
        <f>VLOOKUP($D105,'PA - Por Componente'!$A$13:$Q$321,14,FALSE)</f>
        <v>45292</v>
      </c>
      <c r="O105" s="134" t="str">
        <f>VLOOKUP($D105,'PA - Por Componente'!$A$13:$Q$321,15,FALSE)</f>
        <v>PE/ARP</v>
      </c>
      <c r="P105" s="134">
        <f>VLOOKUP($D105,'PA - Por Componente'!$A$13:$Q$321,16,FALSE)</f>
        <v>0</v>
      </c>
      <c r="Q105" s="134" t="str">
        <f>VLOOKUP($D105,'PA - Por Componente'!$A$13:$Q$321,17,FALSE)</f>
        <v>Processo em Curso</v>
      </c>
      <c r="R105" s="301"/>
      <c r="S105" s="132"/>
    </row>
    <row r="106" spans="1:19" s="114" customFormat="1" ht="31.5" hidden="1">
      <c r="A106" s="171"/>
      <c r="B106" s="171" t="s">
        <v>151</v>
      </c>
      <c r="C106" s="174" t="s">
        <v>535</v>
      </c>
      <c r="D106" s="158" t="s">
        <v>513</v>
      </c>
      <c r="E106" s="78" t="s">
        <v>307</v>
      </c>
      <c r="F106" s="78">
        <v>0</v>
      </c>
      <c r="G106" s="78">
        <v>0</v>
      </c>
      <c r="H106" s="219">
        <v>0</v>
      </c>
      <c r="I106" s="259">
        <v>1</v>
      </c>
      <c r="J106" s="259">
        <v>0</v>
      </c>
      <c r="K106" s="196" t="s">
        <v>645</v>
      </c>
      <c r="L106" s="78" t="s">
        <v>132</v>
      </c>
      <c r="M106" s="146">
        <v>44470</v>
      </c>
      <c r="N106" s="146">
        <v>44805</v>
      </c>
      <c r="O106" s="78" t="s">
        <v>646</v>
      </c>
      <c r="P106" s="78">
        <v>0</v>
      </c>
      <c r="Q106" s="78" t="s">
        <v>632</v>
      </c>
      <c r="R106" s="176"/>
      <c r="S106" s="140"/>
    </row>
    <row r="107" spans="1:19" s="114" customFormat="1" ht="33" customHeight="1" hidden="1">
      <c r="A107" s="171"/>
      <c r="B107" s="171" t="s">
        <v>151</v>
      </c>
      <c r="C107" s="174" t="s">
        <v>610</v>
      </c>
      <c r="D107" s="158" t="s">
        <v>516</v>
      </c>
      <c r="E107" s="78" t="s">
        <v>307</v>
      </c>
      <c r="F107" s="78">
        <v>0</v>
      </c>
      <c r="G107" s="78">
        <v>0</v>
      </c>
      <c r="H107" s="219">
        <v>0</v>
      </c>
      <c r="I107" s="259">
        <v>1</v>
      </c>
      <c r="J107" s="259">
        <v>0</v>
      </c>
      <c r="K107" s="196" t="s">
        <v>645</v>
      </c>
      <c r="L107" s="78" t="s">
        <v>132</v>
      </c>
      <c r="M107" s="146">
        <v>44470</v>
      </c>
      <c r="N107" s="146">
        <v>44805</v>
      </c>
      <c r="O107" s="78" t="s">
        <v>646</v>
      </c>
      <c r="P107" s="78">
        <v>0</v>
      </c>
      <c r="Q107" s="78" t="s">
        <v>632</v>
      </c>
      <c r="R107" s="176"/>
      <c r="S107" s="140"/>
    </row>
    <row r="108" spans="1:19" s="114" customFormat="1" ht="33.75" customHeight="1" hidden="1">
      <c r="A108" s="171"/>
      <c r="B108" s="171" t="s">
        <v>151</v>
      </c>
      <c r="C108" s="174" t="s">
        <v>537</v>
      </c>
      <c r="D108" s="158"/>
      <c r="E108" s="78" t="s">
        <v>307</v>
      </c>
      <c r="F108" s="78"/>
      <c r="G108" s="78"/>
      <c r="H108" s="219"/>
      <c r="I108" s="259"/>
      <c r="J108" s="259"/>
      <c r="K108" s="196"/>
      <c r="L108" s="78"/>
      <c r="M108" s="146"/>
      <c r="N108" s="146"/>
      <c r="O108" s="78" t="s">
        <v>633</v>
      </c>
      <c r="P108" s="78"/>
      <c r="Q108" s="78" t="s">
        <v>632</v>
      </c>
      <c r="R108" s="176"/>
      <c r="S108" s="140"/>
    </row>
    <row r="109" spans="1:19" s="114" customFormat="1" ht="31.5" hidden="1">
      <c r="A109" s="171"/>
      <c r="B109" s="171" t="s">
        <v>151</v>
      </c>
      <c r="C109" s="174" t="s">
        <v>517</v>
      </c>
      <c r="D109" s="158"/>
      <c r="E109" s="78" t="s">
        <v>307</v>
      </c>
      <c r="F109" s="326"/>
      <c r="G109" s="326"/>
      <c r="H109" s="219"/>
      <c r="I109" s="259"/>
      <c r="J109" s="259"/>
      <c r="K109" s="196"/>
      <c r="L109" s="78"/>
      <c r="M109" s="146"/>
      <c r="N109" s="146"/>
      <c r="O109" s="78" t="s">
        <v>633</v>
      </c>
      <c r="P109" s="78"/>
      <c r="Q109" s="78" t="s">
        <v>632</v>
      </c>
      <c r="R109" s="176"/>
      <c r="S109" s="140"/>
    </row>
    <row r="110" spans="1:19" s="114" customFormat="1" ht="32.25" customHeight="1" hidden="1">
      <c r="A110" s="171"/>
      <c r="B110" s="171" t="s">
        <v>151</v>
      </c>
      <c r="C110" s="174" t="s">
        <v>608</v>
      </c>
      <c r="D110" s="158"/>
      <c r="E110" s="78" t="s">
        <v>307</v>
      </c>
      <c r="F110" s="326"/>
      <c r="G110" s="326"/>
      <c r="H110" s="219"/>
      <c r="I110" s="259"/>
      <c r="J110" s="259"/>
      <c r="K110" s="196"/>
      <c r="L110" s="78"/>
      <c r="M110" s="146"/>
      <c r="N110" s="146"/>
      <c r="O110" s="78" t="s">
        <v>633</v>
      </c>
      <c r="P110" s="78"/>
      <c r="Q110" s="78" t="s">
        <v>632</v>
      </c>
      <c r="R110" s="176"/>
      <c r="S110" s="140"/>
    </row>
    <row r="111" spans="1:19" s="106" customFormat="1" ht="31.5" hidden="1">
      <c r="A111" s="171"/>
      <c r="B111" s="171" t="s">
        <v>151</v>
      </c>
      <c r="C111" s="174" t="s">
        <v>609</v>
      </c>
      <c r="D111" s="351"/>
      <c r="E111" s="78" t="s">
        <v>307</v>
      </c>
      <c r="F111" s="326"/>
      <c r="G111" s="326"/>
      <c r="H111" s="336"/>
      <c r="I111" s="330"/>
      <c r="J111" s="330"/>
      <c r="K111" s="337"/>
      <c r="L111" s="326"/>
      <c r="M111" s="332"/>
      <c r="N111" s="332"/>
      <c r="O111" s="78" t="s">
        <v>633</v>
      </c>
      <c r="P111" s="326"/>
      <c r="Q111" s="78" t="s">
        <v>632</v>
      </c>
      <c r="R111" s="98"/>
      <c r="S111" s="399"/>
    </row>
    <row r="112" spans="1:19" s="114" customFormat="1" ht="36" customHeight="1" hidden="1">
      <c r="A112" s="171"/>
      <c r="B112" s="171" t="s">
        <v>151</v>
      </c>
      <c r="C112" s="174" t="s">
        <v>528</v>
      </c>
      <c r="D112" s="158"/>
      <c r="E112" s="78" t="s">
        <v>307</v>
      </c>
      <c r="F112" s="78"/>
      <c r="G112" s="78"/>
      <c r="H112" s="219"/>
      <c r="I112" s="259"/>
      <c r="J112" s="259"/>
      <c r="K112" s="196"/>
      <c r="L112" s="78"/>
      <c r="M112" s="146"/>
      <c r="N112" s="146"/>
      <c r="O112" s="78" t="s">
        <v>633</v>
      </c>
      <c r="P112" s="78"/>
      <c r="Q112" s="78" t="s">
        <v>632</v>
      </c>
      <c r="R112" s="176"/>
      <c r="S112" s="140"/>
    </row>
    <row r="113" spans="1:19" s="114" customFormat="1" ht="50.25" customHeight="1" hidden="1">
      <c r="A113" s="171"/>
      <c r="B113" s="171" t="s">
        <v>151</v>
      </c>
      <c r="C113" s="174" t="s">
        <v>533</v>
      </c>
      <c r="D113" s="158"/>
      <c r="E113" s="78" t="s">
        <v>307</v>
      </c>
      <c r="F113" s="326"/>
      <c r="G113" s="326"/>
      <c r="H113" s="219"/>
      <c r="I113" s="259"/>
      <c r="J113" s="259"/>
      <c r="K113" s="196"/>
      <c r="L113" s="78"/>
      <c r="M113" s="146"/>
      <c r="N113" s="146"/>
      <c r="O113" s="78" t="s">
        <v>633</v>
      </c>
      <c r="P113" s="78"/>
      <c r="Q113" s="78" t="s">
        <v>632</v>
      </c>
      <c r="R113" s="176"/>
      <c r="S113" s="140"/>
    </row>
    <row r="114" spans="1:19" s="114" customFormat="1" ht="36" customHeight="1" hidden="1">
      <c r="A114" s="171"/>
      <c r="B114" s="171" t="s">
        <v>151</v>
      </c>
      <c r="C114" s="174" t="s">
        <v>529</v>
      </c>
      <c r="D114" s="158"/>
      <c r="E114" s="78" t="s">
        <v>307</v>
      </c>
      <c r="F114" s="326"/>
      <c r="G114" s="326"/>
      <c r="H114" s="219"/>
      <c r="I114" s="259"/>
      <c r="J114" s="259"/>
      <c r="K114" s="196"/>
      <c r="L114" s="78"/>
      <c r="M114" s="146"/>
      <c r="N114" s="146"/>
      <c r="O114" s="78" t="s">
        <v>633</v>
      </c>
      <c r="P114" s="78"/>
      <c r="Q114" s="78" t="s">
        <v>632</v>
      </c>
      <c r="R114" s="176"/>
      <c r="S114" s="140"/>
    </row>
    <row r="115" spans="1:19" s="114" customFormat="1" ht="35.25" customHeight="1" hidden="1">
      <c r="A115" s="171"/>
      <c r="B115" s="171" t="s">
        <v>151</v>
      </c>
      <c r="C115" s="174" t="s">
        <v>530</v>
      </c>
      <c r="D115" s="158"/>
      <c r="E115" s="78" t="s">
        <v>307</v>
      </c>
      <c r="F115" s="78"/>
      <c r="G115" s="78"/>
      <c r="H115" s="219"/>
      <c r="I115" s="259"/>
      <c r="J115" s="259"/>
      <c r="K115" s="196"/>
      <c r="L115" s="78"/>
      <c r="M115" s="146"/>
      <c r="N115" s="146"/>
      <c r="O115" s="78" t="s">
        <v>633</v>
      </c>
      <c r="P115" s="78"/>
      <c r="Q115" s="78" t="s">
        <v>632</v>
      </c>
      <c r="R115" s="176"/>
      <c r="S115" s="140"/>
    </row>
    <row r="116" spans="1:19" s="114" customFormat="1" ht="36" customHeight="1" hidden="1">
      <c r="A116" s="171"/>
      <c r="B116" s="171" t="s">
        <v>151</v>
      </c>
      <c r="C116" s="174" t="s">
        <v>531</v>
      </c>
      <c r="D116" s="158"/>
      <c r="E116" s="78" t="s">
        <v>307</v>
      </c>
      <c r="F116" s="326"/>
      <c r="G116" s="326"/>
      <c r="H116" s="219"/>
      <c r="I116" s="259"/>
      <c r="J116" s="259"/>
      <c r="K116" s="196"/>
      <c r="L116" s="78"/>
      <c r="M116" s="146"/>
      <c r="N116" s="146"/>
      <c r="O116" s="78" t="s">
        <v>633</v>
      </c>
      <c r="P116" s="78"/>
      <c r="Q116" s="78" t="s">
        <v>632</v>
      </c>
      <c r="R116" s="176"/>
      <c r="S116" s="140"/>
    </row>
    <row r="117" spans="1:19" s="114" customFormat="1" ht="36" customHeight="1" hidden="1">
      <c r="A117" s="171"/>
      <c r="B117" s="171" t="s">
        <v>151</v>
      </c>
      <c r="C117" s="174" t="s">
        <v>532</v>
      </c>
      <c r="D117" s="158"/>
      <c r="E117" s="78" t="s">
        <v>307</v>
      </c>
      <c r="F117" s="326"/>
      <c r="G117" s="326"/>
      <c r="H117" s="219"/>
      <c r="I117" s="259"/>
      <c r="J117" s="259"/>
      <c r="K117" s="196"/>
      <c r="L117" s="78"/>
      <c r="M117" s="146"/>
      <c r="N117" s="146"/>
      <c r="O117" s="78" t="s">
        <v>633</v>
      </c>
      <c r="P117" s="78"/>
      <c r="Q117" s="78" t="s">
        <v>632</v>
      </c>
      <c r="R117" s="176"/>
      <c r="S117" s="140"/>
    </row>
    <row r="118" spans="1:19" s="114" customFormat="1" ht="36" customHeight="1" hidden="1">
      <c r="A118" s="171"/>
      <c r="B118" s="171" t="s">
        <v>151</v>
      </c>
      <c r="C118" s="174" t="s">
        <v>534</v>
      </c>
      <c r="D118" s="158"/>
      <c r="E118" s="78" t="s">
        <v>307</v>
      </c>
      <c r="F118" s="326"/>
      <c r="G118" s="326"/>
      <c r="H118" s="219"/>
      <c r="I118" s="259"/>
      <c r="J118" s="259"/>
      <c r="K118" s="196"/>
      <c r="L118" s="78"/>
      <c r="M118" s="146"/>
      <c r="N118" s="146"/>
      <c r="O118" s="78" t="s">
        <v>633</v>
      </c>
      <c r="P118" s="78"/>
      <c r="Q118" s="78" t="s">
        <v>632</v>
      </c>
      <c r="R118" s="176"/>
      <c r="S118" s="140"/>
    </row>
    <row r="119" spans="1:19" s="114" customFormat="1" ht="36" customHeight="1" hidden="1">
      <c r="A119" s="171"/>
      <c r="B119" s="171" t="s">
        <v>151</v>
      </c>
      <c r="C119" s="174" t="s">
        <v>540</v>
      </c>
      <c r="D119" s="158"/>
      <c r="E119" s="78" t="s">
        <v>307</v>
      </c>
      <c r="F119" s="326"/>
      <c r="G119" s="326"/>
      <c r="H119" s="219"/>
      <c r="I119" s="259"/>
      <c r="J119" s="259"/>
      <c r="K119" s="196"/>
      <c r="L119" s="78"/>
      <c r="M119" s="146"/>
      <c r="N119" s="146"/>
      <c r="O119" s="78" t="s">
        <v>633</v>
      </c>
      <c r="P119" s="78"/>
      <c r="Q119" s="78" t="s">
        <v>632</v>
      </c>
      <c r="R119" s="176"/>
      <c r="S119" s="140"/>
    </row>
    <row r="120" spans="1:19" s="114" customFormat="1" ht="33" customHeight="1" hidden="1">
      <c r="A120" s="171"/>
      <c r="B120" s="171" t="s">
        <v>151</v>
      </c>
      <c r="C120" s="174" t="s">
        <v>606</v>
      </c>
      <c r="D120" s="158"/>
      <c r="E120" s="78" t="s">
        <v>307</v>
      </c>
      <c r="F120" s="326"/>
      <c r="G120" s="326"/>
      <c r="H120" s="219"/>
      <c r="I120" s="259"/>
      <c r="J120" s="259"/>
      <c r="K120" s="196"/>
      <c r="L120" s="78"/>
      <c r="M120" s="146"/>
      <c r="N120" s="146"/>
      <c r="O120" s="78" t="s">
        <v>633</v>
      </c>
      <c r="P120" s="78"/>
      <c r="Q120" s="78" t="s">
        <v>632</v>
      </c>
      <c r="R120" s="176"/>
      <c r="S120" s="140"/>
    </row>
    <row r="121" spans="1:19" s="114" customFormat="1" ht="33" customHeight="1" hidden="1">
      <c r="A121" s="171"/>
      <c r="B121" s="171" t="s">
        <v>151</v>
      </c>
      <c r="C121" s="174" t="s">
        <v>509</v>
      </c>
      <c r="D121" s="158"/>
      <c r="E121" s="78" t="s">
        <v>307</v>
      </c>
      <c r="F121" s="326"/>
      <c r="G121" s="326"/>
      <c r="H121" s="219"/>
      <c r="I121" s="259"/>
      <c r="J121" s="259"/>
      <c r="K121" s="196"/>
      <c r="L121" s="78"/>
      <c r="M121" s="146"/>
      <c r="N121" s="146"/>
      <c r="O121" s="78" t="s">
        <v>633</v>
      </c>
      <c r="P121" s="78"/>
      <c r="Q121" s="78" t="s">
        <v>632</v>
      </c>
      <c r="R121" s="176"/>
      <c r="S121" s="140"/>
    </row>
    <row r="122" spans="1:19" s="114" customFormat="1" ht="33.75" customHeight="1" hidden="1">
      <c r="A122" s="171"/>
      <c r="B122" s="171" t="s">
        <v>151</v>
      </c>
      <c r="C122" s="174" t="s">
        <v>598</v>
      </c>
      <c r="D122" s="78"/>
      <c r="E122" s="78" t="s">
        <v>307</v>
      </c>
      <c r="F122" s="326"/>
      <c r="G122" s="326"/>
      <c r="H122" s="219"/>
      <c r="I122" s="259"/>
      <c r="J122" s="259"/>
      <c r="K122" s="196"/>
      <c r="L122" s="78"/>
      <c r="M122" s="146"/>
      <c r="N122" s="146"/>
      <c r="O122" s="78" t="s">
        <v>633</v>
      </c>
      <c r="P122" s="78"/>
      <c r="Q122" s="78" t="s">
        <v>632</v>
      </c>
      <c r="R122" s="176"/>
      <c r="S122" s="140"/>
    </row>
    <row r="123" spans="1:19" s="114" customFormat="1" ht="33.75" customHeight="1" hidden="1">
      <c r="A123" s="171"/>
      <c r="B123" s="171" t="s">
        <v>151</v>
      </c>
      <c r="C123" s="174" t="s">
        <v>546</v>
      </c>
      <c r="D123" s="78"/>
      <c r="E123" s="78" t="s">
        <v>307</v>
      </c>
      <c r="F123" s="326"/>
      <c r="G123" s="326"/>
      <c r="H123" s="219"/>
      <c r="I123" s="259"/>
      <c r="J123" s="259"/>
      <c r="K123" s="196"/>
      <c r="L123" s="78"/>
      <c r="M123" s="146"/>
      <c r="N123" s="146"/>
      <c r="O123" s="78" t="s">
        <v>633</v>
      </c>
      <c r="P123" s="78"/>
      <c r="Q123" s="78" t="s">
        <v>632</v>
      </c>
      <c r="R123" s="176"/>
      <c r="S123" s="140"/>
    </row>
    <row r="124" spans="1:19" s="114" customFormat="1" ht="33.75" customHeight="1" hidden="1">
      <c r="A124" s="171"/>
      <c r="B124" s="171" t="s">
        <v>151</v>
      </c>
      <c r="C124" s="174" t="s">
        <v>611</v>
      </c>
      <c r="D124" s="78"/>
      <c r="E124" s="78" t="s">
        <v>307</v>
      </c>
      <c r="F124" s="326"/>
      <c r="G124" s="326"/>
      <c r="H124" s="219"/>
      <c r="I124" s="259"/>
      <c r="J124" s="259"/>
      <c r="K124" s="196"/>
      <c r="L124" s="78"/>
      <c r="M124" s="146"/>
      <c r="N124" s="146"/>
      <c r="O124" s="78" t="s">
        <v>633</v>
      </c>
      <c r="P124" s="78"/>
      <c r="Q124" s="78" t="s">
        <v>632</v>
      </c>
      <c r="R124" s="176"/>
      <c r="S124" s="140"/>
    </row>
    <row r="125" spans="1:19" s="114" customFormat="1" ht="47.25" hidden="1">
      <c r="A125" s="171"/>
      <c r="B125" s="171" t="s">
        <v>151</v>
      </c>
      <c r="C125" s="174" t="s">
        <v>511</v>
      </c>
      <c r="D125" s="158"/>
      <c r="E125" s="78" t="s">
        <v>149</v>
      </c>
      <c r="F125" s="326"/>
      <c r="G125" s="326"/>
      <c r="H125" s="219"/>
      <c r="I125" s="259"/>
      <c r="J125" s="259"/>
      <c r="K125" s="196"/>
      <c r="L125" s="78"/>
      <c r="M125" s="146"/>
      <c r="N125" s="146"/>
      <c r="O125" s="78" t="s">
        <v>633</v>
      </c>
      <c r="P125" s="78"/>
      <c r="Q125" s="78" t="s">
        <v>632</v>
      </c>
      <c r="R125" s="176"/>
      <c r="S125" s="140"/>
    </row>
    <row r="126" spans="1:19" s="114" customFormat="1" ht="33" customHeight="1" hidden="1">
      <c r="A126" s="171"/>
      <c r="B126" s="171" t="s">
        <v>151</v>
      </c>
      <c r="C126" s="174" t="s">
        <v>538</v>
      </c>
      <c r="D126" s="158"/>
      <c r="E126" s="78" t="s">
        <v>307</v>
      </c>
      <c r="F126" s="326"/>
      <c r="G126" s="326"/>
      <c r="H126" s="219"/>
      <c r="I126" s="259"/>
      <c r="J126" s="259"/>
      <c r="K126" s="196"/>
      <c r="L126" s="78"/>
      <c r="M126" s="146"/>
      <c r="N126" s="146"/>
      <c r="O126" s="78" t="s">
        <v>633</v>
      </c>
      <c r="P126" s="78"/>
      <c r="Q126" s="78" t="s">
        <v>632</v>
      </c>
      <c r="R126" s="176"/>
      <c r="S126" s="140"/>
    </row>
    <row r="127" spans="1:19" s="114" customFormat="1" ht="33" customHeight="1" hidden="1">
      <c r="A127" s="171"/>
      <c r="B127" s="171" t="s">
        <v>151</v>
      </c>
      <c r="C127" s="174" t="s">
        <v>539</v>
      </c>
      <c r="D127" s="158"/>
      <c r="E127" s="78" t="s">
        <v>307</v>
      </c>
      <c r="F127" s="78"/>
      <c r="G127" s="78"/>
      <c r="H127" s="219"/>
      <c r="I127" s="259"/>
      <c r="J127" s="259"/>
      <c r="K127" s="196"/>
      <c r="L127" s="78"/>
      <c r="M127" s="146"/>
      <c r="N127" s="146"/>
      <c r="O127" s="78" t="s">
        <v>633</v>
      </c>
      <c r="P127" s="78"/>
      <c r="Q127" s="78" t="s">
        <v>632</v>
      </c>
      <c r="R127" s="176"/>
      <c r="S127" s="140"/>
    </row>
    <row r="128" spans="1:19" s="114" customFormat="1" ht="33" customHeight="1" hidden="1">
      <c r="A128" s="171"/>
      <c r="B128" s="171" t="s">
        <v>151</v>
      </c>
      <c r="C128" s="174" t="s">
        <v>542</v>
      </c>
      <c r="D128" s="78"/>
      <c r="E128" s="78" t="s">
        <v>307</v>
      </c>
      <c r="F128" s="78"/>
      <c r="G128" s="78"/>
      <c r="H128" s="219"/>
      <c r="I128" s="259"/>
      <c r="J128" s="259"/>
      <c r="K128" s="196"/>
      <c r="L128" s="78"/>
      <c r="M128" s="146"/>
      <c r="N128" s="146"/>
      <c r="O128" s="78" t="s">
        <v>633</v>
      </c>
      <c r="P128" s="78"/>
      <c r="Q128" s="78" t="s">
        <v>632</v>
      </c>
      <c r="R128" s="176"/>
      <c r="S128" s="140"/>
    </row>
    <row r="129" spans="1:19" s="114" customFormat="1" ht="33" customHeight="1" hidden="1">
      <c r="A129" s="171"/>
      <c r="B129" s="171" t="s">
        <v>151</v>
      </c>
      <c r="C129" s="174" t="s">
        <v>553</v>
      </c>
      <c r="D129" s="78"/>
      <c r="E129" s="78" t="s">
        <v>307</v>
      </c>
      <c r="F129" s="326"/>
      <c r="G129" s="326"/>
      <c r="H129" s="219"/>
      <c r="I129" s="259"/>
      <c r="J129" s="259"/>
      <c r="K129" s="196"/>
      <c r="L129" s="78"/>
      <c r="M129" s="146"/>
      <c r="N129" s="146"/>
      <c r="O129" s="78" t="s">
        <v>633</v>
      </c>
      <c r="P129" s="78"/>
      <c r="Q129" s="78" t="s">
        <v>632</v>
      </c>
      <c r="R129" s="176"/>
      <c r="S129" s="140"/>
    </row>
    <row r="130" spans="1:19" s="114" customFormat="1" ht="33" customHeight="1" hidden="1">
      <c r="A130" s="171"/>
      <c r="B130" s="171" t="s">
        <v>151</v>
      </c>
      <c r="C130" s="174" t="s">
        <v>545</v>
      </c>
      <c r="D130" s="78"/>
      <c r="E130" s="78" t="s">
        <v>149</v>
      </c>
      <c r="F130" s="326"/>
      <c r="G130" s="326"/>
      <c r="H130" s="219"/>
      <c r="I130" s="259"/>
      <c r="J130" s="259"/>
      <c r="K130" s="196"/>
      <c r="L130" s="78"/>
      <c r="M130" s="146"/>
      <c r="N130" s="146"/>
      <c r="O130" s="78" t="s">
        <v>633</v>
      </c>
      <c r="P130" s="78"/>
      <c r="Q130" s="78" t="s">
        <v>632</v>
      </c>
      <c r="R130" s="176"/>
      <c r="S130" s="140"/>
    </row>
    <row r="131" spans="1:19" s="114" customFormat="1" ht="33" customHeight="1" hidden="1">
      <c r="A131" s="171"/>
      <c r="B131" s="171" t="s">
        <v>151</v>
      </c>
      <c r="C131" s="174" t="s">
        <v>541</v>
      </c>
      <c r="D131" s="78"/>
      <c r="E131" s="78" t="s">
        <v>149</v>
      </c>
      <c r="F131" s="326"/>
      <c r="G131" s="326"/>
      <c r="H131" s="219"/>
      <c r="I131" s="259"/>
      <c r="J131" s="259"/>
      <c r="K131" s="196"/>
      <c r="L131" s="78"/>
      <c r="M131" s="146"/>
      <c r="N131" s="146"/>
      <c r="O131" s="78" t="s">
        <v>633</v>
      </c>
      <c r="P131" s="78"/>
      <c r="Q131" s="78" t="s">
        <v>632</v>
      </c>
      <c r="R131" s="176"/>
      <c r="S131" s="140"/>
    </row>
    <row r="132" spans="1:19" s="114" customFormat="1" ht="33" customHeight="1" hidden="1">
      <c r="A132" s="171"/>
      <c r="B132" s="171" t="s">
        <v>151</v>
      </c>
      <c r="C132" s="174" t="s">
        <v>543</v>
      </c>
      <c r="D132" s="78"/>
      <c r="E132" s="78" t="s">
        <v>307</v>
      </c>
      <c r="F132" s="326"/>
      <c r="G132" s="326"/>
      <c r="H132" s="219"/>
      <c r="I132" s="259"/>
      <c r="J132" s="259"/>
      <c r="K132" s="196"/>
      <c r="L132" s="78"/>
      <c r="M132" s="146"/>
      <c r="N132" s="146"/>
      <c r="O132" s="78" t="s">
        <v>633</v>
      </c>
      <c r="P132" s="78"/>
      <c r="Q132" s="78" t="s">
        <v>632</v>
      </c>
      <c r="R132" s="176"/>
      <c r="S132" s="140"/>
    </row>
    <row r="133" spans="1:19" s="114" customFormat="1" ht="33" customHeight="1" hidden="1">
      <c r="A133" s="171"/>
      <c r="B133" s="171" t="s">
        <v>151</v>
      </c>
      <c r="C133" s="174" t="s">
        <v>561</v>
      </c>
      <c r="D133" s="78"/>
      <c r="E133" s="78" t="s">
        <v>307</v>
      </c>
      <c r="F133" s="326"/>
      <c r="G133" s="326"/>
      <c r="H133" s="219"/>
      <c r="I133" s="259"/>
      <c r="J133" s="259"/>
      <c r="K133" s="196"/>
      <c r="L133" s="78"/>
      <c r="M133" s="146"/>
      <c r="N133" s="146"/>
      <c r="O133" s="78" t="s">
        <v>633</v>
      </c>
      <c r="P133" s="78"/>
      <c r="Q133" s="78" t="s">
        <v>632</v>
      </c>
      <c r="R133" s="176"/>
      <c r="S133" s="140"/>
    </row>
    <row r="134" spans="1:19" s="114" customFormat="1" ht="33" customHeight="1" hidden="1">
      <c r="A134" s="171"/>
      <c r="B134" s="171" t="s">
        <v>151</v>
      </c>
      <c r="C134" s="174" t="s">
        <v>562</v>
      </c>
      <c r="D134" s="78"/>
      <c r="E134" s="78" t="s">
        <v>307</v>
      </c>
      <c r="F134" s="326"/>
      <c r="G134" s="326"/>
      <c r="H134" s="219"/>
      <c r="I134" s="259"/>
      <c r="J134" s="259"/>
      <c r="K134" s="196"/>
      <c r="L134" s="78"/>
      <c r="M134" s="146"/>
      <c r="N134" s="146"/>
      <c r="O134" s="78" t="s">
        <v>633</v>
      </c>
      <c r="P134" s="78"/>
      <c r="Q134" s="78" t="s">
        <v>632</v>
      </c>
      <c r="R134" s="176"/>
      <c r="S134" s="140"/>
    </row>
    <row r="135" spans="1:19" s="114" customFormat="1" ht="33" customHeight="1" hidden="1">
      <c r="A135" s="171"/>
      <c r="B135" s="171" t="s">
        <v>151</v>
      </c>
      <c r="C135" s="174" t="s">
        <v>567</v>
      </c>
      <c r="D135" s="78"/>
      <c r="E135" s="78" t="s">
        <v>307</v>
      </c>
      <c r="F135" s="326"/>
      <c r="G135" s="326"/>
      <c r="H135" s="219"/>
      <c r="I135" s="259"/>
      <c r="J135" s="259"/>
      <c r="K135" s="196"/>
      <c r="L135" s="78"/>
      <c r="M135" s="146"/>
      <c r="N135" s="146"/>
      <c r="O135" s="78" t="s">
        <v>633</v>
      </c>
      <c r="P135" s="78"/>
      <c r="Q135" s="78" t="s">
        <v>632</v>
      </c>
      <c r="R135" s="176"/>
      <c r="S135" s="140"/>
    </row>
    <row r="136" spans="1:19" s="114" customFormat="1" ht="33" customHeight="1" hidden="1">
      <c r="A136" s="171"/>
      <c r="B136" s="171" t="s">
        <v>151</v>
      </c>
      <c r="C136" s="174" t="s">
        <v>593</v>
      </c>
      <c r="D136" s="78"/>
      <c r="E136" s="78" t="s">
        <v>307</v>
      </c>
      <c r="F136" s="326"/>
      <c r="G136" s="326"/>
      <c r="H136" s="219"/>
      <c r="I136" s="259"/>
      <c r="J136" s="259"/>
      <c r="K136" s="196"/>
      <c r="L136" s="78"/>
      <c r="M136" s="146"/>
      <c r="N136" s="146"/>
      <c r="O136" s="78" t="s">
        <v>633</v>
      </c>
      <c r="P136" s="78"/>
      <c r="Q136" s="78" t="s">
        <v>632</v>
      </c>
      <c r="R136" s="176"/>
      <c r="S136" s="140"/>
    </row>
    <row r="137" spans="1:19" s="114" customFormat="1" ht="33" customHeight="1" hidden="1">
      <c r="A137" s="171"/>
      <c r="B137" s="171" t="s">
        <v>151</v>
      </c>
      <c r="C137" s="174" t="s">
        <v>590</v>
      </c>
      <c r="D137" s="78"/>
      <c r="E137" s="78" t="s">
        <v>307</v>
      </c>
      <c r="F137" s="326"/>
      <c r="G137" s="326"/>
      <c r="H137" s="219"/>
      <c r="I137" s="259"/>
      <c r="J137" s="259"/>
      <c r="K137" s="196"/>
      <c r="L137" s="78"/>
      <c r="M137" s="146"/>
      <c r="N137" s="146"/>
      <c r="O137" s="78" t="s">
        <v>633</v>
      </c>
      <c r="P137" s="78"/>
      <c r="Q137" s="78" t="s">
        <v>632</v>
      </c>
      <c r="R137" s="176"/>
      <c r="S137" s="140"/>
    </row>
    <row r="138" spans="1:19" s="114" customFormat="1" ht="33" customHeight="1" hidden="1">
      <c r="A138" s="171"/>
      <c r="B138" s="171" t="s">
        <v>151</v>
      </c>
      <c r="C138" s="174" t="s">
        <v>338</v>
      </c>
      <c r="D138" s="158"/>
      <c r="E138" s="78" t="s">
        <v>149</v>
      </c>
      <c r="F138" s="78"/>
      <c r="G138" s="78"/>
      <c r="H138" s="219"/>
      <c r="I138" s="259"/>
      <c r="J138" s="259"/>
      <c r="K138" s="196"/>
      <c r="L138" s="78"/>
      <c r="M138" s="146"/>
      <c r="N138" s="146"/>
      <c r="P138" s="78"/>
      <c r="Q138" s="78" t="s">
        <v>597</v>
      </c>
      <c r="R138" s="176"/>
      <c r="S138" s="140"/>
    </row>
    <row r="139" spans="1:19" s="114" customFormat="1" ht="33" customHeight="1" hidden="1">
      <c r="A139" s="171"/>
      <c r="B139" s="171" t="s">
        <v>151</v>
      </c>
      <c r="C139" s="174" t="s">
        <v>345</v>
      </c>
      <c r="D139" s="158"/>
      <c r="E139" s="78" t="s">
        <v>149</v>
      </c>
      <c r="F139" s="78"/>
      <c r="G139" s="78"/>
      <c r="H139" s="219"/>
      <c r="I139" s="259"/>
      <c r="J139" s="259"/>
      <c r="K139" s="196"/>
      <c r="L139" s="78"/>
      <c r="M139" s="146"/>
      <c r="N139" s="146"/>
      <c r="O139" s="78"/>
      <c r="P139" s="78"/>
      <c r="Q139" s="78" t="s">
        <v>597</v>
      </c>
      <c r="R139" s="176"/>
      <c r="S139" s="140"/>
    </row>
    <row r="140" spans="1:19" s="114" customFormat="1" ht="33" customHeight="1" hidden="1">
      <c r="A140" s="171"/>
      <c r="B140" s="171" t="s">
        <v>151</v>
      </c>
      <c r="C140" s="174" t="s">
        <v>342</v>
      </c>
      <c r="D140" s="158"/>
      <c r="E140" s="78" t="s">
        <v>149</v>
      </c>
      <c r="F140" s="78"/>
      <c r="G140" s="78"/>
      <c r="H140" s="219"/>
      <c r="I140" s="259"/>
      <c r="J140" s="259"/>
      <c r="K140" s="196"/>
      <c r="L140" s="78"/>
      <c r="M140" s="146"/>
      <c r="N140" s="146"/>
      <c r="O140" s="78"/>
      <c r="P140" s="78"/>
      <c r="Q140" s="78" t="s">
        <v>597</v>
      </c>
      <c r="R140" s="176"/>
      <c r="S140" s="140"/>
    </row>
    <row r="141" spans="1:19" s="114" customFormat="1" ht="33" customHeight="1" hidden="1">
      <c r="A141" s="171"/>
      <c r="B141" s="171" t="s">
        <v>151</v>
      </c>
      <c r="C141" s="174" t="s">
        <v>343</v>
      </c>
      <c r="D141" s="158"/>
      <c r="E141" s="78" t="s">
        <v>149</v>
      </c>
      <c r="F141" s="78"/>
      <c r="G141" s="78"/>
      <c r="H141" s="219"/>
      <c r="I141" s="259"/>
      <c r="J141" s="259"/>
      <c r="K141" s="196"/>
      <c r="L141" s="78"/>
      <c r="M141" s="146"/>
      <c r="N141" s="146"/>
      <c r="O141" s="78"/>
      <c r="P141" s="78"/>
      <c r="Q141" s="78" t="s">
        <v>597</v>
      </c>
      <c r="R141" s="176"/>
      <c r="S141" s="140"/>
    </row>
    <row r="142" spans="1:19" s="114" customFormat="1" ht="33" customHeight="1" hidden="1">
      <c r="A142" s="171"/>
      <c r="B142" s="171" t="s">
        <v>151</v>
      </c>
      <c r="C142" s="174" t="s">
        <v>344</v>
      </c>
      <c r="D142" s="158"/>
      <c r="E142" s="78" t="s">
        <v>149</v>
      </c>
      <c r="F142" s="78"/>
      <c r="G142" s="78"/>
      <c r="H142" s="219"/>
      <c r="I142" s="259"/>
      <c r="J142" s="259"/>
      <c r="K142" s="196"/>
      <c r="L142" s="78"/>
      <c r="M142" s="146"/>
      <c r="N142" s="146"/>
      <c r="O142" s="78"/>
      <c r="P142" s="78"/>
      <c r="Q142" s="78" t="s">
        <v>597</v>
      </c>
      <c r="R142" s="176"/>
      <c r="S142" s="140"/>
    </row>
    <row r="143" spans="1:19" s="114" customFormat="1" ht="33" customHeight="1" hidden="1">
      <c r="A143" s="171"/>
      <c r="B143" s="171" t="s">
        <v>151</v>
      </c>
      <c r="C143" s="174" t="s">
        <v>330</v>
      </c>
      <c r="D143" s="158"/>
      <c r="E143" s="78" t="s">
        <v>149</v>
      </c>
      <c r="F143" s="78"/>
      <c r="G143" s="78"/>
      <c r="H143" s="219"/>
      <c r="I143" s="259"/>
      <c r="J143" s="259"/>
      <c r="K143" s="196"/>
      <c r="L143" s="78"/>
      <c r="M143" s="146"/>
      <c r="N143" s="146"/>
      <c r="O143" s="78"/>
      <c r="P143" s="78"/>
      <c r="Q143" s="78" t="s">
        <v>597</v>
      </c>
      <c r="R143" s="176"/>
      <c r="S143" s="140"/>
    </row>
    <row r="144" spans="1:19" s="114" customFormat="1" ht="33" customHeight="1" hidden="1">
      <c r="A144" s="171"/>
      <c r="B144" s="171"/>
      <c r="C144" s="174" t="s">
        <v>287</v>
      </c>
      <c r="D144" s="158"/>
      <c r="E144" s="78"/>
      <c r="F144" s="78"/>
      <c r="G144" s="78"/>
      <c r="H144" s="219"/>
      <c r="I144" s="259">
        <v>1</v>
      </c>
      <c r="J144" s="259">
        <v>0</v>
      </c>
      <c r="K144" s="196"/>
      <c r="L144" s="78"/>
      <c r="M144" s="146"/>
      <c r="N144" s="146"/>
      <c r="O144" s="78"/>
      <c r="P144" s="78"/>
      <c r="Q144" s="78" t="s">
        <v>503</v>
      </c>
      <c r="R144" s="176"/>
      <c r="S144" s="140"/>
    </row>
    <row r="145" spans="1:19" s="114" customFormat="1" ht="33" customHeight="1" hidden="1">
      <c r="A145" s="171"/>
      <c r="B145" s="171"/>
      <c r="C145" s="174" t="s">
        <v>352</v>
      </c>
      <c r="D145" s="158"/>
      <c r="E145" s="78"/>
      <c r="F145" s="78"/>
      <c r="G145" s="78"/>
      <c r="H145" s="219"/>
      <c r="I145" s="259">
        <v>1</v>
      </c>
      <c r="J145" s="259">
        <v>0</v>
      </c>
      <c r="K145" s="196"/>
      <c r="L145" s="78"/>
      <c r="M145" s="146"/>
      <c r="N145" s="146"/>
      <c r="O145" s="78"/>
      <c r="P145" s="78"/>
      <c r="Q145" s="78" t="s">
        <v>503</v>
      </c>
      <c r="R145" s="176"/>
      <c r="S145" s="140"/>
    </row>
    <row r="146" spans="1:19" s="114" customFormat="1" ht="33" customHeight="1" hidden="1">
      <c r="A146" s="171"/>
      <c r="B146" s="171"/>
      <c r="C146" s="174" t="s">
        <v>323</v>
      </c>
      <c r="D146" s="158"/>
      <c r="E146" s="78"/>
      <c r="F146" s="78"/>
      <c r="G146" s="78"/>
      <c r="H146" s="219"/>
      <c r="I146" s="259">
        <v>1</v>
      </c>
      <c r="J146" s="259">
        <v>0</v>
      </c>
      <c r="K146" s="196"/>
      <c r="L146" s="78"/>
      <c r="M146" s="146"/>
      <c r="N146" s="146"/>
      <c r="O146" s="78"/>
      <c r="P146" s="78"/>
      <c r="Q146" s="78" t="s">
        <v>503</v>
      </c>
      <c r="R146" s="176"/>
      <c r="S146" s="140"/>
    </row>
    <row r="147" spans="1:19" s="114" customFormat="1" ht="50.25" customHeight="1" hidden="1">
      <c r="A147" s="171"/>
      <c r="B147" s="171"/>
      <c r="C147" s="174" t="s">
        <v>263</v>
      </c>
      <c r="D147" s="158"/>
      <c r="E147" s="78"/>
      <c r="F147" s="78"/>
      <c r="G147" s="78"/>
      <c r="H147" s="219"/>
      <c r="I147" s="259">
        <v>0</v>
      </c>
      <c r="J147" s="259">
        <v>1</v>
      </c>
      <c r="K147" s="196"/>
      <c r="L147" s="78"/>
      <c r="M147" s="146"/>
      <c r="N147" s="146"/>
      <c r="O147" s="78"/>
      <c r="P147" s="78"/>
      <c r="Q147" s="78" t="s">
        <v>503</v>
      </c>
      <c r="R147" s="176"/>
      <c r="S147" s="140"/>
    </row>
    <row r="148" spans="1:19" s="114" customFormat="1" ht="33" customHeight="1" hidden="1">
      <c r="A148" s="171"/>
      <c r="B148" s="171"/>
      <c r="C148" s="174" t="s">
        <v>296</v>
      </c>
      <c r="D148" s="158"/>
      <c r="E148" s="78"/>
      <c r="F148" s="78"/>
      <c r="G148" s="78"/>
      <c r="H148" s="219"/>
      <c r="I148" s="259">
        <v>0</v>
      </c>
      <c r="J148" s="259">
        <v>1</v>
      </c>
      <c r="K148" s="196"/>
      <c r="L148" s="78"/>
      <c r="M148" s="146"/>
      <c r="N148" s="146"/>
      <c r="O148" s="78"/>
      <c r="P148" s="78"/>
      <c r="Q148" s="78" t="s">
        <v>503</v>
      </c>
      <c r="R148" s="176"/>
      <c r="S148" s="140"/>
    </row>
    <row r="149" spans="1:19" s="72" customFormat="1" ht="33.75" customHeight="1" hidden="1">
      <c r="A149" s="185"/>
      <c r="B149" s="188" t="s">
        <v>151</v>
      </c>
      <c r="C149" s="159" t="s">
        <v>242</v>
      </c>
      <c r="D149" s="158"/>
      <c r="E149" s="158"/>
      <c r="F149" s="158"/>
      <c r="G149" s="158"/>
      <c r="H149" s="179"/>
      <c r="I149" s="238"/>
      <c r="J149" s="238"/>
      <c r="K149" s="161"/>
      <c r="L149" s="158"/>
      <c r="M149" s="297"/>
      <c r="N149" s="297"/>
      <c r="O149" s="162"/>
      <c r="P149" s="162"/>
      <c r="Q149" s="158"/>
      <c r="R149" s="173"/>
      <c r="S149" s="149"/>
    </row>
    <row r="150" spans="1:19" s="72" customFormat="1" ht="37.5" customHeight="1" hidden="1">
      <c r="A150" s="185"/>
      <c r="B150" s="171" t="s">
        <v>138</v>
      </c>
      <c r="C150" s="172" t="s">
        <v>154</v>
      </c>
      <c r="D150" s="78"/>
      <c r="E150" s="158"/>
      <c r="F150" s="158"/>
      <c r="G150" s="158"/>
      <c r="H150" s="151"/>
      <c r="I150" s="238"/>
      <c r="J150" s="238"/>
      <c r="K150" s="158"/>
      <c r="L150" s="158"/>
      <c r="M150" s="147"/>
      <c r="N150" s="147"/>
      <c r="O150" s="158"/>
      <c r="P150" s="158"/>
      <c r="Q150" s="158"/>
      <c r="R150" s="173"/>
      <c r="S150" s="140"/>
    </row>
    <row r="151" spans="1:19" s="72" customFormat="1" ht="47.25" hidden="1">
      <c r="A151" s="185"/>
      <c r="B151" s="171" t="s">
        <v>151</v>
      </c>
      <c r="C151" s="172" t="s">
        <v>230</v>
      </c>
      <c r="D151" s="78"/>
      <c r="E151" s="158"/>
      <c r="F151" s="158"/>
      <c r="G151" s="158"/>
      <c r="H151" s="151"/>
      <c r="I151" s="238"/>
      <c r="J151" s="238"/>
      <c r="K151" s="158"/>
      <c r="L151" s="158"/>
      <c r="M151" s="147"/>
      <c r="N151" s="147"/>
      <c r="O151" s="158"/>
      <c r="P151" s="158"/>
      <c r="Q151" s="158"/>
      <c r="R151" s="173"/>
      <c r="S151" s="140"/>
    </row>
    <row r="152" spans="1:19" s="72" customFormat="1" ht="18.75" hidden="1">
      <c r="A152" s="185"/>
      <c r="B152" s="171" t="s">
        <v>151</v>
      </c>
      <c r="C152" s="172" t="s">
        <v>162</v>
      </c>
      <c r="D152" s="78"/>
      <c r="E152" s="158"/>
      <c r="F152" s="158"/>
      <c r="G152" s="158"/>
      <c r="H152" s="151"/>
      <c r="I152" s="238"/>
      <c r="J152" s="238"/>
      <c r="K152" s="158"/>
      <c r="L152" s="158"/>
      <c r="M152" s="147"/>
      <c r="N152" s="147"/>
      <c r="O152" s="158"/>
      <c r="P152" s="158"/>
      <c r="Q152" s="158"/>
      <c r="R152" s="173"/>
      <c r="S152" s="140"/>
    </row>
    <row r="153" spans="1:19" s="72" customFormat="1" ht="31.5" hidden="1">
      <c r="A153" s="185"/>
      <c r="B153" s="171" t="s">
        <v>151</v>
      </c>
      <c r="C153" s="172" t="s">
        <v>220</v>
      </c>
      <c r="D153" s="78"/>
      <c r="E153" s="158"/>
      <c r="F153" s="158" t="s">
        <v>127</v>
      </c>
      <c r="G153" s="158" t="s">
        <v>127</v>
      </c>
      <c r="H153" s="151"/>
      <c r="I153" s="238"/>
      <c r="J153" s="238"/>
      <c r="K153" s="158"/>
      <c r="L153" s="158"/>
      <c r="M153" s="147"/>
      <c r="N153" s="147"/>
      <c r="O153" s="158"/>
      <c r="P153" s="158"/>
      <c r="Q153" s="158"/>
      <c r="R153" s="173"/>
      <c r="S153" s="140"/>
    </row>
    <row r="154" spans="1:19" s="72" customFormat="1" ht="31.5" hidden="1">
      <c r="A154" s="185"/>
      <c r="B154" s="171" t="s">
        <v>151</v>
      </c>
      <c r="C154" s="172" t="s">
        <v>231</v>
      </c>
      <c r="D154" s="78"/>
      <c r="E154" s="158"/>
      <c r="F154" s="158"/>
      <c r="G154" s="158"/>
      <c r="H154" s="151"/>
      <c r="I154" s="238"/>
      <c r="J154" s="238"/>
      <c r="K154" s="158"/>
      <c r="L154" s="158"/>
      <c r="M154" s="147"/>
      <c r="N154" s="147"/>
      <c r="O154" s="158"/>
      <c r="P154" s="158"/>
      <c r="Q154" s="158"/>
      <c r="R154" s="173"/>
      <c r="S154" s="140"/>
    </row>
    <row r="155" spans="1:19" s="72" customFormat="1" ht="31.5" hidden="1">
      <c r="A155" s="185"/>
      <c r="B155" s="171" t="s">
        <v>151</v>
      </c>
      <c r="C155" s="172" t="s">
        <v>240</v>
      </c>
      <c r="D155" s="78"/>
      <c r="E155" s="158"/>
      <c r="F155" s="158"/>
      <c r="G155" s="158"/>
      <c r="H155" s="151"/>
      <c r="I155" s="238"/>
      <c r="J155" s="238"/>
      <c r="K155" s="158"/>
      <c r="L155" s="158"/>
      <c r="M155" s="147"/>
      <c r="N155" s="147"/>
      <c r="O155" s="158"/>
      <c r="P155" s="158"/>
      <c r="Q155" s="158"/>
      <c r="R155" s="173"/>
      <c r="S155" s="140"/>
    </row>
    <row r="156" spans="1:19" s="72" customFormat="1" ht="31.5" hidden="1">
      <c r="A156" s="185"/>
      <c r="B156" s="171" t="s">
        <v>138</v>
      </c>
      <c r="C156" s="172" t="s">
        <v>153</v>
      </c>
      <c r="D156" s="78"/>
      <c r="E156" s="158"/>
      <c r="F156" s="158"/>
      <c r="G156" s="158"/>
      <c r="H156" s="151"/>
      <c r="I156" s="238"/>
      <c r="J156" s="238"/>
      <c r="K156" s="158"/>
      <c r="L156" s="158"/>
      <c r="M156" s="147"/>
      <c r="N156" s="147"/>
      <c r="O156" s="158"/>
      <c r="P156" s="158"/>
      <c r="Q156" s="158"/>
      <c r="R156" s="173"/>
      <c r="S156" s="140">
        <v>56000</v>
      </c>
    </row>
    <row r="157" spans="1:19" s="72" customFormat="1" ht="18.75" hidden="1">
      <c r="A157" s="185"/>
      <c r="B157" s="171" t="s">
        <v>151</v>
      </c>
      <c r="C157" s="172" t="s">
        <v>169</v>
      </c>
      <c r="D157" s="78"/>
      <c r="E157" s="158"/>
      <c r="F157" s="158" t="s">
        <v>127</v>
      </c>
      <c r="G157" s="158" t="s">
        <v>127</v>
      </c>
      <c r="H157" s="151"/>
      <c r="I157" s="238"/>
      <c r="J157" s="238"/>
      <c r="K157" s="158"/>
      <c r="L157" s="158"/>
      <c r="M157" s="147"/>
      <c r="N157" s="147"/>
      <c r="O157" s="158"/>
      <c r="P157" s="158"/>
      <c r="Q157" s="158"/>
      <c r="R157" s="173"/>
      <c r="S157" s="140"/>
    </row>
    <row r="158" spans="1:19" s="183" customFormat="1" ht="18.75">
      <c r="A158" s="26"/>
      <c r="B158" s="3"/>
      <c r="C158" s="3"/>
      <c r="D158" s="3"/>
      <c r="E158" s="3"/>
      <c r="F158" s="3"/>
      <c r="G158" s="57" t="s">
        <v>94</v>
      </c>
      <c r="H158" s="230">
        <f>SUM(H38:H148)</f>
        <v>76893844.62955268</v>
      </c>
      <c r="I158" s="257"/>
      <c r="J158" s="257"/>
      <c r="K158" s="25"/>
      <c r="L158" s="3"/>
      <c r="M158" s="3"/>
      <c r="N158" s="3"/>
      <c r="O158" s="3"/>
      <c r="P158" s="25"/>
      <c r="Q158" s="25"/>
      <c r="R158" s="119"/>
      <c r="S158" s="119"/>
    </row>
    <row r="159" spans="1:17" ht="15.75">
      <c r="A159" s="299"/>
      <c r="B159" s="3"/>
      <c r="C159" s="3"/>
      <c r="D159" s="3"/>
      <c r="E159" s="3"/>
      <c r="F159" s="3"/>
      <c r="G159" s="57"/>
      <c r="H159" s="57"/>
      <c r="I159" s="240"/>
      <c r="J159" s="240"/>
      <c r="K159" s="25"/>
      <c r="L159" s="3"/>
      <c r="M159" s="3"/>
      <c r="N159" s="3"/>
      <c r="O159" s="3"/>
      <c r="P159" s="25"/>
      <c r="Q159" s="25"/>
    </row>
    <row r="160" spans="1:17" ht="15.75" customHeight="1">
      <c r="A160" s="761">
        <v>3</v>
      </c>
      <c r="B160" s="758" t="s">
        <v>9</v>
      </c>
      <c r="C160" s="758"/>
      <c r="D160" s="758"/>
      <c r="E160" s="758"/>
      <c r="F160" s="758"/>
      <c r="G160" s="758"/>
      <c r="H160" s="758"/>
      <c r="I160" s="758"/>
      <c r="J160" s="758"/>
      <c r="K160" s="758"/>
      <c r="L160" s="758"/>
      <c r="M160" s="758"/>
      <c r="N160" s="758"/>
      <c r="O160" s="758"/>
      <c r="P160" s="758"/>
      <c r="Q160" s="758"/>
    </row>
    <row r="161" spans="1:17" ht="15.75" customHeight="1">
      <c r="A161" s="761"/>
      <c r="B161" s="755" t="s">
        <v>108</v>
      </c>
      <c r="C161" s="759" t="s">
        <v>21</v>
      </c>
      <c r="D161" s="759" t="s">
        <v>243</v>
      </c>
      <c r="E161" s="759" t="s">
        <v>93</v>
      </c>
      <c r="F161" s="759" t="s">
        <v>41</v>
      </c>
      <c r="G161" s="759" t="s">
        <v>43</v>
      </c>
      <c r="H161" s="764"/>
      <c r="I161" s="764"/>
      <c r="J161" s="763"/>
      <c r="K161" s="759" t="s">
        <v>49</v>
      </c>
      <c r="L161" s="759" t="s">
        <v>48</v>
      </c>
      <c r="M161" s="762" t="s">
        <v>22</v>
      </c>
      <c r="N161" s="763"/>
      <c r="O161" s="759" t="s">
        <v>71</v>
      </c>
      <c r="P161" s="759" t="s">
        <v>47</v>
      </c>
      <c r="Q161" s="759" t="s">
        <v>13</v>
      </c>
    </row>
    <row r="162" spans="1:17" ht="64.5" customHeight="1">
      <c r="A162" s="761"/>
      <c r="B162" s="755"/>
      <c r="C162" s="760"/>
      <c r="D162" s="760"/>
      <c r="E162" s="760"/>
      <c r="F162" s="760"/>
      <c r="G162" s="760"/>
      <c r="H162" s="90" t="s">
        <v>123</v>
      </c>
      <c r="I162" s="236" t="s">
        <v>45</v>
      </c>
      <c r="J162" s="236" t="s">
        <v>44</v>
      </c>
      <c r="K162" s="760"/>
      <c r="L162" s="760"/>
      <c r="M162" s="296" t="s">
        <v>25</v>
      </c>
      <c r="N162" s="296" t="s">
        <v>7</v>
      </c>
      <c r="O162" s="760"/>
      <c r="P162" s="760"/>
      <c r="Q162" s="760"/>
    </row>
    <row r="163" spans="1:19" s="184" customFormat="1" ht="30" customHeight="1">
      <c r="A163" s="334" t="s">
        <v>164</v>
      </c>
      <c r="B163" s="326" t="s">
        <v>151</v>
      </c>
      <c r="C163" s="335" t="str">
        <f>VLOOKUP($D163,'PA - Por Componente'!$A$13:$Q$321,2,FALSE)</f>
        <v>Certificação das unidades Ambulatoriais</v>
      </c>
      <c r="D163" s="326" t="s">
        <v>224</v>
      </c>
      <c r="E163" s="326" t="str">
        <f>VLOOKUP($D163,'PA - Por Componente'!$A$13:$Q$321,5,FALSE)</f>
        <v>LPN</v>
      </c>
      <c r="F163" s="326">
        <v>0</v>
      </c>
      <c r="G163" s="326">
        <v>0</v>
      </c>
      <c r="H163" s="336">
        <f>VLOOKUP($D163,'PA - Por Componente'!$A$13:$Q$321,8,FALSE)</f>
        <v>330872</v>
      </c>
      <c r="I163" s="330">
        <f>VLOOKUP($D163,'PA - Por Componente'!$A$13:$Q$321,9,FALSE)</f>
        <v>1</v>
      </c>
      <c r="J163" s="330">
        <f>VLOOKUP($D163,'PA - Por Componente'!$A$13:$Q$321,10,FALSE)</f>
        <v>0</v>
      </c>
      <c r="K163" s="337" t="str">
        <f aca="true" t="shared" si="1" ref="K163:K172">LEFT(D163,1)</f>
        <v>1</v>
      </c>
      <c r="L163" s="326" t="str">
        <f>VLOOKUP($D163,'PA - Por Componente'!$A$13:$Q$321,12,FALSE)</f>
        <v>Ex-ante</v>
      </c>
      <c r="M163" s="332">
        <f>VLOOKUP($D163,'PA - Por Componente'!$A$13:$Q$321,13,FALSE)</f>
        <v>43009</v>
      </c>
      <c r="N163" s="332">
        <f>VLOOKUP($D163,'PA - Por Componente'!$A$13:$Q$321,14,FALSE)</f>
        <v>43221</v>
      </c>
      <c r="O163" s="326">
        <f>VLOOKUP($D163,'PA - Por Componente'!$A$13:$Q$321,15,FALSE)</f>
        <v>0</v>
      </c>
      <c r="P163" s="326" t="str">
        <f>VLOOKUP($D163,'PA - Por Componente'!$A$13:$Q$321,16,FALSE)</f>
        <v>BR11957</v>
      </c>
      <c r="Q163" s="326" t="str">
        <f>VLOOKUP($D163,'PA - Por Componente'!$A$13:$Q$321,17,FALSE)</f>
        <v>Contrato em Execução</v>
      </c>
      <c r="R163" s="309"/>
      <c r="S163" s="310"/>
    </row>
    <row r="164" spans="1:19" s="318" customFormat="1" ht="30" customHeight="1">
      <c r="A164" s="720" t="s">
        <v>167</v>
      </c>
      <c r="B164" s="720" t="s">
        <v>151</v>
      </c>
      <c r="C164" s="319" t="str">
        <f>VLOOKUP($D164,'PA - Por Componente'!$A$13:$Q$321,2,FALSE)</f>
        <v>Contratação de serviço de Impressão dos protocolos IAM e AVC</v>
      </c>
      <c r="D164" s="721" t="s">
        <v>671</v>
      </c>
      <c r="E164" s="720" t="str">
        <f>VLOOKUP($D164,'PA - Por Componente'!$A$13:$Q$321,5,FALSE)</f>
        <v>SN</v>
      </c>
      <c r="F164" s="134">
        <v>0</v>
      </c>
      <c r="G164" s="134">
        <v>0</v>
      </c>
      <c r="H164" s="722">
        <f>VLOOKUP($D164,'PA - Por Componente'!$A$13:$Q$321,8,FALSE)</f>
        <v>10000</v>
      </c>
      <c r="I164" s="723">
        <f>VLOOKUP($D164,'PA - Por Componente'!$A$13:$Q$321,9,FALSE)</f>
        <v>1</v>
      </c>
      <c r="J164" s="723">
        <f>VLOOKUP($D164,'PA - Por Componente'!$A$13:$Q$321,10,FALSE)</f>
        <v>0</v>
      </c>
      <c r="K164" s="721" t="str">
        <f>LEFT(D164,1)</f>
        <v>1</v>
      </c>
      <c r="L164" s="720" t="str">
        <f>VLOOKUP($D164,'PA - Por Componente'!$A$13:$Q$321,12,FALSE)</f>
        <v>Ex-post</v>
      </c>
      <c r="M164" s="724">
        <f>VLOOKUP($D164,'PA - Por Componente'!$A$13:$Q$321,13,FALSE)</f>
        <v>45001</v>
      </c>
      <c r="N164" s="724">
        <f>VLOOKUP($D164,'PA - Por Componente'!$A$13:$Q$321,14,FALSE)</f>
        <v>45185</v>
      </c>
      <c r="O164" s="720" t="str">
        <f>VLOOKUP($D164,'PA - Por Componente'!$A$13:$Q$321,15,FALSE)</f>
        <v>PE/ARP</v>
      </c>
      <c r="P164" s="720">
        <f>VLOOKUP($D164,'PA - Por Componente'!$A$13:$Q$321,16,FALSE)</f>
        <v>0</v>
      </c>
      <c r="Q164" s="720" t="str">
        <f>VLOOKUP($D164,'PA - Por Componente'!$A$13:$Q$321,17,FALSE)</f>
        <v>Processo em Curso</v>
      </c>
      <c r="S164" s="725"/>
    </row>
    <row r="165" spans="1:40" s="106" customFormat="1" ht="30" customHeight="1">
      <c r="A165" s="334" t="s">
        <v>168</v>
      </c>
      <c r="B165" s="326" t="s">
        <v>151</v>
      </c>
      <c r="C165" s="335" t="str">
        <f>VLOOKUP($D165,'PA - Por Componente'!$A$13:$Q$321,2,FALSE)</f>
        <v>Red Hat Enterprise Linux. JBOSS Enterprse Middleware e Red Hat Cloud Suite</v>
      </c>
      <c r="D165" s="326" t="s">
        <v>429</v>
      </c>
      <c r="E165" s="326" t="str">
        <f>VLOOKUP($D165,'PA - Por Componente'!$A$13:$Q$321,5,FALSE)</f>
        <v>SN</v>
      </c>
      <c r="F165" s="326">
        <v>0</v>
      </c>
      <c r="G165" s="326">
        <v>0</v>
      </c>
      <c r="H165" s="336">
        <f>VLOOKUP($D165,'PA - Por Componente'!$A$13:$Q$321,8,FALSE)</f>
        <v>174190.754257908</v>
      </c>
      <c r="I165" s="330">
        <f>VLOOKUP($D165,'PA - Por Componente'!$A$13:$Q$321,9,FALSE)</f>
        <v>1</v>
      </c>
      <c r="J165" s="330">
        <f>VLOOKUP($D165,'PA - Por Componente'!$A$13:$Q$321,10,FALSE)</f>
        <v>0</v>
      </c>
      <c r="K165" s="337" t="str">
        <f t="shared" si="1"/>
        <v>1</v>
      </c>
      <c r="L165" s="326" t="str">
        <f>VLOOKUP($D165,'PA - Por Componente'!$A$13:$Q$321,12,FALSE)</f>
        <v>Ex-post</v>
      </c>
      <c r="M165" s="332">
        <f>VLOOKUP($D165,'PA - Por Componente'!$A$13:$Q$321,13,FALSE)</f>
        <v>43770</v>
      </c>
      <c r="N165" s="332">
        <f>VLOOKUP($D165,'PA - Por Componente'!$A$13:$Q$321,14,FALSE)</f>
        <v>44075</v>
      </c>
      <c r="O165" s="326" t="str">
        <f>VLOOKUP($D165,'PA - Por Componente'!$A$13:$Q$321,15,FALSE)</f>
        <v>PE/ARP</v>
      </c>
      <c r="P165" s="326">
        <f>VLOOKUP($D165,'PA - Por Componente'!$A$13:$Q$321,16,FALSE)</f>
        <v>0</v>
      </c>
      <c r="Q165" s="326" t="str">
        <f>VLOOKUP($D165,'PA - Por Componente'!$A$13:$Q$321,17,FALSE)</f>
        <v>Contrato Concluído</v>
      </c>
      <c r="R165" s="98"/>
      <c r="S165" s="227"/>
      <c r="AK165" s="305"/>
      <c r="AM165" s="107"/>
      <c r="AN165" s="108"/>
    </row>
    <row r="166" spans="1:40" s="106" customFormat="1" ht="30" customHeight="1">
      <c r="A166" s="351" t="s">
        <v>199</v>
      </c>
      <c r="B166" s="326" t="s">
        <v>151</v>
      </c>
      <c r="C166" s="335" t="str">
        <f>VLOOKUP($D166,'PA - Por Componente'!$A$13:$Q$321,2,FALSE)</f>
        <v>Serviço em Produtos das Plataformas Red Hat</v>
      </c>
      <c r="D166" s="326" t="s">
        <v>430</v>
      </c>
      <c r="E166" s="326" t="str">
        <f>VLOOKUP($D166,'PA - Por Componente'!$A$13:$Q$321,5,FALSE)</f>
        <v>SN</v>
      </c>
      <c r="F166" s="326">
        <v>0</v>
      </c>
      <c r="G166" s="326">
        <v>0</v>
      </c>
      <c r="H166" s="336">
        <f>VLOOKUP($D166,'PA - Por Componente'!$A$13:$Q$321,8,FALSE)</f>
        <v>699804</v>
      </c>
      <c r="I166" s="330">
        <f>VLOOKUP($D166,'PA - Por Componente'!$A$13:$Q$321,9,FALSE)</f>
        <v>1</v>
      </c>
      <c r="J166" s="330">
        <f>VLOOKUP($D166,'PA - Por Componente'!$A$13:$Q$321,10,FALSE)</f>
        <v>0</v>
      </c>
      <c r="K166" s="337" t="str">
        <f t="shared" si="1"/>
        <v>1</v>
      </c>
      <c r="L166" s="326" t="str">
        <f>VLOOKUP($D166,'PA - Por Componente'!$A$13:$Q$321,12,FALSE)</f>
        <v>Ex-post</v>
      </c>
      <c r="M166" s="332">
        <f>VLOOKUP($D166,'PA - Por Componente'!$A$13:$Q$321,13,FALSE)</f>
        <v>43770</v>
      </c>
      <c r="N166" s="332">
        <f>VLOOKUP($D166,'PA - Por Componente'!$A$13:$Q$321,14,FALSE)</f>
        <v>44075</v>
      </c>
      <c r="O166" s="326" t="str">
        <f>VLOOKUP($D166,'PA - Por Componente'!$A$13:$Q$321,15,FALSE)</f>
        <v>PE/ARP</v>
      </c>
      <c r="P166" s="326">
        <f>VLOOKUP($D166,'PA - Por Componente'!$A$13:$Q$321,16,FALSE)</f>
        <v>0</v>
      </c>
      <c r="Q166" s="326" t="str">
        <f>VLOOKUP($D166,'PA - Por Componente'!$A$13:$Q$321,17,FALSE)</f>
        <v>Contrato em Execução</v>
      </c>
      <c r="R166" s="98"/>
      <c r="S166" s="227"/>
      <c r="AK166" s="305"/>
      <c r="AM166" s="107"/>
      <c r="AN166" s="108"/>
    </row>
    <row r="167" spans="1:40" s="133" customFormat="1" ht="30" customHeight="1">
      <c r="A167" s="334" t="s">
        <v>201</v>
      </c>
      <c r="B167" s="326" t="s">
        <v>151</v>
      </c>
      <c r="C167" s="335" t="str">
        <f>VLOOKUP($D167,'PA - Por Componente'!$A$13:$Q$321,2,FALSE)</f>
        <v>Red Hat Enterprise, Red Hat Middleware Portifólio e Red Hat Cloud Suite.</v>
      </c>
      <c r="D167" s="326" t="s">
        <v>431</v>
      </c>
      <c r="E167" s="326" t="str">
        <f>VLOOKUP($D167,'PA - Por Componente'!$A$13:$Q$321,5,FALSE)</f>
        <v>SN</v>
      </c>
      <c r="F167" s="326">
        <v>0</v>
      </c>
      <c r="G167" s="326">
        <v>0</v>
      </c>
      <c r="H167" s="336">
        <f>VLOOKUP($D167,'PA - Por Componente'!$A$13:$Q$321,8,FALSE)</f>
        <v>946724.4</v>
      </c>
      <c r="I167" s="330">
        <f>VLOOKUP($D167,'PA - Por Componente'!$A$13:$Q$321,9,FALSE)</f>
        <v>1</v>
      </c>
      <c r="J167" s="330">
        <f>VLOOKUP($D167,'PA - Por Componente'!$A$13:$Q$321,10,FALSE)</f>
        <v>0</v>
      </c>
      <c r="K167" s="337" t="str">
        <f>LEFT(D167,1)</f>
        <v>1</v>
      </c>
      <c r="L167" s="326" t="str">
        <f>VLOOKUP($D167,'PA - Por Componente'!$A$13:$Q$321,12,FALSE)</f>
        <v>Ex-post</v>
      </c>
      <c r="M167" s="332">
        <f>VLOOKUP($D167,'PA - Por Componente'!$A$13:$Q$321,13,FALSE)</f>
        <v>44896</v>
      </c>
      <c r="N167" s="332">
        <f>VLOOKUP($D167,'PA - Por Componente'!$A$13:$Q$321,14,FALSE)</f>
        <v>45231</v>
      </c>
      <c r="O167" s="326" t="str">
        <f>VLOOKUP($D167,'PA - Por Componente'!$A$13:$Q$321,15,FALSE)</f>
        <v>PE/ARP</v>
      </c>
      <c r="P167" s="326">
        <f>VLOOKUP($D167,'PA - Por Componente'!$A$13:$Q$321,16,FALSE)</f>
        <v>0</v>
      </c>
      <c r="Q167" s="326" t="str">
        <f>VLOOKUP($D167,'PA - Por Componente'!$A$13:$Q$321,17,FALSE)</f>
        <v>Processo em Curso</v>
      </c>
      <c r="R167" s="301"/>
      <c r="S167" s="304"/>
      <c r="AK167" s="109"/>
      <c r="AM167" s="135"/>
      <c r="AN167" s="136"/>
    </row>
    <row r="168" spans="1:40" s="106" customFormat="1" ht="30" customHeight="1">
      <c r="A168" s="351" t="s">
        <v>628</v>
      </c>
      <c r="B168" s="326" t="s">
        <v>151</v>
      </c>
      <c r="C168" s="335" t="str">
        <f>VLOOKUP($D168,'PA - Por Componente'!$A$13:$Q$321,2,FALSE)</f>
        <v>Aquisição de licenças </v>
      </c>
      <c r="D168" s="326" t="s">
        <v>325</v>
      </c>
      <c r="E168" s="326" t="str">
        <f>VLOOKUP($D168,'PA - Por Componente'!$A$13:$Q$321,5,FALSE)</f>
        <v>SN</v>
      </c>
      <c r="F168" s="326">
        <v>0</v>
      </c>
      <c r="G168" s="326">
        <v>0</v>
      </c>
      <c r="H168" s="336">
        <f>VLOOKUP($D168,'PA - Por Componente'!$A$13:$Q$321,8,FALSE)</f>
        <v>44378.70641025601</v>
      </c>
      <c r="I168" s="330">
        <f>VLOOKUP($D168,'PA - Por Componente'!$A$13:$Q$321,9,FALSE)</f>
        <v>1</v>
      </c>
      <c r="J168" s="330">
        <f>VLOOKUP($D168,'PA - Por Componente'!$A$13:$Q$321,10,FALSE)</f>
        <v>0</v>
      </c>
      <c r="K168" s="337" t="str">
        <f t="shared" si="1"/>
        <v>1</v>
      </c>
      <c r="L168" s="326" t="str">
        <f>VLOOKUP($D168,'PA - Por Componente'!$A$13:$Q$321,12,FALSE)</f>
        <v>Ex-post</v>
      </c>
      <c r="M168" s="332">
        <f>VLOOKUP($D168,'PA - Por Componente'!$A$13:$Q$321,13,FALSE)</f>
        <v>44136</v>
      </c>
      <c r="N168" s="332">
        <f>VLOOKUP($D168,'PA - Por Componente'!$A$13:$Q$321,14,FALSE)</f>
        <v>44228</v>
      </c>
      <c r="O168" s="326" t="str">
        <f>VLOOKUP($D168,'PA - Por Componente'!$A$13:$Q$321,15,FALSE)</f>
        <v>PE/ARP</v>
      </c>
      <c r="P168" s="326">
        <f>VLOOKUP($D168,'PA - Por Componente'!$A$13:$Q$321,16,FALSE)</f>
        <v>0</v>
      </c>
      <c r="Q168" s="326" t="str">
        <f>VLOOKUP($D168,'PA - Por Componente'!$A$13:$Q$321,17,FALSE)</f>
        <v>Contrato Concluído</v>
      </c>
      <c r="R168" s="98"/>
      <c r="S168" s="227"/>
      <c r="AK168" s="305"/>
      <c r="AM168" s="107"/>
      <c r="AN168" s="108"/>
    </row>
    <row r="169" spans="1:40" s="106" customFormat="1" ht="30" customHeight="1">
      <c r="A169" s="334" t="s">
        <v>634</v>
      </c>
      <c r="B169" s="326" t="s">
        <v>151</v>
      </c>
      <c r="C169" s="335" t="str">
        <f>VLOOKUP($D169,'PA - Por Componente'!$A$13:$Q$321,2,FALSE)</f>
        <v>Contratação de Serviço  de Software visando a implementação de Serviço em Nuvem</v>
      </c>
      <c r="D169" s="326" t="s">
        <v>639</v>
      </c>
      <c r="E169" s="326" t="str">
        <f>VLOOKUP($D169,'PA - Por Componente'!$A$13:$Q$321,5,FALSE)</f>
        <v>CD</v>
      </c>
      <c r="F169" s="326">
        <v>0</v>
      </c>
      <c r="G169" s="326">
        <v>0</v>
      </c>
      <c r="H169" s="336">
        <f>VLOOKUP($D169,'PA - Por Componente'!$A$13:$Q$321,8,FALSE)</f>
        <v>1398005.036</v>
      </c>
      <c r="I169" s="330">
        <f>VLOOKUP($D169,'PA - Por Componente'!$A$13:$Q$321,9,FALSE)</f>
        <v>1</v>
      </c>
      <c r="J169" s="330">
        <f>VLOOKUP($D169,'PA - Por Componente'!$A$13:$Q$321,10,FALSE)</f>
        <v>0</v>
      </c>
      <c r="K169" s="337" t="str">
        <f t="shared" si="1"/>
        <v>1</v>
      </c>
      <c r="L169" s="326" t="str">
        <f>VLOOKUP($D169,'PA - Por Componente'!$A$13:$Q$321,12,FALSE)</f>
        <v>Ex-ante</v>
      </c>
      <c r="M169" s="332">
        <f>VLOOKUP($D169,'PA - Por Componente'!$A$13:$Q$321,13,FALSE)</f>
        <v>44805</v>
      </c>
      <c r="N169" s="332">
        <f>VLOOKUP($D169,'PA - Por Componente'!$A$13:$Q$321,14,FALSE)</f>
        <v>45413</v>
      </c>
      <c r="O169" s="326">
        <f>VLOOKUP($D169,'PA - Por Componente'!$A$13:$Q$321,15,FALSE)</f>
        <v>0</v>
      </c>
      <c r="P169" s="326">
        <f>VLOOKUP($D169,'PA - Por Componente'!$A$13:$Q$321,16,FALSE)</f>
        <v>0</v>
      </c>
      <c r="Q169" s="326" t="str">
        <f>VLOOKUP($D169,'PA - Por Componente'!$A$13:$Q$321,17,FALSE)</f>
        <v>Processo em Curso</v>
      </c>
      <c r="R169" s="98"/>
      <c r="S169" s="227"/>
      <c r="AK169" s="305"/>
      <c r="AM169" s="107"/>
      <c r="AN169" s="108"/>
    </row>
    <row r="170" spans="1:40" s="106" customFormat="1" ht="30" customHeight="1">
      <c r="A170" s="351" t="s">
        <v>643</v>
      </c>
      <c r="B170" s="326" t="s">
        <v>151</v>
      </c>
      <c r="C170" s="335" t="str">
        <f>VLOOKUP($D170,'PA - Por Componente'!$A$13:$Q$321,2,FALSE)</f>
        <v>Contratação de Serviço de Software para atender as Unidades da Rede SESA</v>
      </c>
      <c r="D170" s="326" t="s">
        <v>640</v>
      </c>
      <c r="E170" s="326" t="str">
        <f>VLOOKUP($D170,'PA - Por Componente'!$A$13:$Q$321,5,FALSE)</f>
        <v>SN</v>
      </c>
      <c r="F170" s="326">
        <v>0</v>
      </c>
      <c r="G170" s="326">
        <v>0</v>
      </c>
      <c r="H170" s="336">
        <f>VLOOKUP($D170,'PA - Por Componente'!$A$13:$Q$321,8,FALSE)</f>
        <v>190194.95897286</v>
      </c>
      <c r="I170" s="330">
        <f>VLOOKUP($D170,'PA - Por Componente'!$A$13:$Q$321,9,FALSE)</f>
        <v>1</v>
      </c>
      <c r="J170" s="330">
        <f>VLOOKUP($D170,'PA - Por Componente'!$A$13:$Q$321,10,FALSE)</f>
        <v>0</v>
      </c>
      <c r="K170" s="337" t="str">
        <f t="shared" si="1"/>
        <v>1</v>
      </c>
      <c r="L170" s="326" t="str">
        <f>VLOOKUP($D170,'PA - Por Componente'!$A$13:$Q$321,12,FALSE)</f>
        <v>Ex-ante</v>
      </c>
      <c r="M170" s="332">
        <f>VLOOKUP($D170,'PA - Por Componente'!$A$13:$Q$321,13,FALSE)</f>
        <v>44805</v>
      </c>
      <c r="N170" s="332">
        <f>VLOOKUP($D170,'PA - Por Componente'!$A$13:$Q$321,14,FALSE)</f>
        <v>45231</v>
      </c>
      <c r="O170" s="326" t="str">
        <f>VLOOKUP($D170,'PA - Por Componente'!$A$13:$Q$321,15,FALSE)</f>
        <v>PE/ARP</v>
      </c>
      <c r="P170" s="326">
        <f>VLOOKUP($D170,'PA - Por Componente'!$A$13:$Q$321,16,FALSE)</f>
        <v>0</v>
      </c>
      <c r="Q170" s="326" t="str">
        <f>VLOOKUP($D170,'PA - Por Componente'!$A$13:$Q$321,17,FALSE)</f>
        <v>Processo em Curso</v>
      </c>
      <c r="R170" s="98"/>
      <c r="S170" s="227"/>
      <c r="AK170" s="305"/>
      <c r="AM170" s="107"/>
      <c r="AN170" s="108"/>
    </row>
    <row r="171" spans="1:40" s="339" customFormat="1" ht="30" customHeight="1">
      <c r="A171" s="710" t="s">
        <v>644</v>
      </c>
      <c r="B171" s="320" t="s">
        <v>151</v>
      </c>
      <c r="C171" s="711" t="str">
        <f>VLOOKUP($D171,'PA - Por Componente'!$A$13:$Q$321,2,FALSE)</f>
        <v>Aquisição de licenças ANTIVIRUS</v>
      </c>
      <c r="D171" s="320" t="s">
        <v>641</v>
      </c>
      <c r="E171" s="320" t="str">
        <f>VLOOKUP($D171,'PA - Por Componente'!$A$13:$Q$321,5,FALSE)</f>
        <v>SN</v>
      </c>
      <c r="F171" s="320">
        <v>0</v>
      </c>
      <c r="G171" s="320">
        <v>0</v>
      </c>
      <c r="H171" s="712">
        <f>VLOOKUP($D171,'PA - Por Componente'!$A$13:$Q$321,8,FALSE)</f>
        <v>114400</v>
      </c>
      <c r="I171" s="619">
        <f>VLOOKUP($D171,'PA - Por Componente'!$A$13:$Q$321,9,FALSE)</f>
        <v>1</v>
      </c>
      <c r="J171" s="619">
        <f>VLOOKUP($D171,'PA - Por Componente'!$A$13:$Q$321,10,FALSE)</f>
        <v>0</v>
      </c>
      <c r="K171" s="713" t="str">
        <f>LEFT(D171,1)</f>
        <v>1</v>
      </c>
      <c r="L171" s="320" t="str">
        <f>VLOOKUP($D171,'PA - Por Componente'!$A$13:$Q$321,12,FALSE)</f>
        <v>Ex-ante</v>
      </c>
      <c r="M171" s="620">
        <f>VLOOKUP($D171,'PA - Por Componente'!$A$13:$Q$321,13,FALSE)</f>
        <v>45064</v>
      </c>
      <c r="N171" s="620">
        <f>VLOOKUP($D171,'PA - Por Componente'!$A$13:$Q$321,14,FALSE)</f>
        <v>45430</v>
      </c>
      <c r="O171" s="320" t="str">
        <f>VLOOKUP($D171,'PA - Por Componente'!$A$13:$Q$321,15,FALSE)</f>
        <v>PE/ARP</v>
      </c>
      <c r="P171" s="320">
        <f>VLOOKUP($D171,'PA - Por Componente'!$A$13:$Q$321,16,FALSE)</f>
        <v>0</v>
      </c>
      <c r="Q171" s="320" t="str">
        <f>VLOOKUP($D171,'PA - Por Componente'!$A$13:$Q$321,17,FALSE)</f>
        <v>Nova Licitação</v>
      </c>
      <c r="R171" s="638"/>
      <c r="S171" s="525"/>
      <c r="AK171" s="714"/>
      <c r="AM171" s="715"/>
      <c r="AN171" s="716"/>
    </row>
    <row r="172" spans="1:40" s="106" customFormat="1" ht="36" customHeight="1">
      <c r="A172" s="351" t="s">
        <v>686</v>
      </c>
      <c r="B172" s="326" t="s">
        <v>151</v>
      </c>
      <c r="C172" s="335" t="str">
        <f>VLOOKUP($D172,'PA - Por Componente'!$A$13:$Q$321,2,FALSE)</f>
        <v> Gestão do Hospital Regional do Cariri (HRC) e do Hospital Regional Norte (HRN)  da REDE SESA</v>
      </c>
      <c r="D172" s="351" t="s">
        <v>193</v>
      </c>
      <c r="E172" s="326" t="str">
        <f>VLOOKUP($D172,'PA - Por Componente'!$A$13:$Q$321,5,FALSE)</f>
        <v>SN</v>
      </c>
      <c r="F172" s="326">
        <v>0</v>
      </c>
      <c r="G172" s="326">
        <v>0</v>
      </c>
      <c r="H172" s="336">
        <f>VLOOKUP($D172,'PA - Por Componente'!$A$13:$Q$321,8,FALSE)</f>
        <v>55500000</v>
      </c>
      <c r="I172" s="330">
        <f>VLOOKUP($D172,'PA - Por Componente'!$A$13:$Q$321,9,FALSE)</f>
        <v>0</v>
      </c>
      <c r="J172" s="330">
        <f>VLOOKUP($D172,'PA - Por Componente'!$A$13:$Q$321,10,FALSE)</f>
        <v>1</v>
      </c>
      <c r="K172" s="337" t="str">
        <f t="shared" si="1"/>
        <v>2</v>
      </c>
      <c r="L172" s="326" t="str">
        <f>VLOOKUP($D172,'PA - Por Componente'!$A$13:$Q$321,12,FALSE)</f>
        <v>Ex-post</v>
      </c>
      <c r="M172" s="332">
        <f>VLOOKUP($D172,'PA - Por Componente'!$A$13:$Q$321,13,FALSE)</f>
        <v>44166</v>
      </c>
      <c r="N172" s="332">
        <f>VLOOKUP($D172,'PA - Por Componente'!$A$13:$Q$321,14,FALSE)</f>
        <v>44197</v>
      </c>
      <c r="O172" s="326" t="str">
        <f>VLOOKUP($D172,'PA - Por Componente'!$A$13:$Q$321,15,FALSE)</f>
        <v>Convênios</v>
      </c>
      <c r="P172" s="326">
        <f>VLOOKUP($D172,'PA - Por Componente'!$A$13:$Q$321,16,FALSE)</f>
        <v>0</v>
      </c>
      <c r="Q172" s="326" t="str">
        <f>VLOOKUP($D172,'PA - Por Componente'!$A$13:$Q$321,17,FALSE)</f>
        <v>Contrato Concluído</v>
      </c>
      <c r="R172" s="98"/>
      <c r="S172" s="227"/>
      <c r="AK172" s="305"/>
      <c r="AM172" s="107"/>
      <c r="AN172" s="108"/>
    </row>
    <row r="173" spans="1:40" s="114" customFormat="1" ht="54" customHeight="1" hidden="1">
      <c r="A173" s="171"/>
      <c r="B173" s="78" t="s">
        <v>151</v>
      </c>
      <c r="C173" s="174" t="s">
        <v>648</v>
      </c>
      <c r="D173" s="78"/>
      <c r="E173" s="78" t="s">
        <v>149</v>
      </c>
      <c r="F173" s="78"/>
      <c r="G173" s="78"/>
      <c r="H173" s="219"/>
      <c r="I173" s="259"/>
      <c r="J173" s="259"/>
      <c r="K173" s="196"/>
      <c r="L173" s="78"/>
      <c r="M173" s="146"/>
      <c r="N173" s="146"/>
      <c r="O173" s="78" t="s">
        <v>676</v>
      </c>
      <c r="P173" s="78"/>
      <c r="Q173" s="78" t="s">
        <v>632</v>
      </c>
      <c r="R173" s="176"/>
      <c r="S173" s="149"/>
      <c r="AK173" s="141"/>
      <c r="AM173" s="142"/>
      <c r="AN173" s="143"/>
    </row>
    <row r="174" spans="1:40" s="114" customFormat="1" ht="42" customHeight="1" hidden="1">
      <c r="A174" s="171"/>
      <c r="B174" s="78" t="s">
        <v>151</v>
      </c>
      <c r="C174" s="174" t="s">
        <v>402</v>
      </c>
      <c r="D174" s="158"/>
      <c r="E174" s="78" t="s">
        <v>149</v>
      </c>
      <c r="F174" s="78"/>
      <c r="G174" s="78"/>
      <c r="H174" s="219"/>
      <c r="I174" s="259"/>
      <c r="J174" s="259"/>
      <c r="K174" s="196"/>
      <c r="L174" s="78"/>
      <c r="M174" s="146"/>
      <c r="N174" s="146"/>
      <c r="O174" s="78" t="s">
        <v>654</v>
      </c>
      <c r="P174" s="78"/>
      <c r="Q174" s="78" t="s">
        <v>632</v>
      </c>
      <c r="R174" s="176"/>
      <c r="S174" s="149"/>
      <c r="AK174" s="141"/>
      <c r="AM174" s="142"/>
      <c r="AN174" s="143"/>
    </row>
    <row r="175" spans="1:40" s="106" customFormat="1" ht="42" customHeight="1" hidden="1">
      <c r="A175" s="67"/>
      <c r="B175" s="171" t="s">
        <v>138</v>
      </c>
      <c r="C175" s="174" t="s">
        <v>294</v>
      </c>
      <c r="D175" s="78" t="s">
        <v>259</v>
      </c>
      <c r="E175" s="78" t="s">
        <v>182</v>
      </c>
      <c r="F175" s="78"/>
      <c r="G175" s="78"/>
      <c r="H175" s="219"/>
      <c r="I175" s="259"/>
      <c r="J175" s="259"/>
      <c r="K175" s="196"/>
      <c r="L175" s="78"/>
      <c r="M175" s="146"/>
      <c r="N175" s="146"/>
      <c r="O175" s="78"/>
      <c r="P175" s="78"/>
      <c r="Q175" s="78" t="s">
        <v>597</v>
      </c>
      <c r="R175" s="98"/>
      <c r="S175" s="227"/>
      <c r="AK175" s="305"/>
      <c r="AM175" s="107"/>
      <c r="AN175" s="108"/>
    </row>
    <row r="176" spans="1:40" s="106" customFormat="1" ht="42" customHeight="1" hidden="1">
      <c r="A176" s="67"/>
      <c r="B176" s="171" t="s">
        <v>138</v>
      </c>
      <c r="C176" s="174" t="s">
        <v>397</v>
      </c>
      <c r="D176" s="158" t="s">
        <v>484</v>
      </c>
      <c r="E176" s="78" t="s">
        <v>182</v>
      </c>
      <c r="F176" s="78"/>
      <c r="G176" s="78"/>
      <c r="H176" s="219"/>
      <c r="I176" s="259"/>
      <c r="J176" s="259"/>
      <c r="K176" s="196"/>
      <c r="L176" s="78"/>
      <c r="M176" s="146"/>
      <c r="N176" s="146"/>
      <c r="O176" s="78"/>
      <c r="P176" s="78"/>
      <c r="Q176" s="78" t="s">
        <v>597</v>
      </c>
      <c r="R176" s="98"/>
      <c r="S176" s="227"/>
      <c r="AK176" s="305"/>
      <c r="AM176" s="107"/>
      <c r="AN176" s="108"/>
    </row>
    <row r="177" spans="1:40" s="184" customFormat="1" ht="42" customHeight="1" hidden="1">
      <c r="A177" s="67"/>
      <c r="B177" s="185"/>
      <c r="C177" s="174" t="s">
        <v>288</v>
      </c>
      <c r="D177" s="322"/>
      <c r="E177" s="185"/>
      <c r="F177" s="185"/>
      <c r="G177" s="185"/>
      <c r="H177" s="302"/>
      <c r="I177" s="259">
        <v>1</v>
      </c>
      <c r="J177" s="259">
        <v>0</v>
      </c>
      <c r="K177" s="303"/>
      <c r="L177" s="185"/>
      <c r="M177" s="94"/>
      <c r="N177" s="94"/>
      <c r="O177" s="185"/>
      <c r="P177" s="185"/>
      <c r="Q177" s="78" t="s">
        <v>503</v>
      </c>
      <c r="R177" s="309"/>
      <c r="S177" s="310"/>
      <c r="AK177" s="306"/>
      <c r="AM177" s="307"/>
      <c r="AN177" s="308"/>
    </row>
    <row r="178" spans="1:40" s="184" customFormat="1" ht="42" customHeight="1" hidden="1">
      <c r="A178" s="67"/>
      <c r="B178" s="185"/>
      <c r="C178" s="174" t="s">
        <v>290</v>
      </c>
      <c r="D178" s="322"/>
      <c r="E178" s="185"/>
      <c r="F178" s="185"/>
      <c r="G178" s="185"/>
      <c r="H178" s="302"/>
      <c r="I178" s="259">
        <v>0</v>
      </c>
      <c r="J178" s="259">
        <v>1</v>
      </c>
      <c r="K178" s="303"/>
      <c r="L178" s="185"/>
      <c r="M178" s="94"/>
      <c r="N178" s="94"/>
      <c r="O178" s="185"/>
      <c r="P178" s="185"/>
      <c r="Q178" s="78" t="s">
        <v>503</v>
      </c>
      <c r="R178" s="309"/>
      <c r="S178" s="310"/>
      <c r="AK178" s="306"/>
      <c r="AM178" s="307"/>
      <c r="AN178" s="308"/>
    </row>
    <row r="179" spans="1:40" s="133" customFormat="1" ht="42" customHeight="1" hidden="1">
      <c r="A179" s="170"/>
      <c r="B179" s="134"/>
      <c r="C179" s="174" t="s">
        <v>326</v>
      </c>
      <c r="D179" s="174"/>
      <c r="E179" s="134"/>
      <c r="F179" s="134"/>
      <c r="G179" s="134"/>
      <c r="H179" s="323"/>
      <c r="I179" s="259">
        <v>1</v>
      </c>
      <c r="J179" s="259">
        <v>0</v>
      </c>
      <c r="K179" s="324"/>
      <c r="L179" s="134"/>
      <c r="M179" s="312"/>
      <c r="N179" s="312"/>
      <c r="O179" s="134"/>
      <c r="P179" s="134"/>
      <c r="Q179" s="78" t="s">
        <v>503</v>
      </c>
      <c r="R179" s="301"/>
      <c r="S179" s="304"/>
      <c r="AK179" s="109"/>
      <c r="AM179" s="135"/>
      <c r="AN179" s="136"/>
    </row>
    <row r="180" spans="1:40" s="184" customFormat="1" ht="42" customHeight="1" hidden="1">
      <c r="A180" s="67"/>
      <c r="B180" s="185"/>
      <c r="C180" s="174" t="s">
        <v>327</v>
      </c>
      <c r="D180" s="174"/>
      <c r="E180" s="185"/>
      <c r="F180" s="185"/>
      <c r="G180" s="185"/>
      <c r="H180" s="302"/>
      <c r="I180" s="259">
        <v>1</v>
      </c>
      <c r="J180" s="259">
        <v>0</v>
      </c>
      <c r="K180" s="303"/>
      <c r="L180" s="185"/>
      <c r="M180" s="94"/>
      <c r="N180" s="94"/>
      <c r="O180" s="185"/>
      <c r="P180" s="185"/>
      <c r="Q180" s="78" t="s">
        <v>503</v>
      </c>
      <c r="R180" s="309"/>
      <c r="S180" s="310"/>
      <c r="AK180" s="306"/>
      <c r="AM180" s="307"/>
      <c r="AN180" s="308"/>
    </row>
    <row r="181" spans="1:19" s="184" customFormat="1" ht="37.5" customHeight="1" hidden="1">
      <c r="A181" s="67"/>
      <c r="B181" s="185"/>
      <c r="C181" s="174" t="s">
        <v>328</v>
      </c>
      <c r="D181" s="174"/>
      <c r="E181" s="185"/>
      <c r="F181" s="185"/>
      <c r="G181" s="185"/>
      <c r="H181" s="302"/>
      <c r="I181" s="259">
        <v>1</v>
      </c>
      <c r="J181" s="259">
        <v>0</v>
      </c>
      <c r="K181" s="303"/>
      <c r="L181" s="185"/>
      <c r="M181" s="94"/>
      <c r="N181" s="94"/>
      <c r="O181" s="185"/>
      <c r="P181" s="185"/>
      <c r="Q181" s="78" t="s">
        <v>503</v>
      </c>
      <c r="R181" s="309"/>
      <c r="S181" s="310"/>
    </row>
    <row r="182" spans="1:19" s="184" customFormat="1" ht="37.5" customHeight="1" hidden="1">
      <c r="A182" s="67"/>
      <c r="B182" s="185"/>
      <c r="C182" s="174" t="s">
        <v>349</v>
      </c>
      <c r="D182" s="174"/>
      <c r="E182" s="185"/>
      <c r="F182" s="185"/>
      <c r="G182" s="185"/>
      <c r="H182" s="302"/>
      <c r="I182" s="259">
        <v>1</v>
      </c>
      <c r="J182" s="259">
        <v>0</v>
      </c>
      <c r="K182" s="303"/>
      <c r="L182" s="185"/>
      <c r="M182" s="94"/>
      <c r="N182" s="94"/>
      <c r="O182" s="185"/>
      <c r="P182" s="185"/>
      <c r="Q182" s="78" t="s">
        <v>503</v>
      </c>
      <c r="R182" s="309"/>
      <c r="S182" s="310"/>
    </row>
    <row r="183" spans="1:19" s="184" customFormat="1" ht="37.5" customHeight="1" hidden="1">
      <c r="A183" s="67"/>
      <c r="B183" s="185"/>
      <c r="C183" s="174" t="s">
        <v>351</v>
      </c>
      <c r="D183" s="322"/>
      <c r="E183" s="185"/>
      <c r="F183" s="185"/>
      <c r="G183" s="185"/>
      <c r="H183" s="302"/>
      <c r="I183" s="259">
        <v>0</v>
      </c>
      <c r="J183" s="259">
        <v>1</v>
      </c>
      <c r="K183" s="303"/>
      <c r="L183" s="185"/>
      <c r="M183" s="94"/>
      <c r="N183" s="94"/>
      <c r="O183" s="185"/>
      <c r="P183" s="185"/>
      <c r="Q183" s="78" t="s">
        <v>503</v>
      </c>
      <c r="S183" s="186"/>
    </row>
    <row r="184" spans="1:19" s="184" customFormat="1" ht="37.5" customHeight="1" hidden="1">
      <c r="A184" s="185"/>
      <c r="B184" s="185"/>
      <c r="C184" s="174" t="s">
        <v>295</v>
      </c>
      <c r="D184" s="322"/>
      <c r="E184" s="185"/>
      <c r="F184" s="185"/>
      <c r="G184" s="185"/>
      <c r="H184" s="302"/>
      <c r="I184" s="259">
        <v>0</v>
      </c>
      <c r="J184" s="259">
        <v>1</v>
      </c>
      <c r="K184" s="303"/>
      <c r="L184" s="185"/>
      <c r="M184" s="94"/>
      <c r="N184" s="94"/>
      <c r="O184" s="185"/>
      <c r="P184" s="185"/>
      <c r="Q184" s="78" t="s">
        <v>503</v>
      </c>
      <c r="S184" s="310"/>
    </row>
    <row r="185" spans="1:19" s="184" customFormat="1" ht="37.5" customHeight="1" hidden="1">
      <c r="A185" s="185"/>
      <c r="B185" s="78" t="s">
        <v>151</v>
      </c>
      <c r="C185" s="174" t="s">
        <v>349</v>
      </c>
      <c r="D185" s="78"/>
      <c r="E185" s="78" t="s">
        <v>149</v>
      </c>
      <c r="F185" s="78"/>
      <c r="G185" s="78"/>
      <c r="H185" s="219"/>
      <c r="I185" s="259"/>
      <c r="J185" s="259"/>
      <c r="K185" s="196"/>
      <c r="L185" s="78"/>
      <c r="M185" s="146"/>
      <c r="N185" s="146"/>
      <c r="O185" s="78"/>
      <c r="P185" s="78"/>
      <c r="Q185" s="78"/>
      <c r="S185" s="310"/>
    </row>
    <row r="186" spans="1:19" s="183" customFormat="1" ht="37.5" customHeight="1" hidden="1">
      <c r="A186" s="78"/>
      <c r="B186" s="228" t="s">
        <v>138</v>
      </c>
      <c r="C186" s="174" t="s">
        <v>215</v>
      </c>
      <c r="D186" s="158"/>
      <c r="E186" s="78"/>
      <c r="F186" s="78"/>
      <c r="G186" s="78"/>
      <c r="H186" s="179"/>
      <c r="I186" s="241"/>
      <c r="J186" s="241"/>
      <c r="K186" s="145"/>
      <c r="L186" s="158"/>
      <c r="M186" s="297"/>
      <c r="N186" s="297"/>
      <c r="O186" s="144"/>
      <c r="P186" s="297"/>
      <c r="Q186" s="185" t="e">
        <v>#N/A</v>
      </c>
      <c r="S186" s="182"/>
    </row>
    <row r="187" spans="1:19" s="72" customFormat="1" ht="37.5" customHeight="1" hidden="1">
      <c r="A187" s="78"/>
      <c r="B187" s="175" t="s">
        <v>151</v>
      </c>
      <c r="C187" s="175" t="s">
        <v>222</v>
      </c>
      <c r="D187" s="78"/>
      <c r="E187" s="175"/>
      <c r="F187" s="175"/>
      <c r="G187" s="175"/>
      <c r="H187" s="151"/>
      <c r="I187" s="242"/>
      <c r="J187" s="242"/>
      <c r="K187" s="175"/>
      <c r="L187" s="175"/>
      <c r="M187" s="175"/>
      <c r="N187" s="175"/>
      <c r="O187" s="175"/>
      <c r="P187" s="175"/>
      <c r="Q187" s="185" t="e">
        <v>#N/A</v>
      </c>
      <c r="R187" s="176"/>
      <c r="S187" s="140"/>
    </row>
    <row r="188" spans="1:19" s="72" customFormat="1" ht="38.25" customHeight="1" hidden="1">
      <c r="A188" s="78"/>
      <c r="B188" s="175" t="s">
        <v>151</v>
      </c>
      <c r="C188" s="175" t="s">
        <v>223</v>
      </c>
      <c r="D188" s="78"/>
      <c r="E188" s="175"/>
      <c r="F188" s="175"/>
      <c r="G188" s="175"/>
      <c r="H188" s="151"/>
      <c r="I188" s="242"/>
      <c r="J188" s="242"/>
      <c r="K188" s="175"/>
      <c r="L188" s="175"/>
      <c r="M188" s="175"/>
      <c r="N188" s="175"/>
      <c r="O188" s="175"/>
      <c r="P188" s="175"/>
      <c r="Q188" s="185" t="e">
        <v>#N/A</v>
      </c>
      <c r="R188" s="176"/>
      <c r="S188" s="140"/>
    </row>
    <row r="189" spans="1:40" s="114" customFormat="1" ht="38.25" customHeight="1" hidden="1">
      <c r="A189" s="171"/>
      <c r="B189" s="78" t="s">
        <v>151</v>
      </c>
      <c r="C189" s="174" t="s">
        <v>434</v>
      </c>
      <c r="D189" s="78" t="s">
        <v>431</v>
      </c>
      <c r="E189" s="78" t="e">
        <v>#N/A</v>
      </c>
      <c r="F189" s="78"/>
      <c r="G189" s="78"/>
      <c r="H189" s="219"/>
      <c r="I189" s="259"/>
      <c r="J189" s="259"/>
      <c r="K189" s="196"/>
      <c r="L189" s="78"/>
      <c r="M189" s="146"/>
      <c r="N189" s="146"/>
      <c r="O189" s="78"/>
      <c r="P189" s="78"/>
      <c r="Q189" s="78"/>
      <c r="R189" s="176"/>
      <c r="S189" s="149"/>
      <c r="AK189" s="141"/>
      <c r="AM189" s="142"/>
      <c r="AN189" s="143"/>
    </row>
    <row r="190" spans="1:40" s="114" customFormat="1" ht="30" customHeight="1">
      <c r="A190" s="406"/>
      <c r="B190" s="407"/>
      <c r="D190" s="407"/>
      <c r="E190" s="407"/>
      <c r="F190" s="407"/>
      <c r="G190" s="407"/>
      <c r="H190" s="128">
        <f>SUM(H163:H189)</f>
        <v>59408569.85564102</v>
      </c>
      <c r="I190" s="408"/>
      <c r="J190" s="408"/>
      <c r="K190" s="409"/>
      <c r="L190" s="407"/>
      <c r="M190" s="410"/>
      <c r="N190" s="410"/>
      <c r="O190" s="407"/>
      <c r="P190" s="407"/>
      <c r="Q190" s="407"/>
      <c r="R190" s="176"/>
      <c r="S190" s="149"/>
      <c r="AK190" s="411"/>
      <c r="AM190" s="142"/>
      <c r="AN190" s="143"/>
    </row>
    <row r="191" spans="1:19" s="75" customFormat="1" ht="15.75">
      <c r="A191" s="26"/>
      <c r="B191" s="42"/>
      <c r="C191" s="43"/>
      <c r="D191" s="44"/>
      <c r="E191" s="45"/>
      <c r="F191" s="45"/>
      <c r="G191" s="25"/>
      <c r="H191" s="49"/>
      <c r="I191" s="243"/>
      <c r="J191" s="243"/>
      <c r="K191" s="46"/>
      <c r="L191" s="47"/>
      <c r="M191" s="47"/>
      <c r="N191" s="48"/>
      <c r="O191" s="46"/>
      <c r="P191" s="46"/>
      <c r="Q191" s="45"/>
      <c r="R191" s="58"/>
      <c r="S191" s="58"/>
    </row>
    <row r="192" spans="1:17" ht="15.75">
      <c r="A192" s="761">
        <v>4</v>
      </c>
      <c r="B192" s="754" t="s">
        <v>10</v>
      </c>
      <c r="C192" s="754"/>
      <c r="D192" s="754"/>
      <c r="E192" s="754"/>
      <c r="F192" s="754"/>
      <c r="G192" s="754"/>
      <c r="H192" s="754"/>
      <c r="I192" s="754"/>
      <c r="J192" s="754"/>
      <c r="K192" s="754"/>
      <c r="L192" s="754"/>
      <c r="M192" s="754"/>
      <c r="N192" s="754"/>
      <c r="O192" s="754"/>
      <c r="P192" s="754"/>
      <c r="Q192" s="754"/>
    </row>
    <row r="193" spans="1:17" ht="15" customHeight="1">
      <c r="A193" s="761"/>
      <c r="B193" s="755" t="s">
        <v>108</v>
      </c>
      <c r="C193" s="755" t="s">
        <v>21</v>
      </c>
      <c r="D193" s="755" t="s">
        <v>243</v>
      </c>
      <c r="E193" s="755" t="s">
        <v>93</v>
      </c>
      <c r="F193" s="754"/>
      <c r="G193" s="754"/>
      <c r="H193" s="755"/>
      <c r="I193" s="755"/>
      <c r="J193" s="755"/>
      <c r="K193" s="755" t="s">
        <v>49</v>
      </c>
      <c r="L193" s="755" t="s">
        <v>48</v>
      </c>
      <c r="M193" s="755" t="s">
        <v>22</v>
      </c>
      <c r="N193" s="755"/>
      <c r="O193" s="755" t="s">
        <v>71</v>
      </c>
      <c r="P193" s="755" t="s">
        <v>47</v>
      </c>
      <c r="Q193" s="755" t="s">
        <v>13</v>
      </c>
    </row>
    <row r="194" spans="1:17" ht="47.25">
      <c r="A194" s="761"/>
      <c r="B194" s="755"/>
      <c r="C194" s="755"/>
      <c r="D194" s="755"/>
      <c r="E194" s="755"/>
      <c r="F194" s="762" t="s">
        <v>43</v>
      </c>
      <c r="G194" s="763"/>
      <c r="H194" s="90" t="s">
        <v>248</v>
      </c>
      <c r="I194" s="236" t="s">
        <v>45</v>
      </c>
      <c r="J194" s="236" t="s">
        <v>44</v>
      </c>
      <c r="K194" s="755"/>
      <c r="L194" s="755"/>
      <c r="M194" s="296" t="s">
        <v>17</v>
      </c>
      <c r="N194" s="296" t="s">
        <v>7</v>
      </c>
      <c r="O194" s="755"/>
      <c r="P194" s="755"/>
      <c r="Q194" s="755"/>
    </row>
    <row r="195" spans="1:19" s="106" customFormat="1" ht="30" customHeight="1">
      <c r="A195" s="334" t="s">
        <v>88</v>
      </c>
      <c r="B195" s="326" t="s">
        <v>151</v>
      </c>
      <c r="C195" s="335" t="str">
        <f>VLOOKUP($D195,'PA - Por Componente'!$A$13:$Q$321,2,FALSE)</f>
        <v>Projeto de Reforma do Sistema de Saúde</v>
      </c>
      <c r="D195" s="326" t="s">
        <v>180</v>
      </c>
      <c r="E195" s="326" t="str">
        <f>VLOOKUP($D195,'PA - Por Componente'!$A$13:$Q$321,5,FALSE)</f>
        <v>CD</v>
      </c>
      <c r="F195" s="742">
        <v>0</v>
      </c>
      <c r="G195" s="743">
        <v>0</v>
      </c>
      <c r="H195" s="336">
        <f>VLOOKUP($D195,'PA - Por Componente'!$A$13:$Q$321,8,FALSE)</f>
        <v>34814.91</v>
      </c>
      <c r="I195" s="421">
        <f>VLOOKUP($D195,'PA - Por Componente'!$A$13:$Q$321,9,FALSE)</f>
        <v>1</v>
      </c>
      <c r="J195" s="421">
        <f>VLOOKUP($D195,'PA - Por Componente'!$A$13:$Q$321,10,FALSE)</f>
        <v>0</v>
      </c>
      <c r="K195" s="452" t="str">
        <f aca="true" t="shared" si="2" ref="K195:K204">LEFT(D195,1)</f>
        <v>1</v>
      </c>
      <c r="L195" s="326" t="str">
        <f>VLOOKUP($D195,'PA - Por Componente'!$A$13:$Q$321,12,FALSE)</f>
        <v>Ex-ante</v>
      </c>
      <c r="M195" s="332">
        <f>VLOOKUP($D195,'PA - Por Componente'!$A$13:$Q$321,13,FALSE)</f>
        <v>43282</v>
      </c>
      <c r="N195" s="332">
        <f>VLOOKUP($D195,'PA - Por Componente'!$A$13:$Q$321,14,FALSE)</f>
        <v>43405</v>
      </c>
      <c r="O195" s="326">
        <f>VLOOKUP($D195,'PA - Por Componente'!$A$13:$Q$321,15,FALSE)</f>
        <v>0</v>
      </c>
      <c r="P195" s="326" t="str">
        <f>VLOOKUP($D195,'PA - Por Componente'!$A$13:$Q$321,16,FALSE)</f>
        <v>BR12039</v>
      </c>
      <c r="Q195" s="326" t="str">
        <f>VLOOKUP($D195,'PA - Por Componente'!$A$13:$Q$321,17,FALSE)</f>
        <v>Contrato Concluido</v>
      </c>
      <c r="S195" s="399"/>
    </row>
    <row r="196" spans="1:19" s="133" customFormat="1" ht="30" customHeight="1">
      <c r="A196" s="334" t="s">
        <v>89</v>
      </c>
      <c r="B196" s="326" t="s">
        <v>151</v>
      </c>
      <c r="C196" s="335" t="str">
        <f>VLOOKUP($D196,'PA - Por Componente'!$A$13:$Q$321,2,FALSE)</f>
        <v>Planejamento do Redesenho do sistema de saúde</v>
      </c>
      <c r="D196" s="326" t="s">
        <v>181</v>
      </c>
      <c r="E196" s="326" t="str">
        <f>VLOOKUP($D196,'PA - Por Componente'!$A$13:$Q$321,5,FALSE)</f>
        <v>CD</v>
      </c>
      <c r="F196" s="742">
        <v>0</v>
      </c>
      <c r="G196" s="743">
        <v>0</v>
      </c>
      <c r="H196" s="336">
        <f>VLOOKUP($D196,'PA - Por Componente'!$A$13:$Q$321,8,FALSE)</f>
        <v>368126.69</v>
      </c>
      <c r="I196" s="330">
        <f>VLOOKUP($D196,'PA - Por Componente'!$A$13:$Q$321,9,FALSE)</f>
        <v>1</v>
      </c>
      <c r="J196" s="330">
        <f>VLOOKUP($D196,'PA - Por Componente'!$A$13:$Q$321,10,FALSE)</f>
        <v>0</v>
      </c>
      <c r="K196" s="337" t="str">
        <f t="shared" si="2"/>
        <v>1</v>
      </c>
      <c r="L196" s="326" t="str">
        <f>VLOOKUP($D196,'PA - Por Componente'!$A$13:$Q$321,12,FALSE)</f>
        <v>Ex-ante</v>
      </c>
      <c r="M196" s="332">
        <f>VLOOKUP($D196,'PA - Por Componente'!$A$13:$Q$321,13,FALSE)</f>
        <v>43770</v>
      </c>
      <c r="N196" s="332">
        <f>VLOOKUP($D196,'PA - Por Componente'!$A$13:$Q$321,14,FALSE)</f>
        <v>43831</v>
      </c>
      <c r="O196" s="326">
        <f>VLOOKUP($D196,'PA - Por Componente'!$A$13:$Q$321,15,FALSE)</f>
        <v>0</v>
      </c>
      <c r="P196" s="326" t="str">
        <f>VLOOKUP($D196,'PA - Por Componente'!$A$13:$Q$321,16,FALSE)</f>
        <v>BR12110</v>
      </c>
      <c r="Q196" s="326" t="str">
        <f>VLOOKUP($D196,'PA - Por Componente'!$A$13:$Q$321,17,FALSE)</f>
        <v>Contrato Concluido</v>
      </c>
      <c r="S196" s="132"/>
    </row>
    <row r="197" spans="1:19" s="133" customFormat="1" ht="47.25">
      <c r="A197" s="334" t="s">
        <v>90</v>
      </c>
      <c r="B197" s="326" t="s">
        <v>151</v>
      </c>
      <c r="C197" s="335" t="str">
        <f>VLOOKUP($D197,'PA - Por Componente'!$A$13:$Q$321,2,FALSE)</f>
        <v>Melhoria da gestão do SUS do Estado com implementação de plano de regionalização e reestruturação.</v>
      </c>
      <c r="D197" s="326" t="s">
        <v>241</v>
      </c>
      <c r="E197" s="326" t="str">
        <f>VLOOKUP($D197,'PA - Por Componente'!$A$13:$Q$321,5,FALSE)</f>
        <v>CD</v>
      </c>
      <c r="F197" s="742">
        <v>0</v>
      </c>
      <c r="G197" s="743">
        <v>0</v>
      </c>
      <c r="H197" s="336">
        <f>VLOOKUP($D197,'PA - Por Componente'!$A$13:$Q$321,8,FALSE)</f>
        <v>81947.85</v>
      </c>
      <c r="I197" s="330">
        <f>VLOOKUP($D197,'PA - Por Componente'!$A$13:$Q$321,9,FALSE)</f>
        <v>1</v>
      </c>
      <c r="J197" s="330">
        <f>VLOOKUP($D197,'PA - Por Componente'!$A$13:$Q$321,10,FALSE)</f>
        <v>0</v>
      </c>
      <c r="K197" s="337" t="str">
        <f t="shared" si="2"/>
        <v>1</v>
      </c>
      <c r="L197" s="326" t="str">
        <f>VLOOKUP($D197,'PA - Por Componente'!$A$13:$Q$321,12,FALSE)</f>
        <v>Ex-ante</v>
      </c>
      <c r="M197" s="332">
        <f>VLOOKUP($D197,'PA - Por Componente'!$A$13:$Q$321,13,FALSE)</f>
        <v>43617</v>
      </c>
      <c r="N197" s="332">
        <f>VLOOKUP($D197,'PA - Por Componente'!$A$13:$Q$321,14,FALSE)</f>
        <v>43709</v>
      </c>
      <c r="O197" s="326">
        <f>VLOOKUP($D197,'PA - Por Componente'!$A$13:$Q$321,15,FALSE)</f>
        <v>0</v>
      </c>
      <c r="P197" s="326" t="str">
        <f>VLOOKUP($D197,'PA - Por Componente'!$A$13:$Q$321,16,FALSE)</f>
        <v>BR12045</v>
      </c>
      <c r="Q197" s="326" t="str">
        <f>VLOOKUP($D197,'PA - Por Componente'!$A$13:$Q$321,17,FALSE)</f>
        <v>Contrato Concluido</v>
      </c>
      <c r="S197" s="132"/>
    </row>
    <row r="198" spans="1:19" s="106" customFormat="1" ht="30" customHeight="1">
      <c r="A198" s="334" t="s">
        <v>91</v>
      </c>
      <c r="B198" s="326" t="s">
        <v>151</v>
      </c>
      <c r="C198" s="335" t="str">
        <f>VLOOKUP($D198,'PA - Por Componente'!$A$13:$Q$321,2,FALSE)</f>
        <v>Levantamento e inventário da rede SESA</v>
      </c>
      <c r="D198" s="326" t="s">
        <v>183</v>
      </c>
      <c r="E198" s="326" t="str">
        <f>VLOOKUP($D198,'PA - Por Componente'!$A$13:$Q$321,5,FALSE)</f>
        <v>SBQC</v>
      </c>
      <c r="F198" s="742">
        <v>0</v>
      </c>
      <c r="G198" s="743">
        <v>0</v>
      </c>
      <c r="H198" s="336">
        <f>VLOOKUP($D198,'PA - Por Componente'!$A$13:$Q$321,8,FALSE)</f>
        <v>411000</v>
      </c>
      <c r="I198" s="330">
        <f>VLOOKUP($D198,'PA - Por Componente'!$A$13:$Q$321,9,FALSE)</f>
        <v>1</v>
      </c>
      <c r="J198" s="330">
        <f>VLOOKUP($D198,'PA - Por Componente'!$A$13:$Q$321,10,FALSE)</f>
        <v>0</v>
      </c>
      <c r="K198" s="337" t="str">
        <f t="shared" si="2"/>
        <v>1</v>
      </c>
      <c r="L198" s="326" t="str">
        <f>VLOOKUP($D198,'PA - Por Componente'!$A$13:$Q$321,12,FALSE)</f>
        <v>Ex-ante</v>
      </c>
      <c r="M198" s="332">
        <f>VLOOKUP($D198,'PA - Por Componente'!$A$13:$Q$321,13,FALSE)</f>
        <v>44075</v>
      </c>
      <c r="N198" s="332">
        <f>VLOOKUP($D198,'PA - Por Componente'!$A$13:$Q$321,14,FALSE)</f>
        <v>44317</v>
      </c>
      <c r="O198" s="326">
        <f>VLOOKUP($D198,'PA - Por Componente'!$A$13:$Q$321,15,FALSE)</f>
        <v>0</v>
      </c>
      <c r="P198" s="326" t="str">
        <f>VLOOKUP($D198,'PA - Por Componente'!$A$13:$Q$321,16,FALSE)</f>
        <v>BR12194</v>
      </c>
      <c r="Q198" s="326" t="str">
        <f>VLOOKUP($D198,'PA - Por Componente'!$A$13:$Q$321,17,FALSE)</f>
        <v>Contrato em Execução</v>
      </c>
      <c r="S198" s="399"/>
    </row>
    <row r="199" spans="1:19" s="339" customFormat="1" ht="30" customHeight="1">
      <c r="A199" s="334" t="s">
        <v>92</v>
      </c>
      <c r="B199" s="326" t="s">
        <v>151</v>
      </c>
      <c r="C199" s="335" t="str">
        <f>VLOOKUP($D199,'PA - Por Componente'!$A$13:$Q$321,2,FALSE)</f>
        <v>Preparação das unidades Ambulatoriais - Bloco 1</v>
      </c>
      <c r="D199" s="326" t="s">
        <v>673</v>
      </c>
      <c r="E199" s="326" t="str">
        <f>VLOOKUP($D199,'PA - Por Componente'!$A$13:$Q$321,5,FALSE)</f>
        <v>SQC</v>
      </c>
      <c r="F199" s="742">
        <v>0</v>
      </c>
      <c r="G199" s="743">
        <v>0</v>
      </c>
      <c r="H199" s="336">
        <f>VLOOKUP($D199,'PA - Por Componente'!$A$13:$Q$321,8,FALSE)</f>
        <v>202000</v>
      </c>
      <c r="I199" s="330">
        <f>VLOOKUP($D199,'PA - Por Componente'!$A$13:$Q$321,9,FALSE)</f>
        <v>1</v>
      </c>
      <c r="J199" s="330">
        <f>VLOOKUP($D199,'PA - Por Componente'!$A$13:$Q$321,10,FALSE)</f>
        <v>0</v>
      </c>
      <c r="K199" s="337" t="str">
        <f t="shared" si="2"/>
        <v>1</v>
      </c>
      <c r="L199" s="326" t="str">
        <f>VLOOKUP($D199,'PA - Por Componente'!$A$13:$Q$321,12,FALSE)</f>
        <v>Ex-post</v>
      </c>
      <c r="M199" s="332">
        <f>VLOOKUP($D199,'PA - Por Componente'!$A$13:$Q$321,13,FALSE)</f>
        <v>43374</v>
      </c>
      <c r="N199" s="332">
        <f>VLOOKUP($D199,'PA - Por Componente'!$A$13:$Q$321,14,FALSE)</f>
        <v>44105</v>
      </c>
      <c r="O199" s="326">
        <f>VLOOKUP($D199,'PA - Por Componente'!$A$13:$Q$321,15,FALSE)</f>
        <v>0</v>
      </c>
      <c r="P199" s="326">
        <f>VLOOKUP($D199,'PA - Por Componente'!$A$13:$Q$321,16,FALSE)</f>
        <v>0</v>
      </c>
      <c r="Q199" s="326" t="str">
        <f>VLOOKUP($D199,'PA - Por Componente'!$A$13:$Q$321,17,FALSE)</f>
        <v>Contrato em Execução</v>
      </c>
      <c r="S199" s="338"/>
    </row>
    <row r="200" spans="1:19" s="339" customFormat="1" ht="30" customHeight="1">
      <c r="A200" s="326" t="s">
        <v>675</v>
      </c>
      <c r="B200" s="326" t="s">
        <v>151</v>
      </c>
      <c r="C200" s="335" t="str">
        <f>VLOOKUP($D200,'PA - Por Componente'!$A$13:$Q$321,2,FALSE)</f>
        <v>Preparação das unidades Ambulatoriais - Bloco 2</v>
      </c>
      <c r="D200" s="326" t="s">
        <v>674</v>
      </c>
      <c r="E200" s="326" t="str">
        <f>VLOOKUP($D200,'PA - Por Componente'!$A$13:$Q$321,5,FALSE)</f>
        <v>SQC</v>
      </c>
      <c r="F200" s="742">
        <v>0</v>
      </c>
      <c r="G200" s="743">
        <v>0</v>
      </c>
      <c r="H200" s="336">
        <f>VLOOKUP($D200,'PA - Por Componente'!$A$13:$Q$321,8,FALSE)</f>
        <v>298000</v>
      </c>
      <c r="I200" s="330">
        <f>VLOOKUP($D200,'PA - Por Componente'!$A$13:$Q$321,9,FALSE)</f>
        <v>1</v>
      </c>
      <c r="J200" s="330">
        <f>VLOOKUP($D200,'PA - Por Componente'!$A$13:$Q$321,10,FALSE)</f>
        <v>0</v>
      </c>
      <c r="K200" s="337" t="str">
        <f>LEFT(D200,1)</f>
        <v>1</v>
      </c>
      <c r="L200" s="326" t="str">
        <f>VLOOKUP($D200,'PA - Por Componente'!$A$13:$Q$321,12,FALSE)</f>
        <v>Ex-post</v>
      </c>
      <c r="M200" s="332">
        <f>VLOOKUP($D200,'PA - Por Componente'!$A$13:$Q$321,13,FALSE)</f>
        <v>44440</v>
      </c>
      <c r="N200" s="332">
        <f>VLOOKUP($D200,'PA - Por Componente'!$A$13:$Q$321,14,FALSE)</f>
        <v>45323</v>
      </c>
      <c r="O200" s="326">
        <f>VLOOKUP($D200,'PA - Por Componente'!$A$13:$Q$321,15,FALSE)</f>
        <v>0</v>
      </c>
      <c r="P200" s="326">
        <f>VLOOKUP($D200,'PA - Por Componente'!$A$13:$Q$321,16,FALSE)</f>
        <v>0</v>
      </c>
      <c r="Q200" s="326" t="str">
        <f>VLOOKUP($D200,'PA - Por Componente'!$A$13:$Q$321,17,FALSE)</f>
        <v>Processo em Curso</v>
      </c>
      <c r="S200" s="338"/>
    </row>
    <row r="201" spans="1:19" s="133" customFormat="1" ht="30" customHeight="1">
      <c r="A201" s="334" t="s">
        <v>218</v>
      </c>
      <c r="B201" s="326" t="s">
        <v>151</v>
      </c>
      <c r="C201" s="335" t="str">
        <f>VLOOKUP($D201,'PA - Por Componente'!$A$13:$Q$321,2,FALSE)</f>
        <v>Melhoria da Eficiência Operacional</v>
      </c>
      <c r="D201" s="326" t="s">
        <v>253</v>
      </c>
      <c r="E201" s="326" t="str">
        <f>VLOOKUP($D201,'PA - Por Componente'!$A$13:$Q$321,5,FALSE)</f>
        <v>CD</v>
      </c>
      <c r="F201" s="742">
        <v>0</v>
      </c>
      <c r="G201" s="743">
        <v>0</v>
      </c>
      <c r="H201" s="336">
        <f>VLOOKUP($D201,'PA - Por Componente'!$A$13:$Q$321,8,FALSE)</f>
        <v>362742.81</v>
      </c>
      <c r="I201" s="330">
        <f>VLOOKUP($D201,'PA - Por Componente'!$A$13:$Q$321,9,FALSE)</f>
        <v>1</v>
      </c>
      <c r="J201" s="330">
        <f>VLOOKUP($D201,'PA - Por Componente'!$A$13:$Q$321,10,FALSE)</f>
        <v>0</v>
      </c>
      <c r="K201" s="337" t="str">
        <f t="shared" si="2"/>
        <v>1</v>
      </c>
      <c r="L201" s="326" t="str">
        <f>VLOOKUP($D201,'PA - Por Componente'!$A$13:$Q$321,12,FALSE)</f>
        <v>Ex-ante</v>
      </c>
      <c r="M201" s="332">
        <f>VLOOKUP($D201,'PA - Por Componente'!$A$13:$Q$321,13,FALSE)</f>
        <v>44075</v>
      </c>
      <c r="N201" s="332">
        <f>VLOOKUP($D201,'PA - Por Componente'!$A$13:$Q$321,14,FALSE)</f>
        <v>44136</v>
      </c>
      <c r="O201" s="326">
        <f>VLOOKUP($D201,'PA - Por Componente'!$A$13:$Q$321,15,FALSE)</f>
        <v>0</v>
      </c>
      <c r="P201" s="326" t="str">
        <f>VLOOKUP($D201,'PA - Por Componente'!$A$13:$Q$321,16,FALSE)</f>
        <v>BR12132</v>
      </c>
      <c r="Q201" s="326" t="str">
        <f>VLOOKUP($D201,'PA - Por Componente'!$A$13:$Q$321,17,FALSE)</f>
        <v>Contrato Concluido</v>
      </c>
      <c r="S201" s="132"/>
    </row>
    <row r="202" spans="1:19" s="301" customFormat="1" ht="30" customHeight="1">
      <c r="A202" s="334" t="s">
        <v>171</v>
      </c>
      <c r="B202" s="326" t="s">
        <v>138</v>
      </c>
      <c r="C202" s="335" t="str">
        <f>VLOOKUP($D202,'PA - Por Componente'!$A$13:$Q$321,2,FALSE)</f>
        <v>Administração do Programa: Gerenciadora e Supervisora das obras do Programa</v>
      </c>
      <c r="D202" s="647" t="s">
        <v>196</v>
      </c>
      <c r="E202" s="326" t="str">
        <f>VLOOKUP($D202,'PA - Por Componente'!$A$13:$Q$321,5,FALSE)</f>
        <v>SBQC</v>
      </c>
      <c r="F202" s="742">
        <v>0</v>
      </c>
      <c r="G202" s="743">
        <v>0</v>
      </c>
      <c r="H202" s="336">
        <f>VLOOKUP($D202,'PA - Por Componente'!$A$13:$Q$321,8,FALSE)</f>
        <v>6377018</v>
      </c>
      <c r="I202" s="330">
        <f>VLOOKUP($D202,'PA - Por Componente'!$A$13:$Q$321,9,FALSE)</f>
        <v>1</v>
      </c>
      <c r="J202" s="330">
        <f>VLOOKUP($D202,'PA - Por Componente'!$A$13:$Q$321,10,FALSE)</f>
        <v>0</v>
      </c>
      <c r="K202" s="337" t="str">
        <f t="shared" si="2"/>
        <v>3</v>
      </c>
      <c r="L202" s="326" t="str">
        <f>VLOOKUP($D202,'PA - Por Componente'!$A$13:$Q$321,12,FALSE)</f>
        <v>Ex-ante</v>
      </c>
      <c r="M202" s="332">
        <f>VLOOKUP($D202,'PA - Por Componente'!$A$13:$Q$321,13,FALSE)</f>
        <v>42675</v>
      </c>
      <c r="N202" s="332">
        <f>VLOOKUP($D202,'PA - Por Componente'!$A$13:$Q$321,14,FALSE)</f>
        <v>43221</v>
      </c>
      <c r="O202" s="326">
        <f>VLOOKUP($D202,'PA - Por Componente'!$A$13:$Q$321,15,FALSE)</f>
        <v>0</v>
      </c>
      <c r="P202" s="326" t="str">
        <f>VLOOKUP($D202,'PA - Por Componente'!$A$13:$Q$321,16,FALSE)</f>
        <v>BRB3811</v>
      </c>
      <c r="Q202" s="326" t="str">
        <f>VLOOKUP($D202,'PA - Por Componente'!$A$13:$Q$321,17,FALSE)</f>
        <v>Contrato em Execução</v>
      </c>
      <c r="S202" s="132"/>
    </row>
    <row r="203" spans="1:19" s="98" customFormat="1" ht="30" customHeight="1">
      <c r="A203" s="334" t="s">
        <v>172</v>
      </c>
      <c r="B203" s="326" t="s">
        <v>138</v>
      </c>
      <c r="C203" s="335" t="str">
        <f>VLOOKUP($D203,'PA - Por Componente'!$A$13:$Q$321,2,FALSE)</f>
        <v>Avaliação de Impacto do Programa</v>
      </c>
      <c r="D203" s="647" t="s">
        <v>198</v>
      </c>
      <c r="E203" s="326" t="str">
        <f>VLOOKUP($D203,'PA - Por Componente'!$A$13:$Q$321,5,FALSE)</f>
        <v>SQC</v>
      </c>
      <c r="F203" s="742">
        <v>0</v>
      </c>
      <c r="G203" s="743">
        <v>0</v>
      </c>
      <c r="H203" s="336">
        <f>VLOOKUP($D203,'PA - Por Componente'!$A$13:$Q$321,8,FALSE)</f>
        <v>150000</v>
      </c>
      <c r="I203" s="330">
        <f>VLOOKUP($D203,'PA - Por Componente'!$A$13:$Q$321,9,FALSE)</f>
        <v>1</v>
      </c>
      <c r="J203" s="330">
        <f>VLOOKUP($D203,'PA - Por Componente'!$A$13:$Q$321,10,FALSE)</f>
        <v>0</v>
      </c>
      <c r="K203" s="337" t="str">
        <f t="shared" si="2"/>
        <v>3</v>
      </c>
      <c r="L203" s="326" t="str">
        <f>VLOOKUP($D203,'PA - Por Componente'!$A$13:$Q$321,12,FALSE)</f>
        <v>Ex-post</v>
      </c>
      <c r="M203" s="332">
        <f>VLOOKUP($D203,'PA - Por Componente'!$A$13:$Q$321,13,FALSE)</f>
        <v>43646</v>
      </c>
      <c r="N203" s="332">
        <f>VLOOKUP($D203,'PA - Por Componente'!$A$13:$Q$321,14,FALSE)</f>
        <v>44105</v>
      </c>
      <c r="O203" s="326">
        <f>VLOOKUP($D203,'PA - Por Componente'!$A$13:$Q$321,15,FALSE)</f>
        <v>0</v>
      </c>
      <c r="P203" s="326">
        <f>VLOOKUP($D203,'PA - Por Componente'!$A$13:$Q$321,16,FALSE)</f>
        <v>0</v>
      </c>
      <c r="Q203" s="326" t="str">
        <f>VLOOKUP($D203,'PA - Por Componente'!$A$13:$Q$321,17,FALSE)</f>
        <v>Contrato em execução </v>
      </c>
      <c r="S203" s="399"/>
    </row>
    <row r="204" spans="1:19" s="98" customFormat="1" ht="30" customHeight="1">
      <c r="A204" s="334" t="s">
        <v>173</v>
      </c>
      <c r="B204" s="326" t="s">
        <v>138</v>
      </c>
      <c r="C204" s="335" t="str">
        <f>VLOOKUP($D204,'PA - Por Componente'!$A$13:$Q$321,2,FALSE)</f>
        <v>Auditoria do Programa</v>
      </c>
      <c r="D204" s="647" t="s">
        <v>200</v>
      </c>
      <c r="E204" s="326" t="str">
        <f>VLOOKUP($D204,'PA - Por Componente'!$A$13:$Q$321,5,FALSE)</f>
        <v>SN</v>
      </c>
      <c r="F204" s="742">
        <v>0</v>
      </c>
      <c r="G204" s="743">
        <v>0</v>
      </c>
      <c r="H204" s="336">
        <f>VLOOKUP($D204,'PA - Por Componente'!$A$13:$Q$321,8,FALSE)</f>
        <v>10</v>
      </c>
      <c r="I204" s="330">
        <f>VLOOKUP($D204,'PA - Por Componente'!$A$13:$Q$321,9,FALSE)</f>
        <v>1</v>
      </c>
      <c r="J204" s="330">
        <f>VLOOKUP($D204,'PA - Por Componente'!$A$13:$Q$321,10,FALSE)</f>
        <v>0</v>
      </c>
      <c r="K204" s="337" t="str">
        <f t="shared" si="2"/>
        <v>3</v>
      </c>
      <c r="L204" s="326" t="str">
        <f>VLOOKUP($D204,'PA - Por Componente'!$A$13:$Q$321,12,FALSE)</f>
        <v>Ex-post</v>
      </c>
      <c r="M204" s="332">
        <f>VLOOKUP($D204,'PA - Por Componente'!$A$13:$Q$321,13,FALSE)</f>
        <v>43646</v>
      </c>
      <c r="N204" s="332">
        <f>VLOOKUP($D204,'PA - Por Componente'!$A$13:$Q$321,14,FALSE)</f>
        <v>43739</v>
      </c>
      <c r="O204" s="326" t="str">
        <f>VLOOKUP($D204,'PA - Por Componente'!$A$13:$Q$321,15,FALSE)</f>
        <v>Cooperação Técnica</v>
      </c>
      <c r="P204" s="326">
        <f>VLOOKUP($D204,'PA - Por Componente'!$A$13:$Q$321,16,FALSE)</f>
        <v>0</v>
      </c>
      <c r="Q204" s="326" t="str">
        <f>VLOOKUP($D204,'PA - Por Componente'!$A$13:$Q$321,17,FALSE)</f>
        <v>Contrato em Execução</v>
      </c>
      <c r="S204" s="399"/>
    </row>
    <row r="205" spans="1:19" s="176" customFormat="1" ht="30" customHeight="1" hidden="1">
      <c r="A205" s="78"/>
      <c r="B205" s="78" t="s">
        <v>138</v>
      </c>
      <c r="C205" s="174" t="s">
        <v>176</v>
      </c>
      <c r="D205" s="496"/>
      <c r="E205" s="78" t="s">
        <v>175</v>
      </c>
      <c r="F205" s="744"/>
      <c r="G205" s="745"/>
      <c r="H205" s="219"/>
      <c r="I205" s="259"/>
      <c r="J205" s="259"/>
      <c r="K205" s="196"/>
      <c r="L205" s="78"/>
      <c r="M205" s="146"/>
      <c r="N205" s="146"/>
      <c r="O205" s="78"/>
      <c r="P205" s="78"/>
      <c r="Q205" s="78" t="s">
        <v>632</v>
      </c>
      <c r="S205" s="140"/>
    </row>
    <row r="206" spans="1:19" s="184" customFormat="1" ht="30" customHeight="1" hidden="1">
      <c r="A206" s="67"/>
      <c r="B206" s="78" t="s">
        <v>151</v>
      </c>
      <c r="C206" s="174" t="s">
        <v>398</v>
      </c>
      <c r="D206" s="78" t="s">
        <v>249</v>
      </c>
      <c r="E206" s="78" t="s">
        <v>207</v>
      </c>
      <c r="F206" s="78"/>
      <c r="G206" s="78"/>
      <c r="H206" s="219"/>
      <c r="I206" s="259"/>
      <c r="J206" s="259"/>
      <c r="K206" s="196"/>
      <c r="L206" s="78"/>
      <c r="M206" s="146"/>
      <c r="N206" s="146"/>
      <c r="O206" s="78"/>
      <c r="P206" s="78"/>
      <c r="Q206" s="78" t="s">
        <v>597</v>
      </c>
      <c r="S206" s="186"/>
    </row>
    <row r="207" spans="1:19" s="184" customFormat="1" ht="30" customHeight="1" hidden="1">
      <c r="A207" s="171"/>
      <c r="B207" s="78" t="s">
        <v>138</v>
      </c>
      <c r="C207" s="174" t="s">
        <v>496</v>
      </c>
      <c r="D207" s="78" t="s">
        <v>435</v>
      </c>
      <c r="E207" s="78" t="s">
        <v>207</v>
      </c>
      <c r="F207" s="78"/>
      <c r="G207" s="78"/>
      <c r="H207" s="219"/>
      <c r="I207" s="259"/>
      <c r="J207" s="259"/>
      <c r="K207" s="196"/>
      <c r="L207" s="78"/>
      <c r="M207" s="146"/>
      <c r="N207" s="146"/>
      <c r="O207" s="78"/>
      <c r="P207" s="78"/>
      <c r="Q207" s="78" t="s">
        <v>597</v>
      </c>
      <c r="S207" s="186"/>
    </row>
    <row r="208" spans="1:19" s="184" customFormat="1" ht="30" customHeight="1" hidden="1">
      <c r="A208" s="334"/>
      <c r="B208" s="185"/>
      <c r="C208" s="174" t="s">
        <v>170</v>
      </c>
      <c r="D208" s="322"/>
      <c r="E208" s="185"/>
      <c r="F208" s="185"/>
      <c r="G208" s="185"/>
      <c r="H208" s="302"/>
      <c r="I208" s="259">
        <v>1</v>
      </c>
      <c r="J208" s="259">
        <v>0</v>
      </c>
      <c r="K208" s="303"/>
      <c r="L208" s="185"/>
      <c r="M208" s="94"/>
      <c r="N208" s="94"/>
      <c r="O208" s="326"/>
      <c r="P208" s="185"/>
      <c r="Q208" s="78" t="s">
        <v>503</v>
      </c>
      <c r="S208" s="186"/>
    </row>
    <row r="209" spans="1:19" s="183" customFormat="1" ht="18.75" hidden="1">
      <c r="A209" s="193"/>
      <c r="B209" s="78" t="s">
        <v>138</v>
      </c>
      <c r="C209" s="174" t="s">
        <v>213</v>
      </c>
      <c r="D209" s="192"/>
      <c r="E209" s="78"/>
      <c r="F209" s="297"/>
      <c r="G209" s="297"/>
      <c r="H209" s="179"/>
      <c r="I209" s="244"/>
      <c r="J209" s="244"/>
      <c r="K209" s="145"/>
      <c r="L209" s="78"/>
      <c r="M209" s="147"/>
      <c r="N209" s="147"/>
      <c r="O209" s="185" t="e">
        <v>#N/A</v>
      </c>
      <c r="P209" s="297"/>
      <c r="Q209" s="78"/>
      <c r="R209" s="50"/>
      <c r="S209" s="186"/>
    </row>
    <row r="210" spans="1:19" s="183" customFormat="1" ht="31.5" customHeight="1" hidden="1">
      <c r="A210" s="193"/>
      <c r="B210" s="78" t="s">
        <v>138</v>
      </c>
      <c r="C210" s="174" t="s">
        <v>214</v>
      </c>
      <c r="D210" s="192"/>
      <c r="E210" s="78"/>
      <c r="F210" s="297"/>
      <c r="G210" s="297"/>
      <c r="H210" s="179"/>
      <c r="I210" s="244"/>
      <c r="J210" s="244"/>
      <c r="K210" s="145"/>
      <c r="L210" s="78"/>
      <c r="M210" s="147"/>
      <c r="N210" s="147"/>
      <c r="O210" s="185" t="e">
        <v>#N/A</v>
      </c>
      <c r="P210" s="297"/>
      <c r="Q210" s="78" t="s">
        <v>55</v>
      </c>
      <c r="R210" s="50"/>
      <c r="S210" s="186"/>
    </row>
    <row r="211" spans="1:19" s="131" customFormat="1" ht="33.75" customHeight="1" hidden="1">
      <c r="A211" s="170"/>
      <c r="B211" s="78" t="s">
        <v>138</v>
      </c>
      <c r="C211" s="174" t="s">
        <v>216</v>
      </c>
      <c r="D211" s="192"/>
      <c r="E211" s="78"/>
      <c r="F211" s="297"/>
      <c r="G211" s="297"/>
      <c r="H211" s="179"/>
      <c r="I211" s="244"/>
      <c r="J211" s="244"/>
      <c r="K211" s="145"/>
      <c r="L211" s="78"/>
      <c r="M211" s="147"/>
      <c r="N211" s="147"/>
      <c r="O211" s="185" t="e">
        <v>#N/A</v>
      </c>
      <c r="P211" s="297"/>
      <c r="Q211" s="78"/>
      <c r="R211" s="190"/>
      <c r="S211" s="191"/>
    </row>
    <row r="212" spans="1:19" s="72" customFormat="1" ht="18.75" hidden="1">
      <c r="A212" s="67"/>
      <c r="B212" s="78" t="s">
        <v>151</v>
      </c>
      <c r="C212" s="174" t="s">
        <v>163</v>
      </c>
      <c r="D212" s="78"/>
      <c r="E212" s="78"/>
      <c r="F212" s="765"/>
      <c r="G212" s="765"/>
      <c r="H212" s="151"/>
      <c r="I212" s="244"/>
      <c r="J212" s="244"/>
      <c r="K212" s="145"/>
      <c r="L212" s="78"/>
      <c r="M212" s="147"/>
      <c r="N212" s="147"/>
      <c r="O212" s="185" t="e">
        <v>#N/A</v>
      </c>
      <c r="P212" s="297"/>
      <c r="Q212" s="78"/>
      <c r="R212" s="114"/>
      <c r="S212" s="140">
        <v>745500</v>
      </c>
    </row>
    <row r="213" spans="1:19" s="72" customFormat="1" ht="31.5" hidden="1">
      <c r="A213" s="171"/>
      <c r="B213" s="171" t="s">
        <v>151</v>
      </c>
      <c r="C213" s="174" t="s">
        <v>185</v>
      </c>
      <c r="D213" s="78"/>
      <c r="E213" s="78"/>
      <c r="F213" s="766"/>
      <c r="G213" s="766"/>
      <c r="H213" s="151"/>
      <c r="I213" s="244"/>
      <c r="J213" s="244"/>
      <c r="K213" s="145"/>
      <c r="L213" s="78"/>
      <c r="M213" s="147"/>
      <c r="N213" s="147"/>
      <c r="O213" s="185" t="e">
        <v>#N/A</v>
      </c>
      <c r="P213" s="297"/>
      <c r="Q213" s="78"/>
      <c r="R213" s="173"/>
      <c r="S213" s="140">
        <v>6860000</v>
      </c>
    </row>
    <row r="214" spans="1:19" s="72" customFormat="1" ht="31.5" hidden="1">
      <c r="A214" s="171"/>
      <c r="B214" s="171" t="s">
        <v>151</v>
      </c>
      <c r="C214" s="174" t="s">
        <v>187</v>
      </c>
      <c r="D214" s="78"/>
      <c r="E214" s="78"/>
      <c r="F214" s="766"/>
      <c r="G214" s="766"/>
      <c r="H214" s="151"/>
      <c r="I214" s="244"/>
      <c r="J214" s="244"/>
      <c r="K214" s="145"/>
      <c r="L214" s="78"/>
      <c r="M214" s="147"/>
      <c r="N214" s="147"/>
      <c r="O214" s="185" t="e">
        <v>#N/A</v>
      </c>
      <c r="P214" s="297"/>
      <c r="Q214" s="78"/>
      <c r="R214" s="173"/>
      <c r="S214" s="140">
        <v>3738000</v>
      </c>
    </row>
    <row r="215" spans="1:19" s="72" customFormat="1" ht="31.5" hidden="1">
      <c r="A215" s="171"/>
      <c r="B215" s="171" t="s">
        <v>151</v>
      </c>
      <c r="C215" s="174" t="s">
        <v>232</v>
      </c>
      <c r="D215" s="78"/>
      <c r="E215" s="78"/>
      <c r="F215" s="766"/>
      <c r="G215" s="766"/>
      <c r="H215" s="151"/>
      <c r="I215" s="244"/>
      <c r="J215" s="244"/>
      <c r="K215" s="145"/>
      <c r="L215" s="78"/>
      <c r="M215" s="147"/>
      <c r="N215" s="147"/>
      <c r="O215" s="185" t="e">
        <v>#N/A</v>
      </c>
      <c r="P215" s="297"/>
      <c r="Q215" s="78"/>
      <c r="R215" s="173"/>
      <c r="S215" s="140"/>
    </row>
    <row r="216" spans="1:19" s="183" customFormat="1" ht="18.75">
      <c r="A216" s="26"/>
      <c r="B216" s="3"/>
      <c r="C216" s="3"/>
      <c r="D216" s="3"/>
      <c r="E216" s="3"/>
      <c r="F216" s="3"/>
      <c r="G216" s="31" t="s">
        <v>94</v>
      </c>
      <c r="H216" s="128">
        <f>SUM(H195:H208)</f>
        <v>8285660.26</v>
      </c>
      <c r="I216" s="257"/>
      <c r="J216" s="257"/>
      <c r="K216" s="25"/>
      <c r="L216" s="3"/>
      <c r="M216" s="3"/>
      <c r="N216" s="3"/>
      <c r="O216" s="3"/>
      <c r="P216" s="25"/>
      <c r="Q216" s="25"/>
      <c r="R216" s="119"/>
      <c r="S216" s="119"/>
    </row>
    <row r="217" spans="1:19" s="183" customFormat="1" ht="18.75">
      <c r="A217" s="26"/>
      <c r="B217" s="3"/>
      <c r="C217" s="3"/>
      <c r="D217" s="3"/>
      <c r="E217" s="3"/>
      <c r="F217" s="3"/>
      <c r="G217" s="31"/>
      <c r="H217" s="128"/>
      <c r="I217" s="257"/>
      <c r="J217" s="257"/>
      <c r="K217" s="25"/>
      <c r="L217" s="3"/>
      <c r="M217" s="3"/>
      <c r="N217" s="3"/>
      <c r="O217" s="3"/>
      <c r="P217" s="25"/>
      <c r="Q217" s="25"/>
      <c r="R217" s="119"/>
      <c r="S217" s="119"/>
    </row>
    <row r="218" spans="1:23" ht="15.75">
      <c r="A218" s="761">
        <v>5</v>
      </c>
      <c r="B218" s="767" t="s">
        <v>121</v>
      </c>
      <c r="C218" s="767"/>
      <c r="D218" s="767"/>
      <c r="E218" s="767"/>
      <c r="F218" s="767"/>
      <c r="G218" s="767"/>
      <c r="H218" s="767"/>
      <c r="I218" s="767"/>
      <c r="J218" s="767"/>
      <c r="K218" s="767"/>
      <c r="L218" s="767"/>
      <c r="M218" s="767"/>
      <c r="N218" s="767"/>
      <c r="O218" s="767"/>
      <c r="P218" s="767"/>
      <c r="Q218" s="767"/>
      <c r="T218" s="183"/>
      <c r="U218" s="183"/>
      <c r="V218" s="183"/>
      <c r="W218" s="183"/>
    </row>
    <row r="219" spans="1:23" ht="15" customHeight="1">
      <c r="A219" s="761"/>
      <c r="B219" s="755" t="s">
        <v>108</v>
      </c>
      <c r="C219" s="768" t="s">
        <v>109</v>
      </c>
      <c r="D219" s="768" t="s">
        <v>246</v>
      </c>
      <c r="E219" s="768" t="s">
        <v>110</v>
      </c>
      <c r="F219" s="767"/>
      <c r="G219" s="767"/>
      <c r="H219" s="769" t="s">
        <v>111</v>
      </c>
      <c r="I219" s="769"/>
      <c r="J219" s="769"/>
      <c r="K219" s="768" t="s">
        <v>112</v>
      </c>
      <c r="L219" s="768" t="s">
        <v>113</v>
      </c>
      <c r="M219" s="768" t="s">
        <v>114</v>
      </c>
      <c r="N219" s="768"/>
      <c r="O219" s="768" t="s">
        <v>16</v>
      </c>
      <c r="P219" s="768" t="s">
        <v>115</v>
      </c>
      <c r="Q219" s="768" t="s">
        <v>13</v>
      </c>
      <c r="T219" s="183"/>
      <c r="U219" s="183"/>
      <c r="V219" s="183"/>
      <c r="W219" s="183"/>
    </row>
    <row r="220" spans="1:23" ht="38.25">
      <c r="A220" s="761"/>
      <c r="B220" s="755"/>
      <c r="C220" s="768"/>
      <c r="D220" s="768"/>
      <c r="E220" s="768"/>
      <c r="F220" s="768" t="s">
        <v>116</v>
      </c>
      <c r="G220" s="768"/>
      <c r="H220" s="298" t="s">
        <v>117</v>
      </c>
      <c r="I220" s="245" t="s">
        <v>118</v>
      </c>
      <c r="J220" s="245" t="s">
        <v>119</v>
      </c>
      <c r="K220" s="768"/>
      <c r="L220" s="768"/>
      <c r="M220" s="298" t="s">
        <v>120</v>
      </c>
      <c r="N220" s="298" t="s">
        <v>7</v>
      </c>
      <c r="O220" s="768"/>
      <c r="P220" s="768"/>
      <c r="Q220" s="768"/>
      <c r="T220" s="183"/>
      <c r="U220" s="183"/>
      <c r="V220" s="183"/>
      <c r="W220" s="183"/>
    </row>
    <row r="221" spans="1:19" s="133" customFormat="1" ht="24.75" customHeight="1">
      <c r="A221" s="326" t="s">
        <v>209</v>
      </c>
      <c r="B221" s="326" t="s">
        <v>138</v>
      </c>
      <c r="C221" s="649" t="str">
        <f>VLOOKUP($D221,'PA - Por Componente'!$A$13:$Q$321,2,FALSE)</f>
        <v>Apoio a Eventos e Fortalecimento da SESA</v>
      </c>
      <c r="D221" s="351" t="s">
        <v>197</v>
      </c>
      <c r="E221" s="326" t="str">
        <f>VLOOKUP($D221,'PA - Por Componente'!$A$13:$Q$321,5,FALSE)</f>
        <v>SN</v>
      </c>
      <c r="F221" s="742">
        <v>0</v>
      </c>
      <c r="G221" s="743">
        <v>0</v>
      </c>
      <c r="H221" s="336">
        <f>VLOOKUP($D221,'PA - Por Componente'!$A$13:$Q$321,8,FALSE)</f>
        <v>600000</v>
      </c>
      <c r="I221" s="421">
        <f>VLOOKUP($D221,'PA - Por Componente'!$A$13:$Q$321,9,FALSE)</f>
        <v>1</v>
      </c>
      <c r="J221" s="421">
        <f>VLOOKUP($D221,'PA - Por Componente'!$A$13:$Q$321,10,FALSE)</f>
        <v>0</v>
      </c>
      <c r="K221" s="331" t="str">
        <f>LEFT(D221,1)</f>
        <v>3</v>
      </c>
      <c r="L221" s="326" t="str">
        <f>VLOOKUP($D221,'PA - Por Componente'!$A$13:$Q$321,12,FALSE)</f>
        <v>Ex-post</v>
      </c>
      <c r="M221" s="332">
        <f>VLOOKUP($D221,'PA - Por Componente'!$A$13:$Q$321,13,FALSE)</f>
        <v>44197</v>
      </c>
      <c r="N221" s="332">
        <f>VLOOKUP($D221,'PA - Por Componente'!$A$13:$Q$321,14,FALSE)</f>
        <v>44866</v>
      </c>
      <c r="O221" s="333" t="str">
        <f>VLOOKUP($D221,'PA - Por Componente'!$A$13:$Q$321,15,FALSE)</f>
        <v>Convênio/ PE/ ARP</v>
      </c>
      <c r="P221" s="326">
        <f>VLOOKUP($D221,'PA - Por Componente'!$A$13:$Q$321,16,FALSE)</f>
        <v>0</v>
      </c>
      <c r="Q221" s="326" t="str">
        <f>VLOOKUP($D221,'PA - Por Componente'!$A$13:$Q$321,17,FALSE)</f>
        <v>Previsto</v>
      </c>
      <c r="R221" s="301"/>
      <c r="S221" s="301"/>
    </row>
    <row r="222" spans="1:19" s="72" customFormat="1" ht="18.75" hidden="1">
      <c r="A222" s="78"/>
      <c r="B222" s="171" t="s">
        <v>151</v>
      </c>
      <c r="C222" s="174" t="s">
        <v>179</v>
      </c>
      <c r="D222" s="78"/>
      <c r="E222" s="78"/>
      <c r="F222" s="765"/>
      <c r="G222" s="765"/>
      <c r="H222" s="151"/>
      <c r="I222" s="244"/>
      <c r="J222" s="244"/>
      <c r="K222" s="145"/>
      <c r="L222" s="78"/>
      <c r="M222" s="147"/>
      <c r="N222" s="147"/>
      <c r="O222" s="297"/>
      <c r="P222" s="177"/>
      <c r="Q222" s="177"/>
      <c r="R222" s="152"/>
      <c r="S222" s="152"/>
    </row>
    <row r="223" spans="1:19" s="72" customFormat="1" ht="31.5" hidden="1">
      <c r="A223" s="78"/>
      <c r="B223" s="78" t="s">
        <v>151</v>
      </c>
      <c r="C223" s="174" t="s">
        <v>165</v>
      </c>
      <c r="D223" s="181"/>
      <c r="E223" s="78"/>
      <c r="F223" s="765"/>
      <c r="G223" s="765"/>
      <c r="H223" s="151"/>
      <c r="I223" s="244"/>
      <c r="J223" s="244"/>
      <c r="K223" s="145"/>
      <c r="L223" s="78"/>
      <c r="M223" s="147"/>
      <c r="N223" s="147"/>
      <c r="O223" s="297"/>
      <c r="P223" s="178"/>
      <c r="Q223" s="178"/>
      <c r="R223" s="152"/>
      <c r="S223" s="152"/>
    </row>
    <row r="224" spans="2:17" ht="18.75">
      <c r="B224" s="87"/>
      <c r="C224" s="88"/>
      <c r="D224" s="87"/>
      <c r="E224" s="87"/>
      <c r="F224" s="87"/>
      <c r="G224" s="31" t="s">
        <v>94</v>
      </c>
      <c r="H224" s="105">
        <f>SUM(H221:H221)</f>
        <v>600000</v>
      </c>
      <c r="I224" s="258"/>
      <c r="J224" s="258"/>
      <c r="K224" s="89"/>
      <c r="L224" s="87"/>
      <c r="M224" s="87"/>
      <c r="N224" s="87"/>
      <c r="O224" s="87"/>
      <c r="P224" s="87"/>
      <c r="Q224" s="87"/>
    </row>
    <row r="225" spans="2:17" ht="18.75">
      <c r="B225" s="87"/>
      <c r="C225" s="88"/>
      <c r="D225" s="87"/>
      <c r="E225" s="87"/>
      <c r="F225" s="87"/>
      <c r="G225" s="31"/>
      <c r="H225" s="105"/>
      <c r="I225" s="258"/>
      <c r="J225" s="258"/>
      <c r="K225" s="89"/>
      <c r="L225" s="87"/>
      <c r="M225" s="87"/>
      <c r="N225" s="87"/>
      <c r="O225" s="87"/>
      <c r="P225" s="87"/>
      <c r="Q225" s="87"/>
    </row>
    <row r="226" spans="1:17" ht="15.75">
      <c r="A226" s="770">
        <v>6</v>
      </c>
      <c r="B226" s="767" t="s">
        <v>122</v>
      </c>
      <c r="C226" s="767"/>
      <c r="D226" s="767"/>
      <c r="E226" s="767"/>
      <c r="F226" s="767"/>
      <c r="G226" s="767"/>
      <c r="H226" s="767"/>
      <c r="I226" s="767"/>
      <c r="J226" s="767"/>
      <c r="K226" s="767"/>
      <c r="L226" s="767"/>
      <c r="M226" s="767"/>
      <c r="N226" s="767"/>
      <c r="O226" s="767"/>
      <c r="P226" s="767"/>
      <c r="Q226" s="767"/>
    </row>
    <row r="227" spans="1:17" ht="15" customHeight="1">
      <c r="A227" s="770"/>
      <c r="B227" s="755" t="s">
        <v>108</v>
      </c>
      <c r="C227" s="768" t="s">
        <v>109</v>
      </c>
      <c r="D227" s="768" t="s">
        <v>246</v>
      </c>
      <c r="E227" s="771" t="s">
        <v>93</v>
      </c>
      <c r="F227" s="767"/>
      <c r="G227" s="767"/>
      <c r="H227" s="772"/>
      <c r="I227" s="772"/>
      <c r="J227" s="772"/>
      <c r="K227" s="771" t="s">
        <v>49</v>
      </c>
      <c r="L227" s="771" t="s">
        <v>48</v>
      </c>
      <c r="M227" s="771" t="s">
        <v>22</v>
      </c>
      <c r="N227" s="771"/>
      <c r="O227" s="771" t="s">
        <v>71</v>
      </c>
      <c r="P227" s="771" t="s">
        <v>47</v>
      </c>
      <c r="Q227" s="771" t="s">
        <v>13</v>
      </c>
    </row>
    <row r="228" spans="1:17" ht="47.25" customHeight="1">
      <c r="A228" s="770"/>
      <c r="B228" s="755"/>
      <c r="C228" s="768"/>
      <c r="D228" s="768"/>
      <c r="E228" s="771"/>
      <c r="F228" s="771" t="s">
        <v>43</v>
      </c>
      <c r="G228" s="771"/>
      <c r="H228" s="90" t="s">
        <v>123</v>
      </c>
      <c r="I228" s="247" t="s">
        <v>45</v>
      </c>
      <c r="J228" s="247" t="s">
        <v>44</v>
      </c>
      <c r="K228" s="771"/>
      <c r="L228" s="771"/>
      <c r="M228" s="295" t="s">
        <v>124</v>
      </c>
      <c r="N228" s="295" t="s">
        <v>125</v>
      </c>
      <c r="O228" s="771"/>
      <c r="P228" s="771"/>
      <c r="Q228" s="771"/>
    </row>
    <row r="229" spans="1:19" s="184" customFormat="1" ht="1.5" customHeight="1" hidden="1">
      <c r="A229" s="67"/>
      <c r="B229" s="78" t="s">
        <v>138</v>
      </c>
      <c r="C229" s="174" t="e">
        <v>#N/A</v>
      </c>
      <c r="D229" s="78" t="s">
        <v>297</v>
      </c>
      <c r="E229" s="78" t="e">
        <v>#N/A</v>
      </c>
      <c r="F229" s="78"/>
      <c r="G229" s="78"/>
      <c r="H229" s="219"/>
      <c r="I229" s="259" t="e">
        <v>#N/A</v>
      </c>
      <c r="J229" s="259" t="e">
        <v>#N/A</v>
      </c>
      <c r="K229" s="196">
        <v>1</v>
      </c>
      <c r="L229" s="78" t="e">
        <v>#N/A</v>
      </c>
      <c r="M229" s="146" t="e">
        <v>#N/A</v>
      </c>
      <c r="N229" s="146" t="e">
        <v>#N/A</v>
      </c>
      <c r="O229" s="78"/>
      <c r="P229" s="185"/>
      <c r="Q229" s="185"/>
      <c r="S229" s="186"/>
    </row>
    <row r="230" spans="1:19" s="184" customFormat="1" ht="18.75" hidden="1">
      <c r="A230" s="67"/>
      <c r="B230" s="78" t="s">
        <v>138</v>
      </c>
      <c r="C230" s="174" t="e">
        <v>#N/A</v>
      </c>
      <c r="D230" s="78" t="s">
        <v>281</v>
      </c>
      <c r="E230" s="78" t="e">
        <v>#N/A</v>
      </c>
      <c r="F230" s="78"/>
      <c r="G230" s="78"/>
      <c r="H230" s="219"/>
      <c r="I230" s="259" t="e">
        <v>#N/A</v>
      </c>
      <c r="J230" s="259" t="e">
        <v>#N/A</v>
      </c>
      <c r="K230" s="196">
        <v>1</v>
      </c>
      <c r="L230" s="78" t="e">
        <v>#N/A</v>
      </c>
      <c r="M230" s="146" t="e">
        <v>#N/A</v>
      </c>
      <c r="N230" s="146" t="e">
        <v>#N/A</v>
      </c>
      <c r="O230" s="78"/>
      <c r="P230" s="185"/>
      <c r="Q230" s="185"/>
      <c r="S230" s="186"/>
    </row>
    <row r="231" spans="1:19" s="184" customFormat="1" ht="18.75" hidden="1">
      <c r="A231" s="67"/>
      <c r="B231" s="78" t="s">
        <v>138</v>
      </c>
      <c r="C231" s="174" t="e">
        <v>#N/A</v>
      </c>
      <c r="D231" s="78" t="s">
        <v>282</v>
      </c>
      <c r="E231" s="78" t="e">
        <v>#N/A</v>
      </c>
      <c r="F231" s="78"/>
      <c r="G231" s="78"/>
      <c r="H231" s="219"/>
      <c r="I231" s="259" t="e">
        <v>#N/A</v>
      </c>
      <c r="J231" s="259" t="e">
        <v>#N/A</v>
      </c>
      <c r="K231" s="196">
        <v>1</v>
      </c>
      <c r="L231" s="78" t="e">
        <v>#N/A</v>
      </c>
      <c r="M231" s="146" t="e">
        <v>#N/A</v>
      </c>
      <c r="N231" s="146" t="e">
        <v>#N/A</v>
      </c>
      <c r="O231" s="78"/>
      <c r="P231" s="185"/>
      <c r="Q231" s="185"/>
      <c r="S231" s="186"/>
    </row>
    <row r="232" spans="1:19" s="184" customFormat="1" ht="33.75" customHeight="1" hidden="1">
      <c r="A232" s="67"/>
      <c r="B232" s="78" t="s">
        <v>138</v>
      </c>
      <c r="C232" s="174" t="e">
        <v>#N/A</v>
      </c>
      <c r="D232" s="78" t="s">
        <v>283</v>
      </c>
      <c r="E232" s="78" t="e">
        <v>#N/A</v>
      </c>
      <c r="F232" s="78"/>
      <c r="G232" s="78"/>
      <c r="H232" s="219"/>
      <c r="I232" s="259" t="e">
        <v>#N/A</v>
      </c>
      <c r="J232" s="259" t="e">
        <v>#N/A</v>
      </c>
      <c r="K232" s="196">
        <v>1</v>
      </c>
      <c r="L232" s="78" t="e">
        <v>#N/A</v>
      </c>
      <c r="M232" s="146" t="e">
        <v>#N/A</v>
      </c>
      <c r="N232" s="146" t="e">
        <v>#N/A</v>
      </c>
      <c r="O232" s="78"/>
      <c r="P232" s="185"/>
      <c r="Q232" s="185"/>
      <c r="S232" s="186"/>
    </row>
    <row r="233" spans="1:19" s="133" customFormat="1" ht="30" customHeight="1">
      <c r="A233" s="334" t="s">
        <v>244</v>
      </c>
      <c r="B233" s="326" t="s">
        <v>138</v>
      </c>
      <c r="C233" s="335" t="str">
        <f>VLOOKUP($D233,'PA - Por Componente'!$A$13:$Q$321,2,FALSE)</f>
        <v>Avaliação Intermediaria</v>
      </c>
      <c r="D233" s="351" t="s">
        <v>635</v>
      </c>
      <c r="E233" s="326" t="str">
        <f>VLOOKUP($D233,'PA - Por Componente'!$A$13:$Q$321,5,FALSE)</f>
        <v>3 CV</v>
      </c>
      <c r="F233" s="742">
        <v>0</v>
      </c>
      <c r="G233" s="743">
        <v>0</v>
      </c>
      <c r="H233" s="336">
        <f>VLOOKUP($D233,'PA - Por Componente'!$A$13:$Q$321,8,FALSE)</f>
        <v>28832.29</v>
      </c>
      <c r="I233" s="330">
        <f>VLOOKUP($D233,'PA - Por Componente'!$A$13:$Q$321,9,FALSE)</f>
        <v>1</v>
      </c>
      <c r="J233" s="330">
        <f>VLOOKUP($D233,'PA - Por Componente'!$A$13:$Q$321,10,FALSE)</f>
        <v>0</v>
      </c>
      <c r="K233" s="337" t="str">
        <f>LEFT(D233,1)</f>
        <v>3</v>
      </c>
      <c r="L233" s="326" t="str">
        <f>VLOOKUP($D233,'PA - Por Componente'!$A$13:$Q$321,12,FALSE)</f>
        <v>Ex-post</v>
      </c>
      <c r="M233" s="332">
        <f>VLOOKUP($D233,'PA - Por Componente'!$A$13:$Q$321,13,FALSE)</f>
        <v>44136</v>
      </c>
      <c r="N233" s="332">
        <f>VLOOKUP($D233,'PA - Por Componente'!$A$13:$Q$321,14,FALSE)</f>
        <v>44287</v>
      </c>
      <c r="O233" s="326">
        <f>VLOOKUP($D233,'PA - Por Componente'!$A$13:$Q$321,15,FALSE)</f>
        <v>0</v>
      </c>
      <c r="P233" s="326">
        <f>VLOOKUP($D233,'PA - Por Componente'!$A$13:$Q$321,16,FALSE)</f>
        <v>0</v>
      </c>
      <c r="Q233" s="326" t="str">
        <f>VLOOKUP($D233,'PA - Por Componente'!$A$13:$Q$321,17,FALSE)</f>
        <v>Contrato Concluído</v>
      </c>
      <c r="S233" s="132"/>
    </row>
    <row r="234" spans="1:19" s="133" customFormat="1" ht="30" customHeight="1">
      <c r="A234" s="334" t="s">
        <v>245</v>
      </c>
      <c r="B234" s="326" t="s">
        <v>138</v>
      </c>
      <c r="C234" s="335" t="str">
        <f>VLOOKUP($D234,'PA - Por Componente'!$A$13:$Q$321,2,FALSE)</f>
        <v>Avaliação Final</v>
      </c>
      <c r="D234" s="351" t="s">
        <v>636</v>
      </c>
      <c r="E234" s="326" t="str">
        <f>VLOOKUP($D234,'PA - Por Componente'!$A$13:$Q$321,5,FALSE)</f>
        <v>3 CV</v>
      </c>
      <c r="F234" s="742">
        <v>0</v>
      </c>
      <c r="G234" s="743">
        <v>0</v>
      </c>
      <c r="H234" s="336">
        <f>VLOOKUP($D234,'PA - Por Componente'!$A$13:$Q$321,8,FALSE)</f>
        <v>71167.70999999999</v>
      </c>
      <c r="I234" s="330">
        <f>VLOOKUP($D234,'PA - Por Componente'!$A$13:$Q$321,9,FALSE)</f>
        <v>1</v>
      </c>
      <c r="J234" s="330">
        <f>VLOOKUP($D234,'PA - Por Componente'!$A$13:$Q$321,10,FALSE)</f>
        <v>0</v>
      </c>
      <c r="K234" s="337" t="str">
        <f>LEFT(D234,1)</f>
        <v>3</v>
      </c>
      <c r="L234" s="326" t="str">
        <f>VLOOKUP($D234,'PA - Por Componente'!$A$13:$Q$321,12,FALSE)</f>
        <v>Ex-post</v>
      </c>
      <c r="M234" s="332">
        <f>VLOOKUP($D234,'PA - Por Componente'!$A$13:$Q$321,13,FALSE)</f>
        <v>44682</v>
      </c>
      <c r="N234" s="332">
        <f>VLOOKUP($D234,'PA - Por Componente'!$A$13:$Q$321,14,FALSE)</f>
        <v>45474</v>
      </c>
      <c r="O234" s="326">
        <f>VLOOKUP($D234,'PA - Por Componente'!$A$13:$Q$321,15,FALSE)</f>
        <v>0</v>
      </c>
      <c r="P234" s="326">
        <f>VLOOKUP($D234,'PA - Por Componente'!$A$13:$Q$321,16,FALSE)</f>
        <v>0</v>
      </c>
      <c r="Q234" s="326" t="str">
        <f>VLOOKUP($D234,'PA - Por Componente'!$A$13:$Q$321,17,FALSE)</f>
        <v>Processo em curso</v>
      </c>
      <c r="S234" s="132"/>
    </row>
    <row r="235" spans="1:19" s="114" customFormat="1" ht="30" customHeight="1" hidden="1">
      <c r="A235" s="171"/>
      <c r="B235" s="78" t="s">
        <v>138</v>
      </c>
      <c r="C235" s="174" t="s">
        <v>396</v>
      </c>
      <c r="D235" s="158"/>
      <c r="E235" s="78"/>
      <c r="F235" s="78"/>
      <c r="G235" s="78"/>
      <c r="H235" s="219"/>
      <c r="I235" s="259"/>
      <c r="J235" s="259"/>
      <c r="K235" s="196"/>
      <c r="L235" s="78"/>
      <c r="M235" s="146"/>
      <c r="N235" s="146"/>
      <c r="O235" s="326" t="e">
        <v>#N/A</v>
      </c>
      <c r="P235" s="78"/>
      <c r="Q235" s="78"/>
      <c r="S235" s="149"/>
    </row>
    <row r="236" spans="1:17" ht="18.75">
      <c r="A236" s="31"/>
      <c r="B236" s="92"/>
      <c r="C236" s="31"/>
      <c r="D236" s="92"/>
      <c r="E236" s="31"/>
      <c r="F236" s="92"/>
      <c r="G236" s="31" t="s">
        <v>94</v>
      </c>
      <c r="H236" s="325">
        <f>SUM(H229:H235)</f>
        <v>100000</v>
      </c>
      <c r="I236" s="262"/>
      <c r="J236" s="262"/>
      <c r="K236" s="300"/>
      <c r="L236" s="300"/>
      <c r="M236" s="300"/>
      <c r="N236" s="300"/>
      <c r="O236" s="300"/>
      <c r="P236" s="300"/>
      <c r="Q236" s="300"/>
    </row>
    <row r="237" spans="1:17" ht="15" customHeight="1">
      <c r="A237" s="31"/>
      <c r="B237" s="92"/>
      <c r="C237" s="31"/>
      <c r="D237" s="92"/>
      <c r="E237" s="31"/>
      <c r="F237" s="92"/>
      <c r="G237" s="31"/>
      <c r="H237" s="92"/>
      <c r="I237" s="248"/>
      <c r="J237" s="248"/>
      <c r="K237" s="300"/>
      <c r="L237" s="300"/>
      <c r="M237" s="300"/>
      <c r="N237" s="300"/>
      <c r="O237" s="300"/>
      <c r="P237" s="300"/>
      <c r="Q237" s="300"/>
    </row>
    <row r="238" spans="1:17" ht="15" customHeight="1">
      <c r="A238" s="31"/>
      <c r="B238" s="92"/>
      <c r="C238" s="31"/>
      <c r="D238" s="92"/>
      <c r="E238" s="31"/>
      <c r="F238" s="92"/>
      <c r="G238" s="31"/>
      <c r="H238" s="194"/>
      <c r="I238" s="249"/>
      <c r="J238" s="248"/>
      <c r="K238" s="300"/>
      <c r="L238" s="300"/>
      <c r="M238" s="300"/>
      <c r="N238" s="300"/>
      <c r="O238" s="300"/>
      <c r="P238" s="300"/>
      <c r="Q238" s="300"/>
    </row>
    <row r="239" spans="2:17" ht="31.5">
      <c r="B239" s="87"/>
      <c r="C239" s="88"/>
      <c r="D239" s="87"/>
      <c r="E239" s="87"/>
      <c r="F239" s="87"/>
      <c r="G239" s="31" t="s">
        <v>126</v>
      </c>
      <c r="H239" s="352">
        <f>H236+H224+H216+H190+H158+H33</f>
        <v>178500000.11519372</v>
      </c>
      <c r="I239" s="401"/>
      <c r="J239" s="232"/>
      <c r="K239" s="89"/>
      <c r="L239" s="87"/>
      <c r="M239" s="87"/>
      <c r="N239" s="87"/>
      <c r="O239" s="87"/>
      <c r="P239" s="87"/>
      <c r="Q239" s="87"/>
    </row>
    <row r="240" spans="2:17" ht="15.75">
      <c r="B240" s="87"/>
      <c r="C240" s="88"/>
      <c r="D240" s="87"/>
      <c r="E240" s="87"/>
      <c r="F240" s="87"/>
      <c r="G240" s="31"/>
      <c r="H240" s="92"/>
      <c r="I240" s="246"/>
      <c r="K240" s="89"/>
      <c r="L240" s="87"/>
      <c r="M240" s="87"/>
      <c r="N240" s="87"/>
      <c r="O240" s="87"/>
      <c r="P240" s="87"/>
      <c r="Q240" s="87"/>
    </row>
    <row r="241" spans="5:8" ht="42.75" customHeight="1">
      <c r="E241" s="116"/>
      <c r="F241" s="116"/>
      <c r="G241" s="117"/>
      <c r="H241" s="118"/>
    </row>
    <row r="242" spans="2:17" ht="15.75">
      <c r="B242" s="773" t="s">
        <v>54</v>
      </c>
      <c r="C242" s="774" t="s">
        <v>51</v>
      </c>
      <c r="D242" s="775" t="s">
        <v>38</v>
      </c>
      <c r="E242" s="775"/>
      <c r="F242" s="59"/>
      <c r="G242" s="53"/>
      <c r="H242" s="74"/>
      <c r="K242" s="91"/>
      <c r="P242" s="91"/>
      <c r="Q242" s="91"/>
    </row>
    <row r="243" spans="2:17" ht="15.75">
      <c r="B243" s="773"/>
      <c r="C243" s="774"/>
      <c r="D243" s="775" t="s">
        <v>72</v>
      </c>
      <c r="E243" s="775"/>
      <c r="F243" s="59"/>
      <c r="G243" s="53"/>
      <c r="H243" s="54"/>
      <c r="K243" s="91"/>
      <c r="P243" s="91"/>
      <c r="Q243" s="91"/>
    </row>
    <row r="244" spans="2:17" ht="15.75">
      <c r="B244" s="773"/>
      <c r="C244" s="774"/>
      <c r="D244" s="775" t="s">
        <v>73</v>
      </c>
      <c r="E244" s="775"/>
      <c r="F244" s="59"/>
      <c r="G244" s="53"/>
      <c r="H244" s="54"/>
      <c r="K244" s="91"/>
      <c r="O244" s="286"/>
      <c r="P244" s="91"/>
      <c r="Q244" s="91"/>
    </row>
    <row r="245" spans="2:17" ht="15.75">
      <c r="B245" s="773"/>
      <c r="C245" s="774"/>
      <c r="D245" s="775" t="s">
        <v>28</v>
      </c>
      <c r="E245" s="775"/>
      <c r="F245" s="59"/>
      <c r="G245" s="53"/>
      <c r="H245" s="54"/>
      <c r="K245" s="91"/>
      <c r="P245" s="91"/>
      <c r="Q245" s="91"/>
    </row>
    <row r="246" spans="2:17" ht="15.75">
      <c r="B246" s="773"/>
      <c r="C246" s="774"/>
      <c r="D246" s="775" t="s">
        <v>31</v>
      </c>
      <c r="E246" s="775"/>
      <c r="F246" s="59"/>
      <c r="G246" s="53"/>
      <c r="H246" s="54"/>
      <c r="K246" s="91"/>
      <c r="P246" s="91"/>
      <c r="Q246" s="91"/>
    </row>
    <row r="247" spans="2:17" ht="15.75">
      <c r="B247" s="773"/>
      <c r="C247" s="774"/>
      <c r="D247" s="775" t="s">
        <v>39</v>
      </c>
      <c r="E247" s="775"/>
      <c r="F247" s="59"/>
      <c r="G247" s="53"/>
      <c r="H247" s="54"/>
      <c r="K247" s="91"/>
      <c r="P247" s="91"/>
      <c r="Q247" s="91"/>
    </row>
    <row r="248" spans="2:17" ht="15.75">
      <c r="B248" s="773"/>
      <c r="C248" s="774"/>
      <c r="D248" s="775" t="s">
        <v>74</v>
      </c>
      <c r="E248" s="775"/>
      <c r="F248" s="59"/>
      <c r="G248" s="53"/>
      <c r="H248" s="54"/>
      <c r="K248" s="91"/>
      <c r="P248" s="91"/>
      <c r="Q248" s="91"/>
    </row>
    <row r="249" spans="2:17" ht="15.75">
      <c r="B249" s="773"/>
      <c r="C249" s="777" t="s">
        <v>53</v>
      </c>
      <c r="D249" s="775" t="s">
        <v>32</v>
      </c>
      <c r="E249" s="775"/>
      <c r="F249" s="59"/>
      <c r="G249" s="53"/>
      <c r="H249" s="54"/>
      <c r="K249" s="91"/>
      <c r="P249" s="91"/>
      <c r="Q249" s="91"/>
    </row>
    <row r="250" spans="2:17" ht="15.75">
      <c r="B250" s="773"/>
      <c r="C250" s="777"/>
      <c r="D250" s="775" t="s">
        <v>33</v>
      </c>
      <c r="E250" s="775"/>
      <c r="F250" s="59"/>
      <c r="G250" s="53"/>
      <c r="H250" s="54"/>
      <c r="K250" s="91"/>
      <c r="P250" s="91"/>
      <c r="Q250" s="91"/>
    </row>
    <row r="251" spans="2:17" ht="15.75">
      <c r="B251" s="773"/>
      <c r="C251" s="777"/>
      <c r="D251" s="775" t="s">
        <v>34</v>
      </c>
      <c r="E251" s="775"/>
      <c r="K251" s="91"/>
      <c r="P251" s="91"/>
      <c r="Q251" s="91"/>
    </row>
    <row r="252" spans="2:17" ht="15.75">
      <c r="B252" s="773"/>
      <c r="C252" s="777"/>
      <c r="D252" s="775" t="s">
        <v>28</v>
      </c>
      <c r="E252" s="775"/>
      <c r="K252" s="91"/>
      <c r="P252" s="91"/>
      <c r="Q252" s="91"/>
    </row>
    <row r="253" spans="2:17" ht="15.75">
      <c r="B253" s="773"/>
      <c r="C253" s="777"/>
      <c r="D253" s="775" t="s">
        <v>31</v>
      </c>
      <c r="E253" s="775"/>
      <c r="K253" s="91"/>
      <c r="P253" s="91"/>
      <c r="Q253" s="91"/>
    </row>
    <row r="254" spans="2:17" ht="15.75">
      <c r="B254" s="773"/>
      <c r="C254" s="777"/>
      <c r="D254" s="775" t="s">
        <v>40</v>
      </c>
      <c r="E254" s="775"/>
      <c r="K254" s="91"/>
      <c r="P254" s="91"/>
      <c r="Q254" s="91"/>
    </row>
    <row r="255" spans="2:17" ht="15.75">
      <c r="B255" s="773"/>
      <c r="C255" s="777"/>
      <c r="D255" s="775" t="s">
        <v>75</v>
      </c>
      <c r="E255" s="775"/>
      <c r="K255" s="91"/>
      <c r="P255" s="91"/>
      <c r="Q255" s="91"/>
    </row>
    <row r="256" spans="2:20" ht="15.75">
      <c r="B256" s="773"/>
      <c r="C256" s="777"/>
      <c r="D256" s="775" t="s">
        <v>52</v>
      </c>
      <c r="E256" s="775"/>
      <c r="K256" s="91"/>
      <c r="P256" s="91"/>
      <c r="Q256" s="91"/>
      <c r="T256" s="76"/>
    </row>
    <row r="257" spans="2:20" ht="15.75">
      <c r="B257" s="773"/>
      <c r="C257" s="777"/>
      <c r="D257" s="775" t="s">
        <v>5</v>
      </c>
      <c r="E257" s="775"/>
      <c r="K257" s="91"/>
      <c r="P257" s="91"/>
      <c r="Q257" s="91"/>
      <c r="T257" s="76"/>
    </row>
    <row r="258" spans="2:20" ht="15.75">
      <c r="B258" s="773"/>
      <c r="C258" s="777"/>
      <c r="D258" s="775" t="s">
        <v>11</v>
      </c>
      <c r="E258" s="775"/>
      <c r="K258" s="91"/>
      <c r="P258" s="91"/>
      <c r="Q258" s="91"/>
      <c r="T258" s="76"/>
    </row>
    <row r="259" spans="2:20" ht="15.75">
      <c r="B259" s="773"/>
      <c r="C259" s="781" t="s">
        <v>76</v>
      </c>
      <c r="D259" s="775" t="s">
        <v>77</v>
      </c>
      <c r="E259" s="775"/>
      <c r="K259" s="91"/>
      <c r="P259" s="91"/>
      <c r="Q259" s="91"/>
      <c r="T259" s="76"/>
    </row>
    <row r="260" spans="2:20" ht="15.75">
      <c r="B260" s="773"/>
      <c r="C260" s="782"/>
      <c r="D260" s="775" t="s">
        <v>28</v>
      </c>
      <c r="E260" s="775"/>
      <c r="K260" s="91"/>
      <c r="P260" s="91"/>
      <c r="Q260" s="91"/>
      <c r="T260" s="76"/>
    </row>
    <row r="261" spans="2:20" ht="15.75">
      <c r="B261" s="773"/>
      <c r="C261" s="783"/>
      <c r="D261" s="775" t="s">
        <v>31</v>
      </c>
      <c r="E261" s="775"/>
      <c r="T261" s="63"/>
    </row>
    <row r="262" spans="9:20" ht="15.75">
      <c r="I262" s="250"/>
      <c r="J262" s="250"/>
      <c r="T262" s="63"/>
    </row>
    <row r="263" spans="1:20" s="76" customFormat="1" ht="15.75">
      <c r="A263" s="52"/>
      <c r="B263" s="778" t="s">
        <v>95</v>
      </c>
      <c r="C263" s="779"/>
      <c r="D263" s="779"/>
      <c r="E263" s="780"/>
      <c r="F263" s="32"/>
      <c r="G263" s="32"/>
      <c r="H263" s="34"/>
      <c r="I263" s="251"/>
      <c r="J263" s="251"/>
      <c r="K263" s="39"/>
      <c r="L263" s="36"/>
      <c r="M263" s="35"/>
      <c r="N263" s="60"/>
      <c r="O263" s="60"/>
      <c r="P263" s="52"/>
      <c r="Q263" s="52"/>
      <c r="R263" s="60"/>
      <c r="S263" s="60"/>
      <c r="T263" s="63"/>
    </row>
    <row r="264" spans="1:20" s="76" customFormat="1" ht="33.75" customHeight="1">
      <c r="A264" s="52"/>
      <c r="B264" s="33" t="s">
        <v>96</v>
      </c>
      <c r="C264" s="776" t="s">
        <v>101</v>
      </c>
      <c r="D264" s="776"/>
      <c r="E264" s="776"/>
      <c r="F264" s="37"/>
      <c r="G264" s="37"/>
      <c r="H264" s="37"/>
      <c r="I264" s="251"/>
      <c r="J264" s="251"/>
      <c r="K264" s="26"/>
      <c r="L264" s="37"/>
      <c r="M264" s="37"/>
      <c r="N264" s="60"/>
      <c r="O264" s="60"/>
      <c r="P264" s="52"/>
      <c r="Q264" s="52"/>
      <c r="R264" s="60"/>
      <c r="S264" s="60"/>
      <c r="T264" s="63"/>
    </row>
    <row r="265" spans="1:20" s="76" customFormat="1" ht="15.75">
      <c r="A265" s="52"/>
      <c r="B265" s="33" t="s">
        <v>97</v>
      </c>
      <c r="C265" s="776" t="s">
        <v>102</v>
      </c>
      <c r="D265" s="776"/>
      <c r="E265" s="776"/>
      <c r="F265" s="37"/>
      <c r="G265" s="37"/>
      <c r="H265" s="37"/>
      <c r="I265" s="251"/>
      <c r="J265" s="251"/>
      <c r="K265" s="26"/>
      <c r="L265" s="37"/>
      <c r="M265" s="37"/>
      <c r="N265" s="60"/>
      <c r="O265" s="60"/>
      <c r="P265" s="52"/>
      <c r="Q265" s="52"/>
      <c r="R265" s="60"/>
      <c r="S265" s="60"/>
      <c r="T265" s="74"/>
    </row>
    <row r="266" spans="1:20" s="76" customFormat="1" ht="37.5" customHeight="1">
      <c r="A266" s="52"/>
      <c r="B266" s="33" t="s">
        <v>98</v>
      </c>
      <c r="C266" s="776" t="s">
        <v>103</v>
      </c>
      <c r="D266" s="776"/>
      <c r="E266" s="776"/>
      <c r="F266" s="37"/>
      <c r="G266" s="37"/>
      <c r="H266" s="37"/>
      <c r="I266" s="251"/>
      <c r="J266" s="251"/>
      <c r="K266" s="26"/>
      <c r="L266" s="37"/>
      <c r="M266" s="37"/>
      <c r="N266" s="60"/>
      <c r="O266" s="60"/>
      <c r="P266" s="52"/>
      <c r="Q266" s="52"/>
      <c r="R266" s="60"/>
      <c r="S266" s="60"/>
      <c r="T266" s="74"/>
    </row>
    <row r="267" spans="1:20" s="76" customFormat="1" ht="15.75">
      <c r="A267" s="52"/>
      <c r="B267" s="33" t="s">
        <v>99</v>
      </c>
      <c r="C267" s="776" t="s">
        <v>100</v>
      </c>
      <c r="D267" s="776"/>
      <c r="E267" s="776"/>
      <c r="F267" s="37"/>
      <c r="G267" s="37"/>
      <c r="H267" s="37"/>
      <c r="I267" s="252"/>
      <c r="J267" s="252"/>
      <c r="K267" s="26"/>
      <c r="L267" s="37"/>
      <c r="M267" s="37"/>
      <c r="N267" s="60"/>
      <c r="O267" s="60"/>
      <c r="P267" s="52"/>
      <c r="Q267" s="52"/>
      <c r="R267" s="60"/>
      <c r="S267" s="60"/>
      <c r="T267" s="74"/>
    </row>
    <row r="268" spans="1:20" s="63" customFormat="1" ht="15.75">
      <c r="A268" s="61"/>
      <c r="B268" s="62"/>
      <c r="C268" s="62"/>
      <c r="G268" s="64"/>
      <c r="H268" s="92"/>
      <c r="I268" s="253"/>
      <c r="J268" s="253"/>
      <c r="K268" s="64"/>
      <c r="N268" s="62"/>
      <c r="O268" s="62"/>
      <c r="P268" s="61"/>
      <c r="Q268" s="61"/>
      <c r="R268" s="62"/>
      <c r="S268" s="62"/>
      <c r="T268" s="74"/>
    </row>
    <row r="269" spans="1:20" s="63" customFormat="1" ht="15.75">
      <c r="A269" s="61"/>
      <c r="B269" s="62"/>
      <c r="C269" s="62"/>
      <c r="D269" s="62"/>
      <c r="E269" s="62"/>
      <c r="F269" s="62"/>
      <c r="G269" s="61"/>
      <c r="H269" s="65"/>
      <c r="I269" s="253"/>
      <c r="J269" s="253"/>
      <c r="K269" s="61"/>
      <c r="L269" s="62"/>
      <c r="M269" s="62"/>
      <c r="N269" s="62"/>
      <c r="O269" s="62"/>
      <c r="P269" s="61"/>
      <c r="Q269" s="61"/>
      <c r="R269" s="62"/>
      <c r="S269" s="62"/>
      <c r="T269" s="74"/>
    </row>
    <row r="270" spans="1:20" s="63" customFormat="1" ht="15.75">
      <c r="A270" s="61"/>
      <c r="B270" s="62"/>
      <c r="C270" s="62"/>
      <c r="D270" s="62"/>
      <c r="E270" s="62"/>
      <c r="F270" s="62"/>
      <c r="G270" s="61"/>
      <c r="H270" s="65"/>
      <c r="I270" s="253"/>
      <c r="J270" s="253"/>
      <c r="K270" s="61"/>
      <c r="L270" s="62"/>
      <c r="M270" s="62"/>
      <c r="N270" s="62"/>
      <c r="O270" s="62"/>
      <c r="P270" s="61"/>
      <c r="Q270" s="61"/>
      <c r="R270" s="62"/>
      <c r="S270" s="62"/>
      <c r="T270" s="74"/>
    </row>
    <row r="271" spans="1:20" s="63" customFormat="1" ht="15.75">
      <c r="A271" s="61"/>
      <c r="B271" s="62"/>
      <c r="C271" s="62"/>
      <c r="D271" s="62"/>
      <c r="E271" s="62"/>
      <c r="F271" s="62"/>
      <c r="G271" s="61"/>
      <c r="H271" s="65"/>
      <c r="I271" s="239"/>
      <c r="J271" s="239"/>
      <c r="K271" s="61"/>
      <c r="L271" s="62"/>
      <c r="M271" s="62"/>
      <c r="N271" s="62"/>
      <c r="O271" s="62"/>
      <c r="P271" s="61"/>
      <c r="Q271" s="61"/>
      <c r="R271" s="62"/>
      <c r="S271" s="62"/>
      <c r="T271" s="74"/>
    </row>
  </sheetData>
  <sheetProtection/>
  <mergeCells count="146">
    <mergeCell ref="C249:C258"/>
    <mergeCell ref="B263:E263"/>
    <mergeCell ref="C264:E264"/>
    <mergeCell ref="C265:E265"/>
    <mergeCell ref="C266:E266"/>
    <mergeCell ref="D254:E254"/>
    <mergeCell ref="D259:E259"/>
    <mergeCell ref="C259:C261"/>
    <mergeCell ref="D260:E260"/>
    <mergeCell ref="D261:E261"/>
    <mergeCell ref="C267:E267"/>
    <mergeCell ref="D255:E255"/>
    <mergeCell ref="D256:E256"/>
    <mergeCell ref="D257:E257"/>
    <mergeCell ref="D258:E258"/>
    <mergeCell ref="F222:G222"/>
    <mergeCell ref="F223:G223"/>
    <mergeCell ref="D245:E245"/>
    <mergeCell ref="D246:E246"/>
    <mergeCell ref="F234:G234"/>
    <mergeCell ref="D253:E253"/>
    <mergeCell ref="D250:E250"/>
    <mergeCell ref="D251:E251"/>
    <mergeCell ref="D252:E252"/>
    <mergeCell ref="O227:O228"/>
    <mergeCell ref="D247:E247"/>
    <mergeCell ref="D248:E248"/>
    <mergeCell ref="D249:E249"/>
    <mergeCell ref="P227:P228"/>
    <mergeCell ref="Q227:Q228"/>
    <mergeCell ref="F228:G228"/>
    <mergeCell ref="B242:B261"/>
    <mergeCell ref="C242:C248"/>
    <mergeCell ref="D242:E242"/>
    <mergeCell ref="D243:E243"/>
    <mergeCell ref="D244:E244"/>
    <mergeCell ref="F233:G233"/>
    <mergeCell ref="M227:N227"/>
    <mergeCell ref="A226:A228"/>
    <mergeCell ref="B226:Q226"/>
    <mergeCell ref="B227:B228"/>
    <mergeCell ref="C227:C228"/>
    <mergeCell ref="D227:D228"/>
    <mergeCell ref="E227:E228"/>
    <mergeCell ref="F227:G227"/>
    <mergeCell ref="H227:J227"/>
    <mergeCell ref="K227:K228"/>
    <mergeCell ref="L227:L228"/>
    <mergeCell ref="M219:N219"/>
    <mergeCell ref="O219:O220"/>
    <mergeCell ref="P219:P220"/>
    <mergeCell ref="Q219:Q220"/>
    <mergeCell ref="F220:G220"/>
    <mergeCell ref="F221:G221"/>
    <mergeCell ref="A218:A220"/>
    <mergeCell ref="B218:Q218"/>
    <mergeCell ref="B219:B220"/>
    <mergeCell ref="C219:C220"/>
    <mergeCell ref="D219:D220"/>
    <mergeCell ref="E219:E220"/>
    <mergeCell ref="F219:G219"/>
    <mergeCell ref="H219:J219"/>
    <mergeCell ref="K219:K220"/>
    <mergeCell ref="L219:L220"/>
    <mergeCell ref="Q193:Q194"/>
    <mergeCell ref="F194:G194"/>
    <mergeCell ref="F212:G212"/>
    <mergeCell ref="F213:G213"/>
    <mergeCell ref="F214:G214"/>
    <mergeCell ref="F215:G215"/>
    <mergeCell ref="H193:J193"/>
    <mergeCell ref="K193:K194"/>
    <mergeCell ref="L193:L194"/>
    <mergeCell ref="M193:N193"/>
    <mergeCell ref="O193:O194"/>
    <mergeCell ref="P193:P194"/>
    <mergeCell ref="O161:O162"/>
    <mergeCell ref="P161:P162"/>
    <mergeCell ref="Q161:Q162"/>
    <mergeCell ref="A192:A194"/>
    <mergeCell ref="B192:Q192"/>
    <mergeCell ref="B193:B194"/>
    <mergeCell ref="C193:C194"/>
    <mergeCell ref="D193:D194"/>
    <mergeCell ref="M36:N36"/>
    <mergeCell ref="O36:O37"/>
    <mergeCell ref="P36:P37"/>
    <mergeCell ref="Q36:Q37"/>
    <mergeCell ref="E193:E194"/>
    <mergeCell ref="F193:G193"/>
    <mergeCell ref="F161:F162"/>
    <mergeCell ref="G161:G162"/>
    <mergeCell ref="H161:J161"/>
    <mergeCell ref="K161:K162"/>
    <mergeCell ref="K36:K37"/>
    <mergeCell ref="L36:L37"/>
    <mergeCell ref="A160:A162"/>
    <mergeCell ref="B160:Q160"/>
    <mergeCell ref="B161:B162"/>
    <mergeCell ref="C161:C162"/>
    <mergeCell ref="D161:D162"/>
    <mergeCell ref="E161:E162"/>
    <mergeCell ref="L161:L162"/>
    <mergeCell ref="M161:N161"/>
    <mergeCell ref="V14:W14"/>
    <mergeCell ref="A35:A37"/>
    <mergeCell ref="B35:Q35"/>
    <mergeCell ref="B36:B37"/>
    <mergeCell ref="C36:C37"/>
    <mergeCell ref="D36:D37"/>
    <mergeCell ref="E36:E37"/>
    <mergeCell ref="F36:F37"/>
    <mergeCell ref="G36:G37"/>
    <mergeCell ref="H36:J36"/>
    <mergeCell ref="L14:L15"/>
    <mergeCell ref="M14:N14"/>
    <mergeCell ref="O14:O15"/>
    <mergeCell ref="P14:P15"/>
    <mergeCell ref="Q14:Q15"/>
    <mergeCell ref="T14:U14"/>
    <mergeCell ref="A13:A15"/>
    <mergeCell ref="B13:Q13"/>
    <mergeCell ref="B14:B15"/>
    <mergeCell ref="C14:C15"/>
    <mergeCell ref="D14:D15"/>
    <mergeCell ref="E14:E15"/>
    <mergeCell ref="F14:F15"/>
    <mergeCell ref="G14:G15"/>
    <mergeCell ref="H14:J14"/>
    <mergeCell ref="K14:K15"/>
    <mergeCell ref="F195:G195"/>
    <mergeCell ref="F196:G196"/>
    <mergeCell ref="F197:G197"/>
    <mergeCell ref="F198:G198"/>
    <mergeCell ref="F199:G199"/>
    <mergeCell ref="A2:L2"/>
    <mergeCell ref="A3:L3"/>
    <mergeCell ref="A4:L4"/>
    <mergeCell ref="A5:L5"/>
    <mergeCell ref="B6:E6"/>
    <mergeCell ref="F201:G201"/>
    <mergeCell ref="F202:G202"/>
    <mergeCell ref="F203:G203"/>
    <mergeCell ref="F205:G205"/>
    <mergeCell ref="F204:G204"/>
    <mergeCell ref="F200:G200"/>
  </mergeCells>
  <dataValidations count="5">
    <dataValidation type="list" allowBlank="1" showInputMessage="1" showErrorMessage="1" sqref="L216:L220 L158:L159 L191">
      <formula1>$C$221:$C$221</formula1>
    </dataValidation>
    <dataValidation type="list" allowBlank="1" showInputMessage="1" showErrorMessage="1" sqref="R186 Q149:Q150 Q209:R220 Q158:R159 R149:R157 Q191:R191">
      <formula1>$C$224:$C$224</formula1>
    </dataValidation>
    <dataValidation type="list" allowBlank="1" showInputMessage="1" showErrorMessage="1" sqref="E216:E220">
      <formula1>$D$259:$D$261</formula1>
    </dataValidation>
    <dataValidation type="list" allowBlank="1" showInputMessage="1" showErrorMessage="1" sqref="E222 E191 E158:E159">
      <formula1>$D$249:$D$258</formula1>
    </dataValidation>
    <dataValidation type="list" allowBlank="1" showInputMessage="1" showErrorMessage="1" sqref="F222 E209:E215">
      <formula1>$D$242:$D$248</formula1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3" r:id="rId2"/>
  <rowBreaks count="4" manualBreakCount="4">
    <brk id="53" max="21" man="1"/>
    <brk id="82" max="21" man="1"/>
    <brk id="159" max="21" man="1"/>
    <brk id="217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T331"/>
  <sheetViews>
    <sheetView showGridLines="0" view="pageBreakPreview" zoomScale="60" zoomScaleNormal="60" workbookViewId="0" topLeftCell="A58">
      <selection activeCell="L81" sqref="L81"/>
    </sheetView>
  </sheetViews>
  <sheetFormatPr defaultColWidth="8.421875" defaultRowHeight="15" outlineLevelRow="3"/>
  <cols>
    <col min="1" max="1" width="12.421875" style="52" customWidth="1"/>
    <col min="2" max="2" width="11.421875" style="91" customWidth="1"/>
    <col min="3" max="3" width="52.00390625" style="91" customWidth="1"/>
    <col min="4" max="4" width="23.421875" style="91" customWidth="1"/>
    <col min="5" max="5" width="22.421875" style="91" customWidth="1"/>
    <col min="6" max="6" width="19.140625" style="91" customWidth="1"/>
    <col min="7" max="7" width="22.140625" style="52" customWidth="1"/>
    <col min="8" max="8" width="20.8515625" style="223" customWidth="1"/>
    <col min="9" max="9" width="24.00390625" style="239" customWidth="1"/>
    <col min="10" max="10" width="19.421875" style="239" customWidth="1"/>
    <col min="11" max="11" width="25.421875" style="52" customWidth="1"/>
    <col min="12" max="12" width="19.140625" style="91" customWidth="1"/>
    <col min="13" max="13" width="20.7109375" style="91" customWidth="1"/>
    <col min="14" max="14" width="16.8515625" style="91" customWidth="1"/>
    <col min="15" max="15" width="32.421875" style="91" customWidth="1"/>
    <col min="16" max="16" width="18.8515625" style="52" customWidth="1"/>
    <col min="17" max="17" width="20.00390625" style="52" customWidth="1"/>
    <col min="18" max="18" width="69.421875" style="91" customWidth="1"/>
    <col min="19" max="20" width="24.00390625" style="91" customWidth="1"/>
    <col min="21" max="21" width="23.421875" style="74" customWidth="1"/>
    <col min="22" max="22" width="25.00390625" style="74" customWidth="1"/>
    <col min="23" max="23" width="20.421875" style="74" customWidth="1"/>
    <col min="24" max="24" width="19.8515625" style="74" customWidth="1"/>
    <col min="25" max="25" width="24.421875" style="74" customWidth="1"/>
    <col min="26" max="26" width="20.00390625" style="74" customWidth="1"/>
    <col min="27" max="28" width="23.00390625" style="74" customWidth="1"/>
    <col min="29" max="29" width="18.57421875" style="74" customWidth="1"/>
    <col min="30" max="31" width="8.421875" style="74" customWidth="1"/>
    <col min="32" max="32" width="7.00390625" style="74" customWidth="1"/>
    <col min="33" max="16384" width="8.421875" style="74" customWidth="1"/>
  </cols>
  <sheetData>
    <row r="1" spans="1:20" s="73" customFormat="1" ht="15.75">
      <c r="A1" s="99"/>
      <c r="B1" s="99"/>
      <c r="C1" s="99"/>
      <c r="D1" s="99"/>
      <c r="E1" s="99"/>
      <c r="F1" s="99"/>
      <c r="G1" s="99"/>
      <c r="H1" s="212"/>
      <c r="I1" s="233"/>
      <c r="J1" s="233"/>
      <c r="K1" s="99"/>
      <c r="L1" s="99"/>
      <c r="M1" s="40"/>
      <c r="N1" s="40"/>
      <c r="O1" s="40"/>
      <c r="P1" s="38"/>
      <c r="Q1" s="38"/>
      <c r="R1" s="40"/>
      <c r="S1" s="40"/>
      <c r="T1" s="40"/>
    </row>
    <row r="2" spans="1:20" s="73" customFormat="1" ht="23.25" customHeight="1">
      <c r="A2" s="746" t="s">
        <v>18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1"/>
      <c r="N2" s="71"/>
      <c r="O2" s="71"/>
      <c r="P2" s="100"/>
      <c r="Q2" s="100"/>
      <c r="R2" s="40"/>
      <c r="S2" s="40"/>
      <c r="T2" s="40"/>
    </row>
    <row r="3" spans="1:20" s="73" customFormat="1" ht="23.25" customHeight="1">
      <c r="A3" s="747" t="s">
        <v>140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1"/>
      <c r="N3" s="71"/>
      <c r="O3" s="71"/>
      <c r="P3" s="100"/>
      <c r="Q3" s="100"/>
      <c r="R3" s="40"/>
      <c r="S3" s="40"/>
      <c r="T3" s="40"/>
    </row>
    <row r="4" spans="1:20" s="73" customFormat="1" ht="21" customHeight="1">
      <c r="A4" s="748" t="s">
        <v>141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1"/>
      <c r="N4" s="71"/>
      <c r="O4" s="71"/>
      <c r="P4" s="100"/>
      <c r="Q4" s="100"/>
      <c r="R4" s="40"/>
      <c r="S4" s="40"/>
      <c r="T4" s="40"/>
    </row>
    <row r="5" spans="1:20" s="73" customFormat="1" ht="33" customHeight="1">
      <c r="A5" s="746" t="s">
        <v>142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1"/>
      <c r="N5" s="71"/>
      <c r="O5" s="71"/>
      <c r="P5" s="100"/>
      <c r="Q5" s="100"/>
      <c r="R5" s="40"/>
      <c r="S5" s="40"/>
      <c r="T5" s="40"/>
    </row>
    <row r="6" spans="1:20" s="73" customFormat="1" ht="21">
      <c r="A6" s="38"/>
      <c r="B6" s="69"/>
      <c r="C6" s="70"/>
      <c r="D6" s="40"/>
      <c r="E6" s="40"/>
      <c r="F6" s="40"/>
      <c r="G6" s="38"/>
      <c r="H6" s="213"/>
      <c r="I6" s="234"/>
      <c r="J6" s="234"/>
      <c r="K6" s="38"/>
      <c r="L6" s="40"/>
      <c r="M6" s="40"/>
      <c r="N6" s="40"/>
      <c r="O6" s="40"/>
      <c r="P6" s="38"/>
      <c r="Q6" s="38"/>
      <c r="R6" s="40"/>
      <c r="S6" s="40"/>
      <c r="T6" s="40"/>
    </row>
    <row r="7" spans="1:20" s="73" customFormat="1" ht="21">
      <c r="A7" s="38"/>
      <c r="B7" s="504" t="str">
        <f>'PA - Por Categoria - ATUALIZADO'!B7:E7</f>
        <v>Atualizado em: 19/05/2023</v>
      </c>
      <c r="C7" s="189"/>
      <c r="D7" s="122"/>
      <c r="E7" s="122"/>
      <c r="F7" s="40"/>
      <c r="G7" s="38"/>
      <c r="H7" s="213"/>
      <c r="I7" s="234"/>
      <c r="J7" s="234"/>
      <c r="K7" s="38"/>
      <c r="L7" s="40"/>
      <c r="M7" s="40"/>
      <c r="N7" s="40"/>
      <c r="O7" s="40"/>
      <c r="P7" s="38"/>
      <c r="Q7" s="38"/>
      <c r="R7" s="40"/>
      <c r="S7" s="40"/>
      <c r="T7" s="40"/>
    </row>
    <row r="8" spans="1:20" s="73" customFormat="1" ht="21">
      <c r="A8" s="38"/>
      <c r="B8" s="504" t="str">
        <f>'PA - Por Categoria - ATUALIZADO'!B8:E8</f>
        <v>Atualização Nº: 18</v>
      </c>
      <c r="C8" s="125"/>
      <c r="D8" s="71"/>
      <c r="E8" s="40"/>
      <c r="F8" s="40"/>
      <c r="G8" s="38"/>
      <c r="H8" s="213"/>
      <c r="I8" s="234"/>
      <c r="J8" s="234"/>
      <c r="K8" s="38"/>
      <c r="L8" s="40"/>
      <c r="M8" s="40"/>
      <c r="N8" s="40"/>
      <c r="O8" s="416"/>
      <c r="P8" s="38"/>
      <c r="Q8" s="38"/>
      <c r="R8" s="40"/>
      <c r="S8" s="40"/>
      <c r="T8" s="40"/>
    </row>
    <row r="9" spans="1:20" s="73" customFormat="1" ht="21">
      <c r="A9" s="38"/>
      <c r="B9" s="504" t="str">
        <f>'PA - Por Categoria - ATUALIZADO'!B9:E9</f>
        <v>Taxa de câmbio de referência (US$ = R$ 5,00)</v>
      </c>
      <c r="C9" s="82"/>
      <c r="E9" s="81"/>
      <c r="F9" s="40"/>
      <c r="G9" s="38"/>
      <c r="H9" s="214">
        <v>3</v>
      </c>
      <c r="I9" s="234"/>
      <c r="J9" s="234"/>
      <c r="K9" s="38"/>
      <c r="L9" s="40"/>
      <c r="M9" s="40"/>
      <c r="N9" s="40"/>
      <c r="O9" s="40"/>
      <c r="P9" s="38"/>
      <c r="Q9" s="38"/>
      <c r="R9" s="40"/>
      <c r="S9" s="40"/>
      <c r="T9" s="40"/>
    </row>
    <row r="10" spans="1:20" s="73" customFormat="1" ht="21" customHeight="1">
      <c r="A10" s="38"/>
      <c r="B10" s="804" t="str">
        <f>'PA - Por Categoria - ATUALIZADO'!B10</f>
        <v>Publicado em </v>
      </c>
      <c r="C10" s="804"/>
      <c r="D10" s="124"/>
      <c r="E10" s="126"/>
      <c r="F10" s="40"/>
      <c r="G10" s="38"/>
      <c r="H10" s="214"/>
      <c r="I10" s="234"/>
      <c r="J10" s="234"/>
      <c r="K10" s="38"/>
      <c r="L10" s="40"/>
      <c r="M10" s="40"/>
      <c r="N10" s="40"/>
      <c r="O10" s="416"/>
      <c r="P10" s="38"/>
      <c r="Q10" s="38"/>
      <c r="R10" s="40"/>
      <c r="S10" s="40"/>
      <c r="T10" s="40"/>
    </row>
    <row r="11" spans="1:20" s="73" customFormat="1" ht="15" customHeight="1">
      <c r="A11" s="38"/>
      <c r="B11" s="68"/>
      <c r="C11" s="82"/>
      <c r="E11" s="81"/>
      <c r="F11" s="40"/>
      <c r="G11" s="38"/>
      <c r="H11" s="214"/>
      <c r="I11" s="234"/>
      <c r="J11" s="234"/>
      <c r="K11" s="38"/>
      <c r="L11" s="40"/>
      <c r="M11" s="40"/>
      <c r="N11" s="40"/>
      <c r="O11" s="40"/>
      <c r="P11" s="38"/>
      <c r="Q11" s="38"/>
      <c r="R11" s="40"/>
      <c r="S11" s="40"/>
      <c r="T11" s="40"/>
    </row>
    <row r="12" spans="1:28" s="73" customFormat="1" ht="15.75">
      <c r="A12" s="83"/>
      <c r="B12" s="84"/>
      <c r="C12" s="85"/>
      <c r="D12" s="84"/>
      <c r="E12" s="85"/>
      <c r="F12" s="84"/>
      <c r="G12" s="85"/>
      <c r="H12" s="215"/>
      <c r="I12" s="254"/>
      <c r="J12" s="255"/>
      <c r="K12" s="85"/>
      <c r="L12" s="84"/>
      <c r="M12" s="85"/>
      <c r="N12" s="84"/>
      <c r="O12" s="85"/>
      <c r="P12" s="84"/>
      <c r="Q12" s="85"/>
      <c r="R12" s="84"/>
      <c r="S12" s="85"/>
      <c r="T12" s="85"/>
      <c r="U12" s="84"/>
      <c r="V12" s="85"/>
      <c r="W12" s="84"/>
      <c r="X12" s="85"/>
      <c r="Y12" s="84"/>
      <c r="Z12" s="85"/>
      <c r="AA12" s="84">
        <v>25</v>
      </c>
      <c r="AB12" s="637"/>
    </row>
    <row r="13" spans="1:22" ht="15.75">
      <c r="A13" s="377"/>
      <c r="B13" s="754" t="s">
        <v>497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4"/>
      <c r="V13" s="74">
        <v>3.8</v>
      </c>
    </row>
    <row r="14" spans="1:24" ht="15.75" customHeight="1">
      <c r="A14" s="752">
        <v>1</v>
      </c>
      <c r="B14" s="800" t="s">
        <v>21</v>
      </c>
      <c r="C14" s="383"/>
      <c r="D14" s="755" t="s">
        <v>42</v>
      </c>
      <c r="E14" s="755" t="s">
        <v>93</v>
      </c>
      <c r="F14" s="755" t="s">
        <v>41</v>
      </c>
      <c r="G14" s="755" t="s">
        <v>43</v>
      </c>
      <c r="H14" s="755"/>
      <c r="I14" s="755"/>
      <c r="J14" s="755"/>
      <c r="K14" s="756" t="s">
        <v>49</v>
      </c>
      <c r="L14" s="755" t="s">
        <v>46</v>
      </c>
      <c r="M14" s="755" t="s">
        <v>24</v>
      </c>
      <c r="N14" s="755"/>
      <c r="O14" s="755" t="s">
        <v>16</v>
      </c>
      <c r="P14" s="755" t="s">
        <v>47</v>
      </c>
      <c r="Q14" s="755" t="s">
        <v>13</v>
      </c>
      <c r="R14" s="810" t="s">
        <v>235</v>
      </c>
      <c r="U14" s="757" t="s">
        <v>135</v>
      </c>
      <c r="V14" s="757"/>
      <c r="W14" s="757" t="s">
        <v>136</v>
      </c>
      <c r="X14" s="757"/>
    </row>
    <row r="15" spans="1:24" ht="66" customHeight="1">
      <c r="A15" s="753"/>
      <c r="B15" s="801"/>
      <c r="C15" s="384"/>
      <c r="D15" s="755"/>
      <c r="E15" s="755"/>
      <c r="F15" s="755"/>
      <c r="G15" s="755"/>
      <c r="H15" s="216" t="s">
        <v>123</v>
      </c>
      <c r="I15" s="236" t="s">
        <v>45</v>
      </c>
      <c r="J15" s="236" t="s">
        <v>44</v>
      </c>
      <c r="K15" s="756"/>
      <c r="L15" s="755"/>
      <c r="M15" s="102" t="s">
        <v>25</v>
      </c>
      <c r="N15" s="102" t="s">
        <v>7</v>
      </c>
      <c r="O15" s="755"/>
      <c r="P15" s="755"/>
      <c r="Q15" s="755"/>
      <c r="R15" s="811"/>
      <c r="S15" s="80" t="s">
        <v>107</v>
      </c>
      <c r="T15" s="80"/>
      <c r="U15" s="74" t="s">
        <v>133</v>
      </c>
      <c r="V15" s="74" t="s">
        <v>134</v>
      </c>
      <c r="W15" s="74" t="s">
        <v>133</v>
      </c>
      <c r="X15" s="74" t="s">
        <v>134</v>
      </c>
    </row>
    <row r="16" spans="1:228" s="200" customFormat="1" ht="43.5" customHeight="1">
      <c r="A16" s="354" t="s">
        <v>143</v>
      </c>
      <c r="B16" s="817" t="s">
        <v>279</v>
      </c>
      <c r="C16" s="818"/>
      <c r="D16" s="354"/>
      <c r="E16" s="354"/>
      <c r="F16" s="354"/>
      <c r="G16" s="355"/>
      <c r="H16" s="356">
        <f>SUM(H17:H20)</f>
        <v>484889.44999999995</v>
      </c>
      <c r="I16" s="357">
        <v>1</v>
      </c>
      <c r="J16" s="357">
        <v>0</v>
      </c>
      <c r="K16" s="358"/>
      <c r="L16" s="354"/>
      <c r="M16" s="359"/>
      <c r="N16" s="359"/>
      <c r="O16" s="360"/>
      <c r="P16" s="361"/>
      <c r="Q16" s="354"/>
      <c r="R16" s="362"/>
      <c r="S16" s="457">
        <f>H16*5</f>
        <v>2424447.25</v>
      </c>
      <c r="T16" s="549"/>
      <c r="V16" s="509">
        <f>H16</f>
        <v>484889.44999999995</v>
      </c>
      <c r="W16" s="200">
        <v>2750000</v>
      </c>
      <c r="X16" s="200">
        <v>0</v>
      </c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</row>
    <row r="17" spans="1:20" s="365" customFormat="1" ht="36" customHeight="1" outlineLevel="1">
      <c r="A17" s="370" t="s">
        <v>180</v>
      </c>
      <c r="B17" s="794" t="s">
        <v>221</v>
      </c>
      <c r="C17" s="795"/>
      <c r="D17" s="370" t="s">
        <v>520</v>
      </c>
      <c r="E17" s="370" t="s">
        <v>182</v>
      </c>
      <c r="F17" s="370"/>
      <c r="G17" s="376"/>
      <c r="H17" s="601">
        <v>34814.91</v>
      </c>
      <c r="I17" s="419">
        <v>1</v>
      </c>
      <c r="J17" s="419">
        <v>0</v>
      </c>
      <c r="K17" s="373" t="s">
        <v>10</v>
      </c>
      <c r="L17" s="370" t="s">
        <v>148</v>
      </c>
      <c r="M17" s="374">
        <v>43282</v>
      </c>
      <c r="N17" s="374">
        <v>43405</v>
      </c>
      <c r="O17" s="650"/>
      <c r="P17" s="375" t="s">
        <v>305</v>
      </c>
      <c r="Q17" s="370" t="s">
        <v>63</v>
      </c>
      <c r="R17" s="101"/>
      <c r="S17" s="481">
        <f>H17*5</f>
        <v>174074.55000000002</v>
      </c>
      <c r="T17" s="550"/>
    </row>
    <row r="18" spans="1:24" s="588" customFormat="1" ht="36" customHeight="1" outlineLevel="1">
      <c r="A18" s="370" t="s">
        <v>181</v>
      </c>
      <c r="B18" s="794" t="s">
        <v>301</v>
      </c>
      <c r="C18" s="795"/>
      <c r="D18" s="370" t="s">
        <v>521</v>
      </c>
      <c r="E18" s="370" t="s">
        <v>182</v>
      </c>
      <c r="F18" s="370"/>
      <c r="G18" s="376"/>
      <c r="H18" s="601">
        <v>368126.69</v>
      </c>
      <c r="I18" s="419">
        <v>1</v>
      </c>
      <c r="J18" s="419">
        <v>0</v>
      </c>
      <c r="K18" s="373" t="s">
        <v>10</v>
      </c>
      <c r="L18" s="370" t="s">
        <v>148</v>
      </c>
      <c r="M18" s="374">
        <v>43770</v>
      </c>
      <c r="N18" s="374">
        <v>43831</v>
      </c>
      <c r="O18" s="650"/>
      <c r="P18" s="375" t="s">
        <v>403</v>
      </c>
      <c r="Q18" s="370" t="s">
        <v>63</v>
      </c>
      <c r="R18" s="586"/>
      <c r="S18" s="481">
        <f aca="true" t="shared" si="0" ref="S18:S39">H18*5</f>
        <v>1840633.45</v>
      </c>
      <c r="T18" s="587"/>
      <c r="U18" s="589"/>
      <c r="V18" s="589"/>
      <c r="W18" s="589"/>
      <c r="X18" s="589"/>
    </row>
    <row r="19" spans="1:20" s="588" customFormat="1" ht="52.5" customHeight="1" outlineLevel="1">
      <c r="A19" s="370" t="s">
        <v>241</v>
      </c>
      <c r="B19" s="794" t="s">
        <v>239</v>
      </c>
      <c r="C19" s="795"/>
      <c r="D19" s="370" t="s">
        <v>522</v>
      </c>
      <c r="E19" s="370" t="s">
        <v>182</v>
      </c>
      <c r="F19" s="370"/>
      <c r="G19" s="376"/>
      <c r="H19" s="601">
        <v>81947.85</v>
      </c>
      <c r="I19" s="419">
        <v>1</v>
      </c>
      <c r="J19" s="419">
        <v>0</v>
      </c>
      <c r="K19" s="373" t="s">
        <v>10</v>
      </c>
      <c r="L19" s="370" t="s">
        <v>148</v>
      </c>
      <c r="M19" s="374">
        <v>43617</v>
      </c>
      <c r="N19" s="374">
        <v>43709</v>
      </c>
      <c r="O19" s="650"/>
      <c r="P19" s="375" t="s">
        <v>306</v>
      </c>
      <c r="Q19" s="370" t="s">
        <v>63</v>
      </c>
      <c r="R19" s="586"/>
      <c r="S19" s="481">
        <f t="shared" si="0"/>
        <v>409739.25</v>
      </c>
      <c r="T19" s="587"/>
    </row>
    <row r="20" spans="1:228" s="184" customFormat="1" ht="42.75" customHeight="1" hidden="1" outlineLevel="1" collapsed="1">
      <c r="A20" s="370"/>
      <c r="B20" s="794" t="s">
        <v>398</v>
      </c>
      <c r="C20" s="795"/>
      <c r="D20" s="370" t="s">
        <v>523</v>
      </c>
      <c r="E20" s="370" t="s">
        <v>207</v>
      </c>
      <c r="F20" s="370"/>
      <c r="G20" s="510"/>
      <c r="H20" s="415">
        <v>0</v>
      </c>
      <c r="I20" s="419">
        <v>1</v>
      </c>
      <c r="J20" s="419">
        <v>0</v>
      </c>
      <c r="K20" s="373" t="s">
        <v>10</v>
      </c>
      <c r="L20" s="370" t="s">
        <v>132</v>
      </c>
      <c r="M20" s="374">
        <v>44197</v>
      </c>
      <c r="N20" s="374">
        <v>44287</v>
      </c>
      <c r="O20" s="650"/>
      <c r="P20" s="375"/>
      <c r="Q20" s="370" t="s">
        <v>55</v>
      </c>
      <c r="R20" s="185"/>
      <c r="S20" s="456">
        <f t="shared" si="0"/>
        <v>0</v>
      </c>
      <c r="T20" s="552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</row>
    <row r="21" spans="1:228" s="184" customFormat="1" ht="37.5" customHeight="1" hidden="1" outlineLevel="2">
      <c r="A21" s="326"/>
      <c r="B21" s="786" t="s">
        <v>275</v>
      </c>
      <c r="C21" s="787"/>
      <c r="D21" s="326"/>
      <c r="E21" s="326"/>
      <c r="F21" s="326"/>
      <c r="G21" s="328"/>
      <c r="H21" s="329"/>
      <c r="I21" s="330"/>
      <c r="J21" s="330"/>
      <c r="K21" s="331" t="s">
        <v>495</v>
      </c>
      <c r="L21" s="326"/>
      <c r="M21" s="332"/>
      <c r="N21" s="332"/>
      <c r="O21" s="328"/>
      <c r="P21" s="333"/>
      <c r="Q21" s="326"/>
      <c r="R21" s="185"/>
      <c r="S21" s="456">
        <f t="shared" si="0"/>
        <v>0</v>
      </c>
      <c r="T21" s="552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</row>
    <row r="22" spans="1:228" s="184" customFormat="1" ht="37.5" customHeight="1" hidden="1" outlineLevel="2">
      <c r="A22" s="326"/>
      <c r="B22" s="786" t="s">
        <v>276</v>
      </c>
      <c r="C22" s="787"/>
      <c r="D22" s="326"/>
      <c r="E22" s="326"/>
      <c r="F22" s="326"/>
      <c r="G22" s="328"/>
      <c r="H22" s="329"/>
      <c r="I22" s="330"/>
      <c r="J22" s="330"/>
      <c r="K22" s="331" t="s">
        <v>495</v>
      </c>
      <c r="L22" s="326"/>
      <c r="M22" s="332"/>
      <c r="N22" s="332"/>
      <c r="O22" s="328"/>
      <c r="P22" s="333"/>
      <c r="Q22" s="326"/>
      <c r="R22" s="185"/>
      <c r="S22" s="456">
        <f t="shared" si="0"/>
        <v>0</v>
      </c>
      <c r="T22" s="55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  <c r="HT22" s="183"/>
    </row>
    <row r="23" spans="1:228" s="184" customFormat="1" ht="37.5" customHeight="1" hidden="1" outlineLevel="2">
      <c r="A23" s="326"/>
      <c r="B23" s="786" t="s">
        <v>277</v>
      </c>
      <c r="C23" s="787"/>
      <c r="D23" s="326"/>
      <c r="E23" s="326"/>
      <c r="F23" s="326"/>
      <c r="G23" s="328"/>
      <c r="H23" s="329"/>
      <c r="I23" s="330"/>
      <c r="J23" s="330"/>
      <c r="K23" s="331" t="s">
        <v>495</v>
      </c>
      <c r="L23" s="326"/>
      <c r="M23" s="332"/>
      <c r="N23" s="332"/>
      <c r="O23" s="328"/>
      <c r="P23" s="333"/>
      <c r="Q23" s="326"/>
      <c r="R23" s="185"/>
      <c r="S23" s="456">
        <f t="shared" si="0"/>
        <v>0</v>
      </c>
      <c r="T23" s="552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GL23" s="183"/>
      <c r="GM23" s="183"/>
      <c r="GN23" s="183"/>
      <c r="GO23" s="183"/>
      <c r="GP23" s="183"/>
      <c r="GQ23" s="183"/>
      <c r="GR23" s="183"/>
      <c r="GS23" s="183"/>
      <c r="GT23" s="183"/>
      <c r="GU23" s="183"/>
      <c r="GV23" s="183"/>
      <c r="GW23" s="183"/>
      <c r="GX23" s="183"/>
      <c r="GY23" s="183"/>
      <c r="GZ23" s="183"/>
      <c r="HA23" s="183"/>
      <c r="HB23" s="183"/>
      <c r="HC23" s="183"/>
      <c r="HD23" s="183"/>
      <c r="HE23" s="183"/>
      <c r="HF23" s="183"/>
      <c r="HG23" s="183"/>
      <c r="HH23" s="183"/>
      <c r="HI23" s="183"/>
      <c r="HJ23" s="183"/>
      <c r="HK23" s="183"/>
      <c r="HL23" s="183"/>
      <c r="HM23" s="183"/>
      <c r="HN23" s="183"/>
      <c r="HO23" s="183"/>
      <c r="HP23" s="183"/>
      <c r="HQ23" s="183"/>
      <c r="HR23" s="183"/>
      <c r="HS23" s="183"/>
      <c r="HT23" s="183"/>
    </row>
    <row r="24" spans="1:228" s="184" customFormat="1" ht="37.5" customHeight="1" hidden="1" outlineLevel="2">
      <c r="A24" s="326"/>
      <c r="B24" s="786" t="s">
        <v>278</v>
      </c>
      <c r="C24" s="787"/>
      <c r="D24" s="326"/>
      <c r="E24" s="326"/>
      <c r="F24" s="326"/>
      <c r="G24" s="328"/>
      <c r="H24" s="329"/>
      <c r="I24" s="330"/>
      <c r="J24" s="330"/>
      <c r="K24" s="331" t="s">
        <v>495</v>
      </c>
      <c r="L24" s="326"/>
      <c r="M24" s="332"/>
      <c r="N24" s="332"/>
      <c r="O24" s="328"/>
      <c r="P24" s="333"/>
      <c r="Q24" s="326"/>
      <c r="R24" s="185"/>
      <c r="S24" s="456">
        <f t="shared" si="0"/>
        <v>0</v>
      </c>
      <c r="T24" s="552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</row>
    <row r="25" spans="1:228" s="133" customFormat="1" ht="36" customHeight="1" hidden="1">
      <c r="A25" s="326"/>
      <c r="B25" s="786" t="s">
        <v>264</v>
      </c>
      <c r="C25" s="787"/>
      <c r="D25" s="326"/>
      <c r="E25" s="326"/>
      <c r="F25" s="326"/>
      <c r="G25" s="328"/>
      <c r="H25" s="329"/>
      <c r="I25" s="651"/>
      <c r="J25" s="651"/>
      <c r="K25" s="331" t="s">
        <v>495</v>
      </c>
      <c r="L25" s="326"/>
      <c r="M25" s="332"/>
      <c r="N25" s="332"/>
      <c r="O25" s="328"/>
      <c r="P25" s="333"/>
      <c r="Q25" s="326"/>
      <c r="R25" s="134"/>
      <c r="S25" s="456">
        <f t="shared" si="0"/>
        <v>0</v>
      </c>
      <c r="T25" s="552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GL25" s="318"/>
      <c r="GM25" s="318"/>
      <c r="GN25" s="318"/>
      <c r="GO25" s="318"/>
      <c r="GP25" s="318"/>
      <c r="GQ25" s="318"/>
      <c r="GR25" s="318"/>
      <c r="GS25" s="318"/>
      <c r="GT25" s="318"/>
      <c r="GU25" s="318"/>
      <c r="GV25" s="318"/>
      <c r="GW25" s="318"/>
      <c r="GX25" s="318"/>
      <c r="GY25" s="318"/>
      <c r="GZ25" s="318"/>
      <c r="HA25" s="318"/>
      <c r="HB25" s="318"/>
      <c r="HC25" s="318"/>
      <c r="HD25" s="318"/>
      <c r="HE25" s="318"/>
      <c r="HF25" s="318"/>
      <c r="HG25" s="318"/>
      <c r="HH25" s="318"/>
      <c r="HI25" s="318"/>
      <c r="HJ25" s="318"/>
      <c r="HK25" s="318"/>
      <c r="HL25" s="318"/>
      <c r="HM25" s="318"/>
      <c r="HN25" s="318"/>
      <c r="HO25" s="318"/>
      <c r="HP25" s="318"/>
      <c r="HQ25" s="318"/>
      <c r="HR25" s="318"/>
      <c r="HS25" s="318"/>
      <c r="HT25" s="318"/>
    </row>
    <row r="26" spans="1:87" s="532" customFormat="1" ht="38.25" customHeight="1">
      <c r="A26" s="391" t="s">
        <v>144</v>
      </c>
      <c r="B26" s="790" t="s">
        <v>250</v>
      </c>
      <c r="C26" s="791"/>
      <c r="D26" s="391"/>
      <c r="E26" s="391"/>
      <c r="F26" s="391"/>
      <c r="G26" s="424"/>
      <c r="H26" s="392">
        <f>H27+H28+H33+H32+H29+H37</f>
        <v>4223796.70985584</v>
      </c>
      <c r="I26" s="652">
        <v>1</v>
      </c>
      <c r="J26" s="652">
        <v>0</v>
      </c>
      <c r="K26" s="400"/>
      <c r="L26" s="391"/>
      <c r="M26" s="395"/>
      <c r="N26" s="395"/>
      <c r="O26" s="393"/>
      <c r="P26" s="396"/>
      <c r="Q26" s="391"/>
      <c r="R26" s="362"/>
      <c r="S26" s="457">
        <f t="shared" si="0"/>
        <v>21118983.549279198</v>
      </c>
      <c r="T26" s="549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</row>
    <row r="27" spans="1:20" s="465" customFormat="1" ht="37.5" customHeight="1" outlineLevel="1">
      <c r="A27" s="370" t="s">
        <v>183</v>
      </c>
      <c r="B27" s="794" t="s">
        <v>273</v>
      </c>
      <c r="C27" s="795"/>
      <c r="D27" s="370" t="s">
        <v>524</v>
      </c>
      <c r="E27" s="370" t="s">
        <v>175</v>
      </c>
      <c r="F27" s="370"/>
      <c r="G27" s="370"/>
      <c r="H27" s="601">
        <v>411000</v>
      </c>
      <c r="I27" s="419">
        <v>1</v>
      </c>
      <c r="J27" s="419">
        <v>0</v>
      </c>
      <c r="K27" s="373" t="s">
        <v>10</v>
      </c>
      <c r="L27" s="370" t="s">
        <v>148</v>
      </c>
      <c r="M27" s="374">
        <v>44075</v>
      </c>
      <c r="N27" s="374">
        <v>44317</v>
      </c>
      <c r="O27" s="430"/>
      <c r="P27" s="375" t="s">
        <v>637</v>
      </c>
      <c r="Q27" s="375" t="s">
        <v>15</v>
      </c>
      <c r="R27" s="370"/>
      <c r="S27" s="481">
        <f t="shared" si="0"/>
        <v>2055000</v>
      </c>
      <c r="T27" s="550"/>
    </row>
    <row r="28" spans="1:20" s="365" customFormat="1" ht="51" customHeight="1" outlineLevel="1">
      <c r="A28" s="370" t="s">
        <v>224</v>
      </c>
      <c r="B28" s="794" t="s">
        <v>303</v>
      </c>
      <c r="C28" s="795"/>
      <c r="D28" s="370" t="s">
        <v>525</v>
      </c>
      <c r="E28" s="370" t="s">
        <v>127</v>
      </c>
      <c r="F28" s="370"/>
      <c r="G28" s="370"/>
      <c r="H28" s="371">
        <v>330872</v>
      </c>
      <c r="I28" s="419">
        <v>1</v>
      </c>
      <c r="J28" s="419">
        <v>0</v>
      </c>
      <c r="K28" s="373" t="s">
        <v>9</v>
      </c>
      <c r="L28" s="370" t="s">
        <v>148</v>
      </c>
      <c r="M28" s="374">
        <v>43009</v>
      </c>
      <c r="N28" s="374">
        <v>43221</v>
      </c>
      <c r="O28" s="376"/>
      <c r="P28" s="375" t="s">
        <v>407</v>
      </c>
      <c r="Q28" s="375" t="s">
        <v>15</v>
      </c>
      <c r="R28" s="101"/>
      <c r="S28" s="481">
        <f t="shared" si="0"/>
        <v>1654360</v>
      </c>
      <c r="T28" s="550"/>
    </row>
    <row r="29" spans="1:20" s="465" customFormat="1" ht="37.5" customHeight="1" outlineLevel="1">
      <c r="A29" s="431" t="s">
        <v>252</v>
      </c>
      <c r="B29" s="794" t="s">
        <v>210</v>
      </c>
      <c r="C29" s="795"/>
      <c r="D29" s="370" t="s">
        <v>526</v>
      </c>
      <c r="E29" s="370" t="s">
        <v>207</v>
      </c>
      <c r="F29" s="370"/>
      <c r="G29" s="370"/>
      <c r="H29" s="371">
        <f>H30+H31</f>
        <v>500000</v>
      </c>
      <c r="I29" s="419">
        <v>1</v>
      </c>
      <c r="J29" s="419">
        <v>0</v>
      </c>
      <c r="K29" s="373"/>
      <c r="L29" s="370"/>
      <c r="M29" s="374"/>
      <c r="N29" s="374"/>
      <c r="O29" s="376"/>
      <c r="P29" s="375"/>
      <c r="Q29" s="370"/>
      <c r="R29" s="370"/>
      <c r="S29" s="481">
        <f t="shared" si="0"/>
        <v>2500000</v>
      </c>
      <c r="T29" s="551"/>
    </row>
    <row r="30" spans="1:20" s="616" customFormat="1" ht="43.5" customHeight="1" outlineLevel="2">
      <c r="A30" s="422" t="s">
        <v>673</v>
      </c>
      <c r="B30" s="788" t="s">
        <v>211</v>
      </c>
      <c r="C30" s="789"/>
      <c r="D30" s="344" t="s">
        <v>526</v>
      </c>
      <c r="E30" s="344" t="s">
        <v>207</v>
      </c>
      <c r="F30" s="344"/>
      <c r="G30" s="344"/>
      <c r="H30" s="346">
        <v>202000</v>
      </c>
      <c r="I30" s="347">
        <v>1</v>
      </c>
      <c r="J30" s="347">
        <v>0</v>
      </c>
      <c r="K30" s="348" t="s">
        <v>10</v>
      </c>
      <c r="L30" s="344" t="s">
        <v>132</v>
      </c>
      <c r="M30" s="349">
        <v>43374</v>
      </c>
      <c r="N30" s="349">
        <v>44105</v>
      </c>
      <c r="O30" s="345"/>
      <c r="P30" s="350"/>
      <c r="Q30" s="344" t="s">
        <v>15</v>
      </c>
      <c r="R30" s="614"/>
      <c r="S30" s="456">
        <f t="shared" si="0"/>
        <v>1010000</v>
      </c>
      <c r="T30" s="615"/>
    </row>
    <row r="31" spans="1:21" s="616" customFormat="1" ht="52.5" customHeight="1" outlineLevel="2">
      <c r="A31" s="422" t="s">
        <v>674</v>
      </c>
      <c r="B31" s="788" t="s">
        <v>212</v>
      </c>
      <c r="C31" s="789"/>
      <c r="D31" s="344"/>
      <c r="E31" s="344" t="s">
        <v>207</v>
      </c>
      <c r="F31" s="344"/>
      <c r="G31" s="344"/>
      <c r="H31" s="346">
        <v>298000</v>
      </c>
      <c r="I31" s="347">
        <v>1</v>
      </c>
      <c r="J31" s="347">
        <v>0</v>
      </c>
      <c r="K31" s="348" t="s">
        <v>10</v>
      </c>
      <c r="L31" s="344" t="s">
        <v>132</v>
      </c>
      <c r="M31" s="349">
        <v>44440</v>
      </c>
      <c r="N31" s="349">
        <v>45323</v>
      </c>
      <c r="O31" s="345"/>
      <c r="P31" s="350"/>
      <c r="Q31" s="344" t="s">
        <v>55</v>
      </c>
      <c r="R31" s="614"/>
      <c r="S31" s="456">
        <f t="shared" si="0"/>
        <v>1490000</v>
      </c>
      <c r="T31" s="615"/>
      <c r="U31" s="617"/>
    </row>
    <row r="32" spans="1:28" s="588" customFormat="1" ht="52.5" customHeight="1" outlineLevel="1">
      <c r="A32" s="431" t="s">
        <v>253</v>
      </c>
      <c r="B32" s="794" t="s">
        <v>280</v>
      </c>
      <c r="C32" s="795"/>
      <c r="D32" s="370" t="s">
        <v>527</v>
      </c>
      <c r="E32" s="370" t="s">
        <v>182</v>
      </c>
      <c r="F32" s="370"/>
      <c r="G32" s="370"/>
      <c r="H32" s="601">
        <v>362742.81</v>
      </c>
      <c r="I32" s="419">
        <v>1</v>
      </c>
      <c r="J32" s="419">
        <v>0</v>
      </c>
      <c r="K32" s="373" t="s">
        <v>10</v>
      </c>
      <c r="L32" s="370" t="s">
        <v>148</v>
      </c>
      <c r="M32" s="374">
        <v>44075</v>
      </c>
      <c r="N32" s="374">
        <v>44136</v>
      </c>
      <c r="O32" s="376"/>
      <c r="P32" s="375" t="s">
        <v>519</v>
      </c>
      <c r="Q32" s="370" t="s">
        <v>63</v>
      </c>
      <c r="R32" s="586"/>
      <c r="S32" s="481">
        <f>H32*5</f>
        <v>1813714.05</v>
      </c>
      <c r="T32" s="600"/>
      <c r="U32" s="589"/>
      <c r="V32" s="589"/>
      <c r="W32" s="590"/>
      <c r="X32" s="590"/>
      <c r="Y32" s="589"/>
      <c r="Z32" s="589"/>
      <c r="AA32" s="589"/>
      <c r="AB32" s="589"/>
    </row>
    <row r="33" spans="1:22" s="365" customFormat="1" ht="52.5" customHeight="1" outlineLevel="1">
      <c r="A33" s="431" t="s">
        <v>274</v>
      </c>
      <c r="B33" s="794" t="s">
        <v>265</v>
      </c>
      <c r="C33" s="795"/>
      <c r="D33" s="370"/>
      <c r="E33" s="370"/>
      <c r="F33" s="370"/>
      <c r="G33" s="370"/>
      <c r="H33" s="601">
        <f>H34+H35+H36</f>
        <v>2619181.89985584</v>
      </c>
      <c r="I33" s="419">
        <v>1</v>
      </c>
      <c r="J33" s="419">
        <v>0</v>
      </c>
      <c r="K33" s="373"/>
      <c r="L33" s="370"/>
      <c r="M33" s="370"/>
      <c r="N33" s="370"/>
      <c r="O33" s="376"/>
      <c r="P33" s="375"/>
      <c r="Q33" s="375" t="s">
        <v>55</v>
      </c>
      <c r="R33" s="101"/>
      <c r="S33" s="481">
        <f t="shared" si="0"/>
        <v>13095909.499279201</v>
      </c>
      <c r="T33" s="550"/>
      <c r="V33" s="531"/>
    </row>
    <row r="34" spans="1:228" s="275" customFormat="1" ht="52.5" customHeight="1" outlineLevel="1">
      <c r="A34" s="627" t="s">
        <v>418</v>
      </c>
      <c r="B34" s="838" t="s">
        <v>672</v>
      </c>
      <c r="C34" s="839"/>
      <c r="D34" s="266"/>
      <c r="E34" s="266" t="s">
        <v>149</v>
      </c>
      <c r="F34" s="266"/>
      <c r="G34" s="266"/>
      <c r="H34" s="594">
        <v>390000</v>
      </c>
      <c r="I34" s="595">
        <v>1</v>
      </c>
      <c r="J34" s="595">
        <v>0</v>
      </c>
      <c r="K34" s="596" t="s">
        <v>8</v>
      </c>
      <c r="L34" s="266" t="s">
        <v>132</v>
      </c>
      <c r="M34" s="597">
        <v>44958</v>
      </c>
      <c r="N34" s="597">
        <v>45352</v>
      </c>
      <c r="O34" s="267" t="s">
        <v>160</v>
      </c>
      <c r="P34" s="267"/>
      <c r="Q34" s="266" t="s">
        <v>55</v>
      </c>
      <c r="R34" s="266" t="s">
        <v>685</v>
      </c>
      <c r="S34" s="598">
        <f t="shared" si="0"/>
        <v>1950000</v>
      </c>
      <c r="T34" s="628"/>
      <c r="U34" s="599"/>
      <c r="V34" s="599"/>
      <c r="W34" s="599"/>
      <c r="X34" s="599"/>
      <c r="Y34" s="599"/>
      <c r="Z34" s="599"/>
      <c r="AA34" s="599"/>
      <c r="AB34" s="599"/>
      <c r="AC34" s="599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GL34" s="318"/>
      <c r="GM34" s="318"/>
      <c r="GN34" s="318"/>
      <c r="GO34" s="318"/>
      <c r="GP34" s="318"/>
      <c r="GQ34" s="318"/>
      <c r="GR34" s="318"/>
      <c r="GS34" s="318"/>
      <c r="GT34" s="318"/>
      <c r="GU34" s="318"/>
      <c r="GV34" s="318"/>
      <c r="GW34" s="318"/>
      <c r="GX34" s="318"/>
      <c r="GY34" s="318"/>
      <c r="GZ34" s="318"/>
      <c r="HA34" s="318"/>
      <c r="HB34" s="318"/>
      <c r="HC34" s="318"/>
      <c r="HD34" s="318"/>
      <c r="HE34" s="318"/>
      <c r="HF34" s="318"/>
      <c r="HG34" s="318"/>
      <c r="HH34" s="318"/>
      <c r="HI34" s="318"/>
      <c r="HJ34" s="318"/>
      <c r="HK34" s="318"/>
      <c r="HL34" s="318"/>
      <c r="HM34" s="318"/>
      <c r="HN34" s="318"/>
      <c r="HO34" s="318"/>
      <c r="HP34" s="318"/>
      <c r="HQ34" s="318"/>
      <c r="HR34" s="318"/>
      <c r="HS34" s="318"/>
      <c r="HT34" s="318"/>
    </row>
    <row r="35" spans="1:228" s="278" customFormat="1" ht="52.5" customHeight="1" outlineLevel="1">
      <c r="A35" s="422" t="s">
        <v>419</v>
      </c>
      <c r="B35" s="788" t="s">
        <v>605</v>
      </c>
      <c r="C35" s="789"/>
      <c r="D35" s="344" t="s">
        <v>638</v>
      </c>
      <c r="E35" s="344" t="s">
        <v>149</v>
      </c>
      <c r="F35" s="344"/>
      <c r="G35" s="344"/>
      <c r="H35" s="346">
        <v>2219181.89985584</v>
      </c>
      <c r="I35" s="347">
        <v>1</v>
      </c>
      <c r="J35" s="347">
        <v>0</v>
      </c>
      <c r="K35" s="348" t="s">
        <v>8</v>
      </c>
      <c r="L35" s="344" t="s">
        <v>132</v>
      </c>
      <c r="M35" s="349">
        <v>44287</v>
      </c>
      <c r="N35" s="349">
        <v>44531</v>
      </c>
      <c r="O35" s="350" t="s">
        <v>160</v>
      </c>
      <c r="P35" s="350"/>
      <c r="Q35" s="344" t="s">
        <v>15</v>
      </c>
      <c r="R35" s="344"/>
      <c r="S35" s="456">
        <f t="shared" si="0"/>
        <v>11095909.499279201</v>
      </c>
      <c r="T35" s="554"/>
      <c r="U35" s="451"/>
      <c r="V35" s="451"/>
      <c r="W35" s="451"/>
      <c r="X35" s="451"/>
      <c r="Y35" s="451"/>
      <c r="Z35" s="451"/>
      <c r="AA35" s="451"/>
      <c r="AB35" s="451"/>
      <c r="AC35" s="451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</row>
    <row r="36" spans="1:228" s="275" customFormat="1" ht="52.5" customHeight="1" outlineLevel="1">
      <c r="A36" s="627" t="s">
        <v>671</v>
      </c>
      <c r="B36" s="838" t="s">
        <v>670</v>
      </c>
      <c r="C36" s="839"/>
      <c r="D36" s="266"/>
      <c r="E36" s="266" t="s">
        <v>149</v>
      </c>
      <c r="F36" s="266"/>
      <c r="G36" s="266"/>
      <c r="H36" s="594">
        <v>10000</v>
      </c>
      <c r="I36" s="595">
        <v>1</v>
      </c>
      <c r="J36" s="595">
        <v>0</v>
      </c>
      <c r="K36" s="596" t="s">
        <v>9</v>
      </c>
      <c r="L36" s="266" t="s">
        <v>132</v>
      </c>
      <c r="M36" s="597">
        <v>45001</v>
      </c>
      <c r="N36" s="597">
        <v>45185</v>
      </c>
      <c r="O36" s="629" t="s">
        <v>160</v>
      </c>
      <c r="P36" s="267"/>
      <c r="Q36" s="266" t="s">
        <v>55</v>
      </c>
      <c r="R36" s="266" t="s">
        <v>685</v>
      </c>
      <c r="S36" s="598">
        <f t="shared" si="0"/>
        <v>50000</v>
      </c>
      <c r="T36" s="628"/>
      <c r="U36" s="599"/>
      <c r="V36" s="599"/>
      <c r="W36" s="599"/>
      <c r="X36" s="599"/>
      <c r="Y36" s="599"/>
      <c r="Z36" s="599"/>
      <c r="AA36" s="599"/>
      <c r="AB36" s="599"/>
      <c r="AC36" s="599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GL36" s="318"/>
      <c r="GM36" s="318"/>
      <c r="GN36" s="318"/>
      <c r="GO36" s="318"/>
      <c r="GP36" s="318"/>
      <c r="GQ36" s="318"/>
      <c r="GR36" s="318"/>
      <c r="GS36" s="318"/>
      <c r="GT36" s="318"/>
      <c r="GU36" s="318"/>
      <c r="GV36" s="318"/>
      <c r="GW36" s="318"/>
      <c r="GX36" s="318"/>
      <c r="GY36" s="318"/>
      <c r="GZ36" s="318"/>
      <c r="HA36" s="318"/>
      <c r="HB36" s="318"/>
      <c r="HC36" s="318"/>
      <c r="HD36" s="318"/>
      <c r="HE36" s="318"/>
      <c r="HF36" s="318"/>
      <c r="HG36" s="318"/>
      <c r="HH36" s="318"/>
      <c r="HI36" s="318"/>
      <c r="HJ36" s="318"/>
      <c r="HK36" s="318"/>
      <c r="HL36" s="318"/>
      <c r="HM36" s="318"/>
      <c r="HN36" s="318"/>
      <c r="HO36" s="318"/>
      <c r="HP36" s="318"/>
      <c r="HQ36" s="318"/>
      <c r="HR36" s="318"/>
      <c r="HS36" s="318"/>
      <c r="HT36" s="318"/>
    </row>
    <row r="37" spans="1:228" s="269" customFormat="1" ht="50.25" customHeight="1" hidden="1" outlineLevel="1">
      <c r="A37" s="370"/>
      <c r="B37" s="794" t="s">
        <v>496</v>
      </c>
      <c r="C37" s="795"/>
      <c r="D37" s="370"/>
      <c r="E37" s="370" t="s">
        <v>207</v>
      </c>
      <c r="F37" s="370"/>
      <c r="G37" s="510"/>
      <c r="H37" s="415">
        <v>0</v>
      </c>
      <c r="I37" s="419">
        <v>1</v>
      </c>
      <c r="J37" s="419">
        <v>0</v>
      </c>
      <c r="K37" s="373" t="s">
        <v>10</v>
      </c>
      <c r="L37" s="370" t="s">
        <v>132</v>
      </c>
      <c r="M37" s="374">
        <v>44317</v>
      </c>
      <c r="N37" s="374">
        <v>44409</v>
      </c>
      <c r="O37" s="650"/>
      <c r="P37" s="375"/>
      <c r="Q37" s="370" t="s">
        <v>55</v>
      </c>
      <c r="R37" s="268"/>
      <c r="S37" s="686"/>
      <c r="T37" s="555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GL37" s="183"/>
      <c r="GM37" s="183"/>
      <c r="GN37" s="183"/>
      <c r="GO37" s="183"/>
      <c r="GP37" s="183"/>
      <c r="GQ37" s="183"/>
      <c r="GR37" s="183"/>
      <c r="GS37" s="183"/>
      <c r="GT37" s="183"/>
      <c r="GU37" s="183"/>
      <c r="GV37" s="183"/>
      <c r="GW37" s="183"/>
      <c r="GX37" s="183"/>
      <c r="GY37" s="183"/>
      <c r="GZ37" s="183"/>
      <c r="HA37" s="183"/>
      <c r="HB37" s="183"/>
      <c r="HC37" s="183"/>
      <c r="HD37" s="183"/>
      <c r="HE37" s="183"/>
      <c r="HF37" s="183"/>
      <c r="HG37" s="183"/>
      <c r="HH37" s="183"/>
      <c r="HI37" s="183"/>
      <c r="HJ37" s="183"/>
      <c r="HK37" s="183"/>
      <c r="HL37" s="183"/>
      <c r="HM37" s="183"/>
      <c r="HN37" s="183"/>
      <c r="HO37" s="183"/>
      <c r="HP37" s="183"/>
      <c r="HQ37" s="183"/>
      <c r="HR37" s="183"/>
      <c r="HS37" s="183"/>
      <c r="HT37" s="183"/>
    </row>
    <row r="38" spans="1:228" s="137" customFormat="1" ht="32.25" customHeight="1">
      <c r="A38" s="391" t="s">
        <v>146</v>
      </c>
      <c r="B38" s="790" t="s">
        <v>254</v>
      </c>
      <c r="C38" s="791"/>
      <c r="D38" s="391"/>
      <c r="E38" s="391"/>
      <c r="F38" s="423"/>
      <c r="G38" s="424"/>
      <c r="H38" s="602">
        <f>H39</f>
        <v>684560.904</v>
      </c>
      <c r="I38" s="425">
        <v>1</v>
      </c>
      <c r="J38" s="425">
        <f>1-I38</f>
        <v>0</v>
      </c>
      <c r="K38" s="426"/>
      <c r="L38" s="426"/>
      <c r="M38" s="427"/>
      <c r="N38" s="427"/>
      <c r="O38" s="428"/>
      <c r="P38" s="429"/>
      <c r="Q38" s="423"/>
      <c r="R38" s="362"/>
      <c r="S38" s="457">
        <f t="shared" si="0"/>
        <v>3422804.52</v>
      </c>
      <c r="T38" s="549"/>
      <c r="U38" s="363"/>
      <c r="V38" s="363"/>
      <c r="W38" s="363"/>
      <c r="X38" s="363"/>
      <c r="Y38" s="363"/>
      <c r="Z38" s="363"/>
      <c r="AA38" s="363"/>
      <c r="AB38" s="363"/>
      <c r="AC38" s="363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</row>
    <row r="39" spans="1:20" s="365" customFormat="1" ht="36" customHeight="1" outlineLevel="1">
      <c r="A39" s="370" t="s">
        <v>184</v>
      </c>
      <c r="B39" s="794" t="s">
        <v>284</v>
      </c>
      <c r="C39" s="795"/>
      <c r="D39" s="370"/>
      <c r="E39" s="370"/>
      <c r="F39" s="370"/>
      <c r="G39" s="376"/>
      <c r="H39" s="371">
        <f>SUM(H40:H43)</f>
        <v>684560.904</v>
      </c>
      <c r="I39" s="419">
        <v>1</v>
      </c>
      <c r="J39" s="419">
        <v>0</v>
      </c>
      <c r="K39" s="373"/>
      <c r="L39" s="370"/>
      <c r="M39" s="374"/>
      <c r="N39" s="374"/>
      <c r="O39" s="375"/>
      <c r="P39" s="375"/>
      <c r="Q39" s="370"/>
      <c r="R39" s="101"/>
      <c r="S39" s="481">
        <f t="shared" si="0"/>
        <v>3422804.52</v>
      </c>
      <c r="T39" s="550"/>
    </row>
    <row r="40" spans="1:28" s="278" customFormat="1" ht="52.5" customHeight="1" outlineLevel="2">
      <c r="A40" s="344" t="s">
        <v>285</v>
      </c>
      <c r="B40" s="788" t="s">
        <v>286</v>
      </c>
      <c r="C40" s="789"/>
      <c r="D40" s="454"/>
      <c r="E40" s="344" t="s">
        <v>149</v>
      </c>
      <c r="F40" s="344"/>
      <c r="G40" s="344"/>
      <c r="H40" s="346">
        <v>684560.904</v>
      </c>
      <c r="I40" s="347">
        <v>1</v>
      </c>
      <c r="J40" s="347">
        <v>0</v>
      </c>
      <c r="K40" s="348" t="s">
        <v>8</v>
      </c>
      <c r="L40" s="344" t="s">
        <v>132</v>
      </c>
      <c r="M40" s="349">
        <v>44287</v>
      </c>
      <c r="N40" s="349">
        <v>45231</v>
      </c>
      <c r="O40" s="350" t="s">
        <v>160</v>
      </c>
      <c r="P40" s="350"/>
      <c r="Q40" s="344" t="s">
        <v>55</v>
      </c>
      <c r="R40" s="344"/>
      <c r="S40" s="456">
        <f>H40*5</f>
        <v>3422804.52</v>
      </c>
      <c r="T40" s="554"/>
      <c r="U40" s="495"/>
      <c r="V40" s="495"/>
      <c r="W40" s="451"/>
      <c r="X40" s="533"/>
      <c r="Y40" s="451"/>
      <c r="Z40" s="451"/>
      <c r="AA40" s="451"/>
      <c r="AB40" s="451"/>
    </row>
    <row r="41" spans="1:228" s="339" customFormat="1" ht="52.5" customHeight="1" hidden="1" outlineLevel="2">
      <c r="A41" s="344"/>
      <c r="B41" s="788" t="s">
        <v>420</v>
      </c>
      <c r="C41" s="789"/>
      <c r="D41" s="454"/>
      <c r="E41" s="344" t="s">
        <v>413</v>
      </c>
      <c r="F41" s="344"/>
      <c r="G41" s="344"/>
      <c r="H41" s="415">
        <v>0</v>
      </c>
      <c r="I41" s="347">
        <v>1</v>
      </c>
      <c r="J41" s="347">
        <v>0</v>
      </c>
      <c r="K41" s="348" t="s">
        <v>0</v>
      </c>
      <c r="L41" s="344" t="s">
        <v>132</v>
      </c>
      <c r="M41" s="349">
        <v>44256</v>
      </c>
      <c r="N41" s="349">
        <v>44348</v>
      </c>
      <c r="O41" s="350" t="s">
        <v>160</v>
      </c>
      <c r="P41" s="350"/>
      <c r="Q41" s="344" t="s">
        <v>55</v>
      </c>
      <c r="R41" s="320"/>
      <c r="S41" s="399"/>
      <c r="T41" s="525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GL41" s="321"/>
      <c r="GM41" s="321"/>
      <c r="GN41" s="321"/>
      <c r="GO41" s="321"/>
      <c r="GP41" s="321"/>
      <c r="GQ41" s="321"/>
      <c r="GR41" s="321"/>
      <c r="GS41" s="321"/>
      <c r="GT41" s="321"/>
      <c r="GU41" s="321"/>
      <c r="GV41" s="321"/>
      <c r="GW41" s="321"/>
      <c r="GX41" s="321"/>
      <c r="GY41" s="321"/>
      <c r="GZ41" s="321"/>
      <c r="HA41" s="321"/>
      <c r="HB41" s="321"/>
      <c r="HC41" s="321"/>
      <c r="HD41" s="321"/>
      <c r="HE41" s="321"/>
      <c r="HF41" s="321"/>
      <c r="HG41" s="321"/>
      <c r="HH41" s="321"/>
      <c r="HI41" s="321"/>
      <c r="HJ41" s="321"/>
      <c r="HK41" s="321"/>
      <c r="HL41" s="321"/>
      <c r="HM41" s="321"/>
      <c r="HN41" s="321"/>
      <c r="HO41" s="321"/>
      <c r="HP41" s="321"/>
      <c r="HQ41" s="321"/>
      <c r="HR41" s="321"/>
      <c r="HS41" s="321"/>
      <c r="HT41" s="321"/>
    </row>
    <row r="42" spans="1:228" s="184" customFormat="1" ht="52.5" customHeight="1" hidden="1" outlineLevel="2">
      <c r="A42" s="344"/>
      <c r="B42" s="788" t="s">
        <v>287</v>
      </c>
      <c r="C42" s="789"/>
      <c r="D42" s="346"/>
      <c r="E42" s="344" t="s">
        <v>149</v>
      </c>
      <c r="F42" s="344"/>
      <c r="G42" s="344"/>
      <c r="H42" s="346"/>
      <c r="I42" s="347">
        <v>1</v>
      </c>
      <c r="J42" s="347">
        <v>0</v>
      </c>
      <c r="K42" s="348" t="s">
        <v>8</v>
      </c>
      <c r="L42" s="344" t="s">
        <v>132</v>
      </c>
      <c r="M42" s="349">
        <v>44288</v>
      </c>
      <c r="N42" s="349">
        <v>44348</v>
      </c>
      <c r="O42" s="350" t="s">
        <v>160</v>
      </c>
      <c r="P42" s="350"/>
      <c r="Q42" s="344" t="s">
        <v>503</v>
      </c>
      <c r="R42" s="185"/>
      <c r="S42" s="399"/>
      <c r="T42" s="310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</row>
    <row r="43" spans="1:228" s="184" customFormat="1" ht="52.5" customHeight="1" hidden="1" outlineLevel="2">
      <c r="A43" s="344"/>
      <c r="B43" s="788" t="s">
        <v>288</v>
      </c>
      <c r="C43" s="789"/>
      <c r="D43" s="346"/>
      <c r="E43" s="344" t="s">
        <v>149</v>
      </c>
      <c r="F43" s="344"/>
      <c r="G43" s="345"/>
      <c r="H43" s="346"/>
      <c r="I43" s="347">
        <v>1</v>
      </c>
      <c r="J43" s="347">
        <v>0</v>
      </c>
      <c r="K43" s="348" t="s">
        <v>9</v>
      </c>
      <c r="L43" s="344" t="s">
        <v>132</v>
      </c>
      <c r="M43" s="349">
        <v>44288</v>
      </c>
      <c r="N43" s="349">
        <v>44348</v>
      </c>
      <c r="O43" s="350" t="s">
        <v>160</v>
      </c>
      <c r="P43" s="350"/>
      <c r="Q43" s="344" t="s">
        <v>503</v>
      </c>
      <c r="R43" s="185"/>
      <c r="S43" s="399"/>
      <c r="T43" s="310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GL43" s="183"/>
      <c r="GM43" s="183"/>
      <c r="GN43" s="183"/>
      <c r="GO43" s="183"/>
      <c r="GP43" s="183"/>
      <c r="GQ43" s="183"/>
      <c r="GR43" s="183"/>
      <c r="GS43" s="183"/>
      <c r="GT43" s="183"/>
      <c r="GU43" s="183"/>
      <c r="GV43" s="183"/>
      <c r="GW43" s="183"/>
      <c r="GX43" s="183"/>
      <c r="GY43" s="183"/>
      <c r="GZ43" s="183"/>
      <c r="HA43" s="183"/>
      <c r="HB43" s="183"/>
      <c r="HC43" s="183"/>
      <c r="HD43" s="183"/>
      <c r="HE43" s="183"/>
      <c r="HF43" s="183"/>
      <c r="HG43" s="183"/>
      <c r="HH43" s="183"/>
      <c r="HI43" s="183"/>
      <c r="HJ43" s="183"/>
      <c r="HK43" s="183"/>
      <c r="HL43" s="183"/>
      <c r="HM43" s="183"/>
      <c r="HN43" s="183"/>
      <c r="HO43" s="183"/>
      <c r="HP43" s="183"/>
      <c r="HQ43" s="183"/>
      <c r="HR43" s="183"/>
      <c r="HS43" s="183"/>
      <c r="HT43" s="183"/>
    </row>
    <row r="44" spans="1:228" s="269" customFormat="1" ht="37.5" customHeight="1" hidden="1" outlineLevel="1" collapsed="1">
      <c r="A44" s="370"/>
      <c r="B44" s="794" t="s">
        <v>289</v>
      </c>
      <c r="C44" s="795"/>
      <c r="D44" s="370"/>
      <c r="E44" s="370"/>
      <c r="F44" s="370"/>
      <c r="G44" s="376"/>
      <c r="H44" s="371"/>
      <c r="I44" s="419">
        <v>0</v>
      </c>
      <c r="J44" s="419">
        <v>1</v>
      </c>
      <c r="K44" s="373"/>
      <c r="L44" s="370"/>
      <c r="M44" s="374"/>
      <c r="N44" s="374"/>
      <c r="O44" s="375"/>
      <c r="P44" s="375"/>
      <c r="Q44" s="370"/>
      <c r="R44" s="268"/>
      <c r="S44" s="686"/>
      <c r="T44" s="555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GL44" s="183"/>
      <c r="GM44" s="183"/>
      <c r="GN44" s="183"/>
      <c r="GO44" s="183"/>
      <c r="GP44" s="183"/>
      <c r="GQ44" s="183"/>
      <c r="GR44" s="183"/>
      <c r="GS44" s="183"/>
      <c r="GT44" s="183"/>
      <c r="GU44" s="183"/>
      <c r="GV44" s="183"/>
      <c r="GW44" s="183"/>
      <c r="GX44" s="183"/>
      <c r="GY44" s="183"/>
      <c r="GZ44" s="183"/>
      <c r="HA44" s="183"/>
      <c r="HB44" s="183"/>
      <c r="HC44" s="183"/>
      <c r="HD44" s="183"/>
      <c r="HE44" s="183"/>
      <c r="HF44" s="183"/>
      <c r="HG44" s="183"/>
      <c r="HH44" s="183"/>
      <c r="HI44" s="183"/>
      <c r="HJ44" s="183"/>
      <c r="HK44" s="183"/>
      <c r="HL44" s="183"/>
      <c r="HM44" s="183"/>
      <c r="HN44" s="183"/>
      <c r="HO44" s="183"/>
      <c r="HP44" s="183"/>
      <c r="HQ44" s="183"/>
      <c r="HR44" s="183"/>
      <c r="HS44" s="183"/>
      <c r="HT44" s="183"/>
    </row>
    <row r="45" spans="1:228" s="114" customFormat="1" ht="52.5" customHeight="1" hidden="1" outlineLevel="2">
      <c r="A45" s="344"/>
      <c r="B45" s="788" t="s">
        <v>290</v>
      </c>
      <c r="C45" s="789"/>
      <c r="D45" s="346"/>
      <c r="E45" s="344" t="s">
        <v>149</v>
      </c>
      <c r="F45" s="344"/>
      <c r="G45" s="345"/>
      <c r="H45" s="346"/>
      <c r="I45" s="347">
        <v>0</v>
      </c>
      <c r="J45" s="347">
        <v>1</v>
      </c>
      <c r="K45" s="348" t="s">
        <v>9</v>
      </c>
      <c r="L45" s="344" t="s">
        <v>132</v>
      </c>
      <c r="M45" s="349">
        <v>44288</v>
      </c>
      <c r="N45" s="349">
        <v>44348</v>
      </c>
      <c r="O45" s="350" t="s">
        <v>160</v>
      </c>
      <c r="P45" s="350"/>
      <c r="Q45" s="344" t="s">
        <v>503</v>
      </c>
      <c r="R45" s="78"/>
      <c r="S45" s="399"/>
      <c r="T45" s="149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</row>
    <row r="46" spans="1:228" s="114" customFormat="1" ht="37.5" customHeight="1" hidden="1" outlineLevel="2">
      <c r="A46" s="344"/>
      <c r="B46" s="788" t="s">
        <v>291</v>
      </c>
      <c r="C46" s="789"/>
      <c r="D46" s="346"/>
      <c r="E46" s="344" t="s">
        <v>149</v>
      </c>
      <c r="F46" s="344"/>
      <c r="G46" s="345"/>
      <c r="H46" s="346"/>
      <c r="I46" s="347">
        <v>0</v>
      </c>
      <c r="J46" s="347">
        <v>1</v>
      </c>
      <c r="K46" s="348" t="s">
        <v>0</v>
      </c>
      <c r="L46" s="344" t="s">
        <v>132</v>
      </c>
      <c r="M46" s="349">
        <v>44288</v>
      </c>
      <c r="N46" s="349">
        <v>44348</v>
      </c>
      <c r="O46" s="350" t="s">
        <v>160</v>
      </c>
      <c r="P46" s="350"/>
      <c r="Q46" s="344" t="s">
        <v>503</v>
      </c>
      <c r="R46" s="78"/>
      <c r="S46" s="399"/>
      <c r="T46" s="149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</row>
    <row r="47" spans="1:228" s="271" customFormat="1" ht="37.5" customHeight="1" hidden="1" outlineLevel="1" collapsed="1">
      <c r="A47" s="370"/>
      <c r="B47" s="794" t="s">
        <v>292</v>
      </c>
      <c r="C47" s="795"/>
      <c r="D47" s="370"/>
      <c r="E47" s="370"/>
      <c r="F47" s="370"/>
      <c r="G47" s="376"/>
      <c r="H47" s="371"/>
      <c r="I47" s="419">
        <v>0</v>
      </c>
      <c r="J47" s="419">
        <v>1</v>
      </c>
      <c r="K47" s="373"/>
      <c r="L47" s="370"/>
      <c r="M47" s="374"/>
      <c r="N47" s="374"/>
      <c r="O47" s="375"/>
      <c r="P47" s="375"/>
      <c r="Q47" s="370"/>
      <c r="R47" s="270"/>
      <c r="S47" s="686"/>
      <c r="T47" s="556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</row>
    <row r="48" spans="1:228" s="114" customFormat="1" ht="37.5" customHeight="1" hidden="1" outlineLevel="2">
      <c r="A48" s="344"/>
      <c r="B48" s="788" t="s">
        <v>217</v>
      </c>
      <c r="C48" s="789"/>
      <c r="D48" s="346"/>
      <c r="E48" s="344" t="s">
        <v>149</v>
      </c>
      <c r="F48" s="344"/>
      <c r="G48" s="345"/>
      <c r="H48" s="346"/>
      <c r="I48" s="347">
        <v>0</v>
      </c>
      <c r="J48" s="347">
        <v>1</v>
      </c>
      <c r="K48" s="348" t="s">
        <v>0</v>
      </c>
      <c r="L48" s="344" t="s">
        <v>132</v>
      </c>
      <c r="M48" s="349">
        <v>44288</v>
      </c>
      <c r="N48" s="349">
        <v>44348</v>
      </c>
      <c r="O48" s="350" t="s">
        <v>160</v>
      </c>
      <c r="P48" s="350"/>
      <c r="Q48" s="344" t="s">
        <v>503</v>
      </c>
      <c r="R48" s="78"/>
      <c r="S48" s="399"/>
      <c r="T48" s="149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</row>
    <row r="49" spans="1:228" s="114" customFormat="1" ht="37.5" customHeight="1" hidden="1" outlineLevel="2">
      <c r="A49" s="344"/>
      <c r="B49" s="788" t="s">
        <v>293</v>
      </c>
      <c r="C49" s="789"/>
      <c r="D49" s="346"/>
      <c r="E49" s="344" t="s">
        <v>149</v>
      </c>
      <c r="F49" s="344"/>
      <c r="G49" s="345"/>
      <c r="H49" s="346"/>
      <c r="I49" s="347">
        <v>0</v>
      </c>
      <c r="J49" s="347">
        <v>1</v>
      </c>
      <c r="K49" s="348" t="s">
        <v>0</v>
      </c>
      <c r="L49" s="344" t="s">
        <v>132</v>
      </c>
      <c r="M49" s="349">
        <v>44288</v>
      </c>
      <c r="N49" s="349">
        <v>44348</v>
      </c>
      <c r="O49" s="350" t="s">
        <v>160</v>
      </c>
      <c r="P49" s="350"/>
      <c r="Q49" s="344" t="s">
        <v>503</v>
      </c>
      <c r="R49" s="78"/>
      <c r="S49" s="399"/>
      <c r="T49" s="149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</row>
    <row r="50" spans="1:87" s="534" customFormat="1" ht="37.5" customHeight="1">
      <c r="A50" s="391" t="s">
        <v>145</v>
      </c>
      <c r="B50" s="790" t="s">
        <v>256</v>
      </c>
      <c r="C50" s="791"/>
      <c r="D50" s="391"/>
      <c r="E50" s="391"/>
      <c r="F50" s="391"/>
      <c r="G50" s="424"/>
      <c r="H50" s="603">
        <f>H51+H68+H86+H84+H85</f>
        <v>10229478.785516493</v>
      </c>
      <c r="I50" s="425">
        <f>(H51+H68+H85)/H50</f>
        <v>1</v>
      </c>
      <c r="J50" s="425">
        <f>1-I50</f>
        <v>0</v>
      </c>
      <c r="K50" s="400"/>
      <c r="L50" s="391"/>
      <c r="M50" s="395"/>
      <c r="N50" s="395"/>
      <c r="O50" s="393"/>
      <c r="P50" s="396"/>
      <c r="Q50" s="391"/>
      <c r="R50" s="362"/>
      <c r="S50" s="457">
        <f aca="true" t="shared" si="1" ref="S50:S56">H50*5</f>
        <v>51147393.927582465</v>
      </c>
      <c r="T50" s="549"/>
      <c r="V50" s="535"/>
      <c r="W50" s="535"/>
      <c r="AD50" s="536"/>
      <c r="AE50" s="536"/>
      <c r="AF50" s="536"/>
      <c r="AG50" s="536"/>
      <c r="AH50" s="536"/>
      <c r="AI50" s="536"/>
      <c r="AJ50" s="536"/>
      <c r="AK50" s="536"/>
      <c r="AL50" s="536"/>
      <c r="AM50" s="536"/>
      <c r="AN50" s="536"/>
      <c r="AO50" s="536"/>
      <c r="AP50" s="536"/>
      <c r="AQ50" s="536"/>
      <c r="AR50" s="536"/>
      <c r="AS50" s="536"/>
      <c r="AT50" s="536"/>
      <c r="AU50" s="536"/>
      <c r="AV50" s="536"/>
      <c r="AW50" s="536"/>
      <c r="AX50" s="536"/>
      <c r="AY50" s="536"/>
      <c r="AZ50" s="536"/>
      <c r="BA50" s="536"/>
      <c r="BB50" s="536"/>
      <c r="BC50" s="536"/>
      <c r="BD50" s="536"/>
      <c r="BE50" s="536"/>
      <c r="BF50" s="536"/>
      <c r="BG50" s="536"/>
      <c r="BH50" s="536"/>
      <c r="BI50" s="536"/>
      <c r="BJ50" s="536"/>
      <c r="BK50" s="536"/>
      <c r="BL50" s="536"/>
      <c r="BM50" s="536"/>
      <c r="BN50" s="536"/>
      <c r="BO50" s="536"/>
      <c r="BP50" s="536"/>
      <c r="BQ50" s="536"/>
      <c r="BR50" s="536"/>
      <c r="BS50" s="536"/>
      <c r="BT50" s="536"/>
      <c r="BU50" s="536"/>
      <c r="BV50" s="536"/>
      <c r="BW50" s="536"/>
      <c r="BX50" s="536"/>
      <c r="BY50" s="536"/>
      <c r="BZ50" s="536"/>
      <c r="CA50" s="536"/>
      <c r="CB50" s="536"/>
      <c r="CC50" s="536"/>
      <c r="CD50" s="536"/>
      <c r="CE50" s="536"/>
      <c r="CF50" s="536"/>
      <c r="CG50" s="536"/>
      <c r="CH50" s="536"/>
      <c r="CI50" s="536"/>
    </row>
    <row r="51" spans="1:20" s="365" customFormat="1" ht="39" customHeight="1" outlineLevel="1">
      <c r="A51" s="370" t="s">
        <v>186</v>
      </c>
      <c r="B51" s="794" t="s">
        <v>158</v>
      </c>
      <c r="C51" s="795"/>
      <c r="D51" s="370"/>
      <c r="E51" s="370"/>
      <c r="F51" s="370"/>
      <c r="G51" s="376"/>
      <c r="H51" s="371">
        <f>H52+H53+H54+H58+H59+H62+H63+H64+H67</f>
        <v>6661780.929875469</v>
      </c>
      <c r="I51" s="419">
        <v>1</v>
      </c>
      <c r="J51" s="419">
        <v>0</v>
      </c>
      <c r="K51" s="373"/>
      <c r="L51" s="370"/>
      <c r="M51" s="374"/>
      <c r="N51" s="374"/>
      <c r="O51" s="375"/>
      <c r="P51" s="375"/>
      <c r="Q51" s="370"/>
      <c r="R51" s="101"/>
      <c r="S51" s="481">
        <f t="shared" si="1"/>
        <v>33308904.649377346</v>
      </c>
      <c r="T51" s="550"/>
    </row>
    <row r="52" spans="1:20" s="269" customFormat="1" ht="39.75" customHeight="1" outlineLevel="3">
      <c r="A52" s="344" t="s">
        <v>311</v>
      </c>
      <c r="B52" s="788" t="s">
        <v>312</v>
      </c>
      <c r="C52" s="789"/>
      <c r="D52" s="346"/>
      <c r="E52" s="344" t="s">
        <v>149</v>
      </c>
      <c r="F52" s="653"/>
      <c r="G52" s="654"/>
      <c r="H52" s="346">
        <v>20780.5755395683</v>
      </c>
      <c r="I52" s="347">
        <v>1</v>
      </c>
      <c r="J52" s="347">
        <v>0</v>
      </c>
      <c r="K52" s="348" t="s">
        <v>8</v>
      </c>
      <c r="L52" s="344" t="s">
        <v>132</v>
      </c>
      <c r="M52" s="349">
        <v>43800</v>
      </c>
      <c r="N52" s="349">
        <v>43952</v>
      </c>
      <c r="O52" s="350" t="s">
        <v>160</v>
      </c>
      <c r="P52" s="350"/>
      <c r="Q52" s="344" t="s">
        <v>612</v>
      </c>
      <c r="R52" s="344"/>
      <c r="S52" s="456">
        <f t="shared" si="1"/>
        <v>103902.8776978415</v>
      </c>
      <c r="T52" s="552"/>
    </row>
    <row r="53" spans="1:20" s="269" customFormat="1" ht="39.75" customHeight="1" outlineLevel="3">
      <c r="A53" s="344" t="s">
        <v>313</v>
      </c>
      <c r="B53" s="788" t="s">
        <v>314</v>
      </c>
      <c r="C53" s="789"/>
      <c r="D53" s="346"/>
      <c r="E53" s="344" t="s">
        <v>149</v>
      </c>
      <c r="F53" s="344"/>
      <c r="G53" s="653"/>
      <c r="H53" s="346">
        <v>18157.0749</v>
      </c>
      <c r="I53" s="347">
        <v>1</v>
      </c>
      <c r="J53" s="347">
        <v>0</v>
      </c>
      <c r="K53" s="348" t="s">
        <v>8</v>
      </c>
      <c r="L53" s="344" t="s">
        <v>132</v>
      </c>
      <c r="M53" s="349">
        <v>43800</v>
      </c>
      <c r="N53" s="349">
        <v>43922</v>
      </c>
      <c r="O53" s="350" t="s">
        <v>160</v>
      </c>
      <c r="P53" s="350"/>
      <c r="Q53" s="344" t="s">
        <v>612</v>
      </c>
      <c r="R53" s="344"/>
      <c r="S53" s="456">
        <f t="shared" si="1"/>
        <v>90785.3745</v>
      </c>
      <c r="T53" s="552"/>
    </row>
    <row r="54" spans="1:20" s="269" customFormat="1" ht="39.75" customHeight="1" outlineLevel="3">
      <c r="A54" s="344" t="s">
        <v>315</v>
      </c>
      <c r="B54" s="788" t="s">
        <v>316</v>
      </c>
      <c r="C54" s="789"/>
      <c r="D54" s="346"/>
      <c r="E54" s="344" t="s">
        <v>149</v>
      </c>
      <c r="F54" s="344"/>
      <c r="G54" s="345"/>
      <c r="H54" s="346">
        <f>H55+H56</f>
        <v>344069.87</v>
      </c>
      <c r="I54" s="347">
        <v>1</v>
      </c>
      <c r="J54" s="347">
        <v>0</v>
      </c>
      <c r="K54" s="348"/>
      <c r="L54" s="344"/>
      <c r="M54" s="349"/>
      <c r="N54" s="349"/>
      <c r="O54" s="350"/>
      <c r="P54" s="350"/>
      <c r="Q54" s="344"/>
      <c r="R54" s="344"/>
      <c r="S54" s="456">
        <f t="shared" si="1"/>
        <v>1720349.35</v>
      </c>
      <c r="T54" s="552"/>
    </row>
    <row r="55" spans="1:228" s="106" customFormat="1" ht="39.75" customHeight="1" outlineLevel="3">
      <c r="A55" s="326" t="s">
        <v>425</v>
      </c>
      <c r="B55" s="786" t="s">
        <v>427</v>
      </c>
      <c r="C55" s="787"/>
      <c r="D55" s="327"/>
      <c r="E55" s="326" t="s">
        <v>149</v>
      </c>
      <c r="F55" s="326"/>
      <c r="G55" s="328"/>
      <c r="H55" s="329">
        <v>124145.06</v>
      </c>
      <c r="I55" s="330">
        <v>1</v>
      </c>
      <c r="J55" s="330">
        <v>0</v>
      </c>
      <c r="K55" s="368" t="s">
        <v>8</v>
      </c>
      <c r="L55" s="351" t="s">
        <v>132</v>
      </c>
      <c r="M55" s="366">
        <v>43770</v>
      </c>
      <c r="N55" s="366">
        <v>44075</v>
      </c>
      <c r="O55" s="333" t="s">
        <v>160</v>
      </c>
      <c r="P55" s="333"/>
      <c r="Q55" s="326" t="s">
        <v>612</v>
      </c>
      <c r="R55" s="326"/>
      <c r="S55" s="455">
        <f t="shared" si="1"/>
        <v>620725.3</v>
      </c>
      <c r="T55" s="557"/>
      <c r="U55" s="459"/>
      <c r="V55" s="460"/>
      <c r="W55" s="460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</row>
    <row r="56" spans="1:228" s="106" customFormat="1" ht="39.75" customHeight="1" outlineLevel="3">
      <c r="A56" s="326" t="s">
        <v>426</v>
      </c>
      <c r="B56" s="786" t="s">
        <v>428</v>
      </c>
      <c r="C56" s="787"/>
      <c r="D56" s="327"/>
      <c r="E56" s="326" t="s">
        <v>149</v>
      </c>
      <c r="F56" s="326"/>
      <c r="G56" s="328"/>
      <c r="H56" s="329">
        <v>219924.81</v>
      </c>
      <c r="I56" s="330">
        <v>1</v>
      </c>
      <c r="J56" s="330">
        <v>0</v>
      </c>
      <c r="K56" s="368" t="s">
        <v>8</v>
      </c>
      <c r="L56" s="351" t="s">
        <v>132</v>
      </c>
      <c r="M56" s="366">
        <v>43770</v>
      </c>
      <c r="N56" s="366">
        <v>44075</v>
      </c>
      <c r="O56" s="333" t="s">
        <v>160</v>
      </c>
      <c r="P56" s="333"/>
      <c r="Q56" s="326" t="s">
        <v>612</v>
      </c>
      <c r="R56" s="326"/>
      <c r="S56" s="455">
        <f t="shared" si="1"/>
        <v>1099624.05</v>
      </c>
      <c r="T56" s="557"/>
      <c r="V56" s="460"/>
      <c r="W56" s="460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</row>
    <row r="57" spans="1:228" s="184" customFormat="1" ht="39.75" customHeight="1" hidden="1" outlineLevel="3">
      <c r="A57" s="344"/>
      <c r="B57" s="788" t="s">
        <v>352</v>
      </c>
      <c r="C57" s="789"/>
      <c r="D57" s="346"/>
      <c r="E57" s="344" t="s">
        <v>147</v>
      </c>
      <c r="F57" s="344"/>
      <c r="G57" s="345"/>
      <c r="H57" s="346"/>
      <c r="I57" s="347">
        <v>1</v>
      </c>
      <c r="J57" s="347">
        <v>0</v>
      </c>
      <c r="K57" s="348" t="s">
        <v>8</v>
      </c>
      <c r="L57" s="344" t="s">
        <v>148</v>
      </c>
      <c r="M57" s="349">
        <v>44288</v>
      </c>
      <c r="N57" s="349">
        <v>44348</v>
      </c>
      <c r="O57" s="350"/>
      <c r="P57" s="350"/>
      <c r="Q57" s="344"/>
      <c r="R57" s="78"/>
      <c r="S57" s="399"/>
      <c r="T57" s="149"/>
      <c r="U57" s="114"/>
      <c r="V57" s="114"/>
      <c r="W57" s="114"/>
      <c r="X57" s="114"/>
      <c r="Y57" s="114"/>
      <c r="Z57" s="114"/>
      <c r="AA57" s="114"/>
      <c r="AB57" s="114"/>
      <c r="AC57" s="114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GL57" s="183"/>
      <c r="GM57" s="183"/>
      <c r="GN57" s="183"/>
      <c r="GO57" s="183"/>
      <c r="GP57" s="183"/>
      <c r="GQ57" s="183"/>
      <c r="GR57" s="183"/>
      <c r="GS57" s="183"/>
      <c r="GT57" s="183"/>
      <c r="GU57" s="183"/>
      <c r="GV57" s="183"/>
      <c r="GW57" s="183"/>
      <c r="GX57" s="183"/>
      <c r="GY57" s="183"/>
      <c r="GZ57" s="183"/>
      <c r="HA57" s="183"/>
      <c r="HB57" s="183"/>
      <c r="HC57" s="183"/>
      <c r="HD57" s="183"/>
      <c r="HE57" s="183"/>
      <c r="HF57" s="183"/>
      <c r="HG57" s="183"/>
      <c r="HH57" s="183"/>
      <c r="HI57" s="183"/>
      <c r="HJ57" s="183"/>
      <c r="HK57" s="183"/>
      <c r="HL57" s="183"/>
      <c r="HM57" s="183"/>
      <c r="HN57" s="183"/>
      <c r="HO57" s="183"/>
      <c r="HP57" s="183"/>
      <c r="HQ57" s="183"/>
      <c r="HR57" s="183"/>
      <c r="HS57" s="183"/>
      <c r="HT57" s="183"/>
    </row>
    <row r="58" spans="1:25" s="278" customFormat="1" ht="39.75" customHeight="1" outlineLevel="3">
      <c r="A58" s="344" t="s">
        <v>317</v>
      </c>
      <c r="B58" s="788" t="s">
        <v>412</v>
      </c>
      <c r="C58" s="789"/>
      <c r="D58" s="454"/>
      <c r="E58" s="344" t="s">
        <v>149</v>
      </c>
      <c r="F58" s="344"/>
      <c r="G58" s="345"/>
      <c r="H58" s="346">
        <v>691767.419509851</v>
      </c>
      <c r="I58" s="347">
        <v>1</v>
      </c>
      <c r="J58" s="347">
        <v>0</v>
      </c>
      <c r="K58" s="348" t="s">
        <v>8</v>
      </c>
      <c r="L58" s="344" t="s">
        <v>132</v>
      </c>
      <c r="M58" s="349">
        <v>43831</v>
      </c>
      <c r="N58" s="349">
        <v>44531</v>
      </c>
      <c r="O58" s="350" t="s">
        <v>160</v>
      </c>
      <c r="P58" s="350"/>
      <c r="Q58" s="344" t="s">
        <v>612</v>
      </c>
      <c r="R58" s="344"/>
      <c r="S58" s="456">
        <f aca="true" t="shared" si="2" ref="S58:S72">H58*5</f>
        <v>3458837.097549255</v>
      </c>
      <c r="T58" s="554"/>
      <c r="U58" s="451"/>
      <c r="V58" s="451"/>
      <c r="W58" s="451"/>
      <c r="X58" s="451"/>
      <c r="Y58" s="451"/>
    </row>
    <row r="59" spans="1:23" s="269" customFormat="1" ht="39.75" customHeight="1" outlineLevel="3">
      <c r="A59" s="344" t="s">
        <v>318</v>
      </c>
      <c r="B59" s="788" t="s">
        <v>320</v>
      </c>
      <c r="C59" s="789"/>
      <c r="D59" s="346"/>
      <c r="E59" s="344" t="s">
        <v>149</v>
      </c>
      <c r="F59" s="344"/>
      <c r="G59" s="345"/>
      <c r="H59" s="346">
        <f>H60+H61</f>
        <v>63540.74799999999</v>
      </c>
      <c r="I59" s="347">
        <v>1</v>
      </c>
      <c r="J59" s="347">
        <v>0</v>
      </c>
      <c r="K59" s="348"/>
      <c r="L59" s="344"/>
      <c r="M59" s="349"/>
      <c r="N59" s="349"/>
      <c r="O59" s="350"/>
      <c r="P59" s="350"/>
      <c r="Q59" s="344"/>
      <c r="R59" s="344"/>
      <c r="S59" s="456">
        <f t="shared" si="2"/>
        <v>317703.74</v>
      </c>
      <c r="T59" s="552"/>
      <c r="U59" s="417"/>
      <c r="V59" s="450"/>
      <c r="W59" s="537"/>
    </row>
    <row r="60" spans="1:228" s="184" customFormat="1" ht="39.75" customHeight="1" outlineLevel="3">
      <c r="A60" s="351" t="s">
        <v>454</v>
      </c>
      <c r="B60" s="792" t="s">
        <v>423</v>
      </c>
      <c r="C60" s="793"/>
      <c r="D60" s="327"/>
      <c r="E60" s="326" t="s">
        <v>149</v>
      </c>
      <c r="F60" s="326"/>
      <c r="G60" s="328"/>
      <c r="H60" s="329">
        <v>37364.484</v>
      </c>
      <c r="I60" s="330">
        <v>1</v>
      </c>
      <c r="J60" s="330">
        <v>0</v>
      </c>
      <c r="K60" s="368" t="s">
        <v>8</v>
      </c>
      <c r="L60" s="351" t="s">
        <v>132</v>
      </c>
      <c r="M60" s="366">
        <v>43770</v>
      </c>
      <c r="N60" s="366">
        <v>44075</v>
      </c>
      <c r="O60" s="333" t="s">
        <v>160</v>
      </c>
      <c r="P60" s="333"/>
      <c r="Q60" s="326" t="s">
        <v>612</v>
      </c>
      <c r="R60" s="185"/>
      <c r="S60" s="455">
        <f t="shared" si="2"/>
        <v>186822.41999999998</v>
      </c>
      <c r="T60" s="557"/>
      <c r="V60" s="458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GL60" s="183"/>
      <c r="GM60" s="183"/>
      <c r="GN60" s="183"/>
      <c r="GO60" s="183"/>
      <c r="GP60" s="183"/>
      <c r="GQ60" s="183"/>
      <c r="GR60" s="183"/>
      <c r="GS60" s="183"/>
      <c r="GT60" s="183"/>
      <c r="GU60" s="183"/>
      <c r="GV60" s="183"/>
      <c r="GW60" s="183"/>
      <c r="GX60" s="183"/>
      <c r="GY60" s="183"/>
      <c r="GZ60" s="183"/>
      <c r="HA60" s="183"/>
      <c r="HB60" s="183"/>
      <c r="HC60" s="183"/>
      <c r="HD60" s="183"/>
      <c r="HE60" s="183"/>
      <c r="HF60" s="183"/>
      <c r="HG60" s="183"/>
      <c r="HH60" s="183"/>
      <c r="HI60" s="183"/>
      <c r="HJ60" s="183"/>
      <c r="HK60" s="183"/>
      <c r="HL60" s="183"/>
      <c r="HM60" s="183"/>
      <c r="HN60" s="183"/>
      <c r="HO60" s="183"/>
      <c r="HP60" s="183"/>
      <c r="HQ60" s="183"/>
      <c r="HR60" s="183"/>
      <c r="HS60" s="183"/>
      <c r="HT60" s="183"/>
    </row>
    <row r="61" spans="1:228" s="184" customFormat="1" ht="39.75" customHeight="1" outlineLevel="3">
      <c r="A61" s="351" t="s">
        <v>455</v>
      </c>
      <c r="B61" s="792" t="s">
        <v>424</v>
      </c>
      <c r="C61" s="793"/>
      <c r="D61" s="327"/>
      <c r="E61" s="326" t="s">
        <v>149</v>
      </c>
      <c r="F61" s="326"/>
      <c r="G61" s="328"/>
      <c r="H61" s="329">
        <v>26176.264</v>
      </c>
      <c r="I61" s="330">
        <v>1</v>
      </c>
      <c r="J61" s="330">
        <v>0</v>
      </c>
      <c r="K61" s="368" t="s">
        <v>8</v>
      </c>
      <c r="L61" s="351" t="s">
        <v>132</v>
      </c>
      <c r="M61" s="366">
        <v>43770</v>
      </c>
      <c r="N61" s="366">
        <v>44075</v>
      </c>
      <c r="O61" s="333" t="s">
        <v>160</v>
      </c>
      <c r="P61" s="333"/>
      <c r="Q61" s="326" t="s">
        <v>612</v>
      </c>
      <c r="R61" s="185"/>
      <c r="S61" s="455">
        <f t="shared" si="2"/>
        <v>130881.31999999999</v>
      </c>
      <c r="T61" s="557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GL61" s="183"/>
      <c r="GM61" s="183"/>
      <c r="GN61" s="183"/>
      <c r="GO61" s="183"/>
      <c r="GP61" s="183"/>
      <c r="GQ61" s="183"/>
      <c r="GR61" s="183"/>
      <c r="GS61" s="183"/>
      <c r="GT61" s="183"/>
      <c r="GU61" s="183"/>
      <c r="GV61" s="183"/>
      <c r="GW61" s="183"/>
      <c r="GX61" s="183"/>
      <c r="GY61" s="183"/>
      <c r="GZ61" s="183"/>
      <c r="HA61" s="183"/>
      <c r="HB61" s="183"/>
      <c r="HC61" s="183"/>
      <c r="HD61" s="183"/>
      <c r="HE61" s="183"/>
      <c r="HF61" s="183"/>
      <c r="HG61" s="183"/>
      <c r="HH61" s="183"/>
      <c r="HI61" s="183"/>
      <c r="HJ61" s="183"/>
      <c r="HK61" s="183"/>
      <c r="HL61" s="183"/>
      <c r="HM61" s="183"/>
      <c r="HN61" s="183"/>
      <c r="HO61" s="183"/>
      <c r="HP61" s="183"/>
      <c r="HQ61" s="183"/>
      <c r="HR61" s="183"/>
      <c r="HS61" s="183"/>
      <c r="HT61" s="183"/>
    </row>
    <row r="62" spans="1:20" s="269" customFormat="1" ht="39.75" customHeight="1" outlineLevel="3">
      <c r="A62" s="344" t="s">
        <v>319</v>
      </c>
      <c r="B62" s="788" t="s">
        <v>322</v>
      </c>
      <c r="C62" s="789"/>
      <c r="D62" s="346"/>
      <c r="E62" s="344" t="s">
        <v>149</v>
      </c>
      <c r="F62" s="344"/>
      <c r="G62" s="345"/>
      <c r="H62" s="346">
        <v>1479085.164</v>
      </c>
      <c r="I62" s="347">
        <v>1</v>
      </c>
      <c r="J62" s="347">
        <v>0</v>
      </c>
      <c r="K62" s="348" t="s">
        <v>8</v>
      </c>
      <c r="L62" s="344" t="s">
        <v>132</v>
      </c>
      <c r="M62" s="349">
        <v>43770</v>
      </c>
      <c r="N62" s="349">
        <v>44075</v>
      </c>
      <c r="O62" s="350" t="s">
        <v>160</v>
      </c>
      <c r="P62" s="350"/>
      <c r="Q62" s="344" t="s">
        <v>612</v>
      </c>
      <c r="R62" s="344"/>
      <c r="S62" s="456">
        <f t="shared" si="2"/>
        <v>7395425.82</v>
      </c>
      <c r="T62" s="552"/>
    </row>
    <row r="63" spans="1:20" s="269" customFormat="1" ht="39.75" customHeight="1" hidden="1" outlineLevel="3">
      <c r="A63" s="344"/>
      <c r="B63" s="788" t="s">
        <v>323</v>
      </c>
      <c r="C63" s="789"/>
      <c r="D63" s="346"/>
      <c r="E63" s="344" t="s">
        <v>149</v>
      </c>
      <c r="F63" s="344"/>
      <c r="G63" s="345"/>
      <c r="H63" s="346"/>
      <c r="I63" s="347">
        <v>1</v>
      </c>
      <c r="J63" s="347">
        <v>0</v>
      </c>
      <c r="K63" s="348" t="s">
        <v>8</v>
      </c>
      <c r="L63" s="344" t="s">
        <v>132</v>
      </c>
      <c r="M63" s="349">
        <v>43770</v>
      </c>
      <c r="N63" s="349">
        <v>44075</v>
      </c>
      <c r="O63" s="350" t="s">
        <v>160</v>
      </c>
      <c r="P63" s="350"/>
      <c r="Q63" s="344" t="s">
        <v>503</v>
      </c>
      <c r="R63" s="268"/>
      <c r="S63" s="456">
        <f t="shared" si="2"/>
        <v>0</v>
      </c>
      <c r="T63" s="552"/>
    </row>
    <row r="64" spans="1:21" s="275" customFormat="1" ht="54.75" customHeight="1" outlineLevel="2">
      <c r="A64" s="344" t="s">
        <v>321</v>
      </c>
      <c r="B64" s="788" t="s">
        <v>415</v>
      </c>
      <c r="C64" s="789"/>
      <c r="D64" s="344"/>
      <c r="E64" s="344" t="s">
        <v>149</v>
      </c>
      <c r="F64" s="344"/>
      <c r="G64" s="345"/>
      <c r="H64" s="346">
        <f>H65+H66</f>
        <v>447354.98</v>
      </c>
      <c r="I64" s="347">
        <v>1</v>
      </c>
      <c r="J64" s="347">
        <v>0</v>
      </c>
      <c r="K64" s="348"/>
      <c r="L64" s="344"/>
      <c r="M64" s="349"/>
      <c r="N64" s="349"/>
      <c r="O64" s="350"/>
      <c r="P64" s="350"/>
      <c r="Q64" s="344"/>
      <c r="R64" s="266"/>
      <c r="S64" s="456">
        <f t="shared" si="2"/>
        <v>2236774.9</v>
      </c>
      <c r="T64" s="552"/>
      <c r="U64" s="523"/>
    </row>
    <row r="65" spans="1:24" s="106" customFormat="1" ht="54.75" customHeight="1" outlineLevel="2">
      <c r="A65" s="326" t="s">
        <v>456</v>
      </c>
      <c r="B65" s="786" t="s">
        <v>421</v>
      </c>
      <c r="C65" s="787"/>
      <c r="D65" s="327"/>
      <c r="E65" s="326" t="s">
        <v>149</v>
      </c>
      <c r="F65" s="326"/>
      <c r="G65" s="328"/>
      <c r="H65" s="329">
        <v>432000</v>
      </c>
      <c r="I65" s="330">
        <v>1</v>
      </c>
      <c r="J65" s="330">
        <v>0</v>
      </c>
      <c r="K65" s="331" t="s">
        <v>8</v>
      </c>
      <c r="L65" s="326" t="s">
        <v>132</v>
      </c>
      <c r="M65" s="332">
        <v>44805</v>
      </c>
      <c r="N65" s="366">
        <v>45231</v>
      </c>
      <c r="O65" s="333" t="s">
        <v>160</v>
      </c>
      <c r="P65" s="333"/>
      <c r="Q65" s="326" t="s">
        <v>55</v>
      </c>
      <c r="R65" s="326"/>
      <c r="S65" s="455">
        <f t="shared" si="2"/>
        <v>2160000</v>
      </c>
      <c r="T65" s="557"/>
      <c r="U65" s="459"/>
      <c r="V65" s="460"/>
      <c r="W65" s="460"/>
      <c r="X65" s="460"/>
    </row>
    <row r="66" spans="1:228" s="184" customFormat="1" ht="39.75" customHeight="1" outlineLevel="3">
      <c r="A66" s="326" t="s">
        <v>457</v>
      </c>
      <c r="B66" s="786" t="s">
        <v>414</v>
      </c>
      <c r="C66" s="787"/>
      <c r="D66" s="327"/>
      <c r="E66" s="326" t="s">
        <v>149</v>
      </c>
      <c r="F66" s="326"/>
      <c r="G66" s="329"/>
      <c r="H66" s="329">
        <v>15354.98</v>
      </c>
      <c r="I66" s="330">
        <v>1</v>
      </c>
      <c r="J66" s="330">
        <v>0</v>
      </c>
      <c r="K66" s="331" t="s">
        <v>8</v>
      </c>
      <c r="L66" s="326" t="s">
        <v>132</v>
      </c>
      <c r="M66" s="366">
        <v>44197</v>
      </c>
      <c r="N66" s="366">
        <v>44256</v>
      </c>
      <c r="O66" s="369" t="s">
        <v>160</v>
      </c>
      <c r="P66" s="369"/>
      <c r="Q66" s="351" t="s">
        <v>612</v>
      </c>
      <c r="R66" s="185"/>
      <c r="S66" s="455">
        <f t="shared" si="2"/>
        <v>76774.9</v>
      </c>
      <c r="T66" s="557"/>
      <c r="U66" s="489"/>
      <c r="V66" s="489"/>
      <c r="W66" s="489"/>
      <c r="X66" s="489"/>
      <c r="Y66" s="489"/>
      <c r="Z66" s="524"/>
      <c r="AA66" s="489"/>
      <c r="AB66" s="489"/>
      <c r="AC66" s="489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GL66" s="183"/>
      <c r="GM66" s="183"/>
      <c r="GN66" s="183"/>
      <c r="GO66" s="183"/>
      <c r="GP66" s="183"/>
      <c r="GQ66" s="183"/>
      <c r="GR66" s="183"/>
      <c r="GS66" s="183"/>
      <c r="GT66" s="183"/>
      <c r="GU66" s="183"/>
      <c r="GV66" s="183"/>
      <c r="GW66" s="183"/>
      <c r="GX66" s="183"/>
      <c r="GY66" s="183"/>
      <c r="GZ66" s="183"/>
      <c r="HA66" s="183"/>
      <c r="HB66" s="183"/>
      <c r="HC66" s="183"/>
      <c r="HD66" s="183"/>
      <c r="HE66" s="183"/>
      <c r="HF66" s="183"/>
      <c r="HG66" s="183"/>
      <c r="HH66" s="183"/>
      <c r="HI66" s="183"/>
      <c r="HJ66" s="183"/>
      <c r="HK66" s="183"/>
      <c r="HL66" s="183"/>
      <c r="HM66" s="183"/>
      <c r="HN66" s="183"/>
      <c r="HO66" s="183"/>
      <c r="HP66" s="183"/>
      <c r="HQ66" s="183"/>
      <c r="HR66" s="183"/>
      <c r="HS66" s="183"/>
      <c r="HT66" s="183"/>
    </row>
    <row r="67" spans="1:23" s="275" customFormat="1" ht="49.5" customHeight="1" outlineLevel="2">
      <c r="A67" s="266" t="s">
        <v>595</v>
      </c>
      <c r="B67" s="838" t="s">
        <v>596</v>
      </c>
      <c r="C67" s="839"/>
      <c r="D67" s="266"/>
      <c r="E67" s="266" t="s">
        <v>149</v>
      </c>
      <c r="F67" s="266"/>
      <c r="G67" s="629"/>
      <c r="H67" s="644">
        <v>3597025.09792605</v>
      </c>
      <c r="I67" s="595">
        <v>1</v>
      </c>
      <c r="J67" s="595">
        <v>0</v>
      </c>
      <c r="K67" s="596" t="s">
        <v>8</v>
      </c>
      <c r="L67" s="266" t="s">
        <v>132</v>
      </c>
      <c r="M67" s="597">
        <v>44470</v>
      </c>
      <c r="N67" s="597">
        <v>45261</v>
      </c>
      <c r="O67" s="267" t="s">
        <v>160</v>
      </c>
      <c r="P67" s="267"/>
      <c r="Q67" s="266" t="s">
        <v>55</v>
      </c>
      <c r="R67" s="266" t="s">
        <v>683</v>
      </c>
      <c r="S67" s="598">
        <f>H67*5</f>
        <v>17985125.48963025</v>
      </c>
      <c r="T67" s="628">
        <v>572000</v>
      </c>
      <c r="U67" s="609">
        <v>114400</v>
      </c>
      <c r="V67" s="609">
        <v>3711425.09792605</v>
      </c>
      <c r="W67" s="599">
        <f>V67-U67</f>
        <v>3597025.09792605</v>
      </c>
    </row>
    <row r="68" spans="1:25" s="365" customFormat="1" ht="39.75" customHeight="1" outlineLevel="1">
      <c r="A68" s="370" t="s">
        <v>257</v>
      </c>
      <c r="B68" s="794" t="s">
        <v>302</v>
      </c>
      <c r="C68" s="795"/>
      <c r="D68" s="370"/>
      <c r="E68" s="370"/>
      <c r="F68" s="370"/>
      <c r="G68" s="376"/>
      <c r="H68" s="371">
        <f>H69+H74+H75+H76+H77+H83+H78</f>
        <v>3567697.855641024</v>
      </c>
      <c r="I68" s="419">
        <v>1</v>
      </c>
      <c r="J68" s="419">
        <v>0</v>
      </c>
      <c r="K68" s="373"/>
      <c r="L68" s="370"/>
      <c r="M68" s="374"/>
      <c r="N68" s="374"/>
      <c r="O68" s="375"/>
      <c r="P68" s="375"/>
      <c r="Q68" s="370"/>
      <c r="R68" s="101"/>
      <c r="S68" s="481">
        <f t="shared" si="2"/>
        <v>17838489.27820512</v>
      </c>
      <c r="T68" s="550"/>
      <c r="X68" s="466"/>
      <c r="Y68" s="466"/>
    </row>
    <row r="69" spans="1:20" s="275" customFormat="1" ht="52.5" customHeight="1" outlineLevel="2">
      <c r="A69" s="344" t="s">
        <v>324</v>
      </c>
      <c r="B69" s="788" t="s">
        <v>350</v>
      </c>
      <c r="C69" s="789"/>
      <c r="D69" s="346"/>
      <c r="E69" s="344" t="s">
        <v>149</v>
      </c>
      <c r="F69" s="344"/>
      <c r="G69" s="345"/>
      <c r="H69" s="346">
        <f>H70+H71+H72</f>
        <v>1820719.154257908</v>
      </c>
      <c r="I69" s="347">
        <v>1</v>
      </c>
      <c r="J69" s="347">
        <v>0</v>
      </c>
      <c r="K69" s="348"/>
      <c r="L69" s="344"/>
      <c r="M69" s="349"/>
      <c r="N69" s="349"/>
      <c r="O69" s="350"/>
      <c r="P69" s="350"/>
      <c r="Q69" s="344"/>
      <c r="R69" s="266"/>
      <c r="S69" s="456">
        <f t="shared" si="2"/>
        <v>9103595.77128954</v>
      </c>
      <c r="T69" s="552"/>
    </row>
    <row r="70" spans="1:24" s="106" customFormat="1" ht="52.5" customHeight="1" outlineLevel="2">
      <c r="A70" s="326" t="s">
        <v>429</v>
      </c>
      <c r="B70" s="786" t="s">
        <v>432</v>
      </c>
      <c r="C70" s="787"/>
      <c r="D70" s="327"/>
      <c r="E70" s="326" t="s">
        <v>149</v>
      </c>
      <c r="F70" s="326"/>
      <c r="G70" s="328"/>
      <c r="H70" s="329">
        <v>174190.754257908</v>
      </c>
      <c r="I70" s="330">
        <v>1</v>
      </c>
      <c r="J70" s="330">
        <v>0</v>
      </c>
      <c r="K70" s="331" t="s">
        <v>9</v>
      </c>
      <c r="L70" s="326" t="s">
        <v>132</v>
      </c>
      <c r="M70" s="332">
        <v>43770</v>
      </c>
      <c r="N70" s="366">
        <v>44075</v>
      </c>
      <c r="O70" s="333" t="s">
        <v>160</v>
      </c>
      <c r="P70" s="333"/>
      <c r="Q70" s="326" t="s">
        <v>612</v>
      </c>
      <c r="R70" s="326"/>
      <c r="S70" s="455">
        <f t="shared" si="2"/>
        <v>870953.77128954</v>
      </c>
      <c r="T70" s="557"/>
      <c r="U70" s="460"/>
      <c r="V70" s="460"/>
      <c r="W70" s="460"/>
      <c r="X70" s="460"/>
    </row>
    <row r="71" spans="1:28" s="106" customFormat="1" ht="52.5" customHeight="1" outlineLevel="2">
      <c r="A71" s="326" t="s">
        <v>430</v>
      </c>
      <c r="B71" s="786" t="s">
        <v>433</v>
      </c>
      <c r="C71" s="787"/>
      <c r="D71" s="327"/>
      <c r="E71" s="326" t="s">
        <v>149</v>
      </c>
      <c r="F71" s="326"/>
      <c r="G71" s="328"/>
      <c r="H71" s="329">
        <v>699804</v>
      </c>
      <c r="I71" s="330">
        <v>1</v>
      </c>
      <c r="J71" s="330">
        <v>0</v>
      </c>
      <c r="K71" s="331" t="s">
        <v>9</v>
      </c>
      <c r="L71" s="326" t="s">
        <v>132</v>
      </c>
      <c r="M71" s="332">
        <v>43770</v>
      </c>
      <c r="N71" s="366">
        <v>44075</v>
      </c>
      <c r="O71" s="333" t="s">
        <v>160</v>
      </c>
      <c r="P71" s="333"/>
      <c r="Q71" s="326" t="s">
        <v>15</v>
      </c>
      <c r="R71" s="326"/>
      <c r="S71" s="455">
        <f t="shared" si="2"/>
        <v>3499020</v>
      </c>
      <c r="T71" s="557"/>
      <c r="U71" s="460"/>
      <c r="V71" s="460"/>
      <c r="W71" s="460"/>
      <c r="X71" s="460"/>
      <c r="Y71" s="460"/>
      <c r="Z71" s="460"/>
      <c r="AA71" s="460"/>
      <c r="AB71" s="460"/>
    </row>
    <row r="72" spans="1:28" s="133" customFormat="1" ht="52.5" customHeight="1" outlineLevel="2">
      <c r="A72" s="326" t="s">
        <v>431</v>
      </c>
      <c r="B72" s="786" t="s">
        <v>652</v>
      </c>
      <c r="C72" s="787"/>
      <c r="D72" s="327"/>
      <c r="E72" s="326" t="s">
        <v>149</v>
      </c>
      <c r="F72" s="326"/>
      <c r="G72" s="328"/>
      <c r="H72" s="329">
        <v>946724.4</v>
      </c>
      <c r="I72" s="330">
        <v>1</v>
      </c>
      <c r="J72" s="330">
        <v>0</v>
      </c>
      <c r="K72" s="331" t="s">
        <v>9</v>
      </c>
      <c r="L72" s="326" t="s">
        <v>132</v>
      </c>
      <c r="M72" s="332">
        <v>44896</v>
      </c>
      <c r="N72" s="366">
        <v>45231</v>
      </c>
      <c r="O72" s="333" t="s">
        <v>160</v>
      </c>
      <c r="P72" s="333"/>
      <c r="Q72" s="326" t="s">
        <v>55</v>
      </c>
      <c r="R72" s="134"/>
      <c r="S72" s="455">
        <f t="shared" si="2"/>
        <v>4733622</v>
      </c>
      <c r="T72" s="606"/>
      <c r="U72" s="607"/>
      <c r="V72" s="608"/>
      <c r="W72" s="608"/>
      <c r="X72" s="608"/>
      <c r="Y72" s="608"/>
      <c r="Z72" s="608"/>
      <c r="AA72" s="608"/>
      <c r="AB72" s="608"/>
    </row>
    <row r="73" spans="1:228" s="114" customFormat="1" ht="52.5" customHeight="1" hidden="1" outlineLevel="2">
      <c r="A73" s="326"/>
      <c r="B73" s="786" t="s">
        <v>434</v>
      </c>
      <c r="C73" s="787"/>
      <c r="D73" s="327"/>
      <c r="E73" s="326"/>
      <c r="F73" s="326"/>
      <c r="G73" s="328"/>
      <c r="H73" s="329"/>
      <c r="I73" s="583">
        <v>1</v>
      </c>
      <c r="J73" s="583">
        <v>0</v>
      </c>
      <c r="K73" s="331" t="s">
        <v>9</v>
      </c>
      <c r="L73" s="326"/>
      <c r="M73" s="332"/>
      <c r="N73" s="366"/>
      <c r="O73" s="369"/>
      <c r="P73" s="333"/>
      <c r="Q73" s="351"/>
      <c r="R73" s="78"/>
      <c r="S73" s="399"/>
      <c r="T73" s="149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</row>
    <row r="74" spans="1:228" s="133" customFormat="1" ht="52.5" customHeight="1" hidden="1" outlineLevel="2">
      <c r="A74" s="344"/>
      <c r="B74" s="788" t="s">
        <v>326</v>
      </c>
      <c r="C74" s="789"/>
      <c r="D74" s="346"/>
      <c r="E74" s="344" t="s">
        <v>149</v>
      </c>
      <c r="F74" s="344"/>
      <c r="G74" s="346"/>
      <c r="H74" s="346"/>
      <c r="I74" s="347">
        <v>1</v>
      </c>
      <c r="J74" s="347">
        <v>0</v>
      </c>
      <c r="K74" s="348" t="s">
        <v>9</v>
      </c>
      <c r="L74" s="344" t="s">
        <v>132</v>
      </c>
      <c r="M74" s="349">
        <v>44287</v>
      </c>
      <c r="N74" s="366">
        <v>44317</v>
      </c>
      <c r="O74" s="350" t="s">
        <v>160</v>
      </c>
      <c r="P74" s="350"/>
      <c r="Q74" s="344" t="s">
        <v>503</v>
      </c>
      <c r="R74" s="134"/>
      <c r="S74" s="399"/>
      <c r="T74" s="304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GL74" s="318"/>
      <c r="GM74" s="318"/>
      <c r="GN74" s="318"/>
      <c r="GO74" s="318"/>
      <c r="GP74" s="318"/>
      <c r="GQ74" s="318"/>
      <c r="GR74" s="318"/>
      <c r="GS74" s="318"/>
      <c r="GT74" s="318"/>
      <c r="GU74" s="318"/>
      <c r="GV74" s="318"/>
      <c r="GW74" s="318"/>
      <c r="GX74" s="318"/>
      <c r="GY74" s="318"/>
      <c r="GZ74" s="318"/>
      <c r="HA74" s="318"/>
      <c r="HB74" s="318"/>
      <c r="HC74" s="318"/>
      <c r="HD74" s="318"/>
      <c r="HE74" s="318"/>
      <c r="HF74" s="318"/>
      <c r="HG74" s="318"/>
      <c r="HH74" s="318"/>
      <c r="HI74" s="318"/>
      <c r="HJ74" s="318"/>
      <c r="HK74" s="318"/>
      <c r="HL74" s="318"/>
      <c r="HM74" s="318"/>
      <c r="HN74" s="318"/>
      <c r="HO74" s="318"/>
      <c r="HP74" s="318"/>
      <c r="HQ74" s="318"/>
      <c r="HR74" s="318"/>
      <c r="HS74" s="318"/>
      <c r="HT74" s="318"/>
    </row>
    <row r="75" spans="1:228" s="184" customFormat="1" ht="52.5" customHeight="1" hidden="1" outlineLevel="2">
      <c r="A75" s="344"/>
      <c r="B75" s="788" t="s">
        <v>327</v>
      </c>
      <c r="C75" s="789"/>
      <c r="D75" s="346"/>
      <c r="E75" s="344" t="s">
        <v>149</v>
      </c>
      <c r="F75" s="344"/>
      <c r="G75" s="346"/>
      <c r="H75" s="346"/>
      <c r="I75" s="347">
        <v>1</v>
      </c>
      <c r="J75" s="347">
        <v>0</v>
      </c>
      <c r="K75" s="348" t="s">
        <v>9</v>
      </c>
      <c r="L75" s="344" t="s">
        <v>132</v>
      </c>
      <c r="M75" s="349">
        <v>44287</v>
      </c>
      <c r="N75" s="366">
        <v>44317</v>
      </c>
      <c r="O75" s="350" t="s">
        <v>160</v>
      </c>
      <c r="P75" s="350"/>
      <c r="Q75" s="344" t="s">
        <v>503</v>
      </c>
      <c r="R75" s="185"/>
      <c r="S75" s="399"/>
      <c r="T75" s="310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GL75" s="183"/>
      <c r="GM75" s="183"/>
      <c r="GN75" s="183"/>
      <c r="GO75" s="183"/>
      <c r="GP75" s="183"/>
      <c r="GQ75" s="183"/>
      <c r="GR75" s="183"/>
      <c r="GS75" s="183"/>
      <c r="GT75" s="183"/>
      <c r="GU75" s="183"/>
      <c r="GV75" s="183"/>
      <c r="GW75" s="183"/>
      <c r="GX75" s="183"/>
      <c r="GY75" s="183"/>
      <c r="GZ75" s="183"/>
      <c r="HA75" s="183"/>
      <c r="HB75" s="183"/>
      <c r="HC75" s="183"/>
      <c r="HD75" s="183"/>
      <c r="HE75" s="183"/>
      <c r="HF75" s="183"/>
      <c r="HG75" s="183"/>
      <c r="HH75" s="183"/>
      <c r="HI75" s="183"/>
      <c r="HJ75" s="183"/>
      <c r="HK75" s="183"/>
      <c r="HL75" s="183"/>
      <c r="HM75" s="183"/>
      <c r="HN75" s="183"/>
      <c r="HO75" s="183"/>
      <c r="HP75" s="183"/>
      <c r="HQ75" s="183"/>
      <c r="HR75" s="183"/>
      <c r="HS75" s="183"/>
      <c r="HT75" s="183"/>
    </row>
    <row r="76" spans="1:228" s="184" customFormat="1" ht="52.5" customHeight="1" hidden="1" outlineLevel="2">
      <c r="A76" s="344"/>
      <c r="B76" s="788" t="s">
        <v>328</v>
      </c>
      <c r="C76" s="789"/>
      <c r="D76" s="346"/>
      <c r="E76" s="344" t="s">
        <v>149</v>
      </c>
      <c r="F76" s="344"/>
      <c r="G76" s="346"/>
      <c r="H76" s="346"/>
      <c r="I76" s="347">
        <v>1</v>
      </c>
      <c r="J76" s="347">
        <v>0</v>
      </c>
      <c r="K76" s="348" t="s">
        <v>9</v>
      </c>
      <c r="L76" s="344" t="s">
        <v>132</v>
      </c>
      <c r="M76" s="349">
        <v>44287</v>
      </c>
      <c r="N76" s="366">
        <v>44317</v>
      </c>
      <c r="O76" s="350" t="s">
        <v>160</v>
      </c>
      <c r="P76" s="350"/>
      <c r="Q76" s="344" t="s">
        <v>503</v>
      </c>
      <c r="R76" s="185"/>
      <c r="S76" s="399"/>
      <c r="T76" s="310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GL76" s="183"/>
      <c r="GM76" s="183"/>
      <c r="GN76" s="183"/>
      <c r="GO76" s="183"/>
      <c r="GP76" s="183"/>
      <c r="GQ76" s="183"/>
      <c r="GR76" s="183"/>
      <c r="GS76" s="183"/>
      <c r="GT76" s="183"/>
      <c r="GU76" s="183"/>
      <c r="GV76" s="183"/>
      <c r="GW76" s="183"/>
      <c r="GX76" s="183"/>
      <c r="GY76" s="183"/>
      <c r="GZ76" s="183"/>
      <c r="HA76" s="183"/>
      <c r="HB76" s="183"/>
      <c r="HC76" s="183"/>
      <c r="HD76" s="183"/>
      <c r="HE76" s="183"/>
      <c r="HF76" s="183"/>
      <c r="HG76" s="183"/>
      <c r="HH76" s="183"/>
      <c r="HI76" s="183"/>
      <c r="HJ76" s="183"/>
      <c r="HK76" s="183"/>
      <c r="HL76" s="183"/>
      <c r="HM76" s="183"/>
      <c r="HN76" s="183"/>
      <c r="HO76" s="183"/>
      <c r="HP76" s="183"/>
      <c r="HQ76" s="183"/>
      <c r="HR76" s="183"/>
      <c r="HS76" s="183"/>
      <c r="HT76" s="183"/>
    </row>
    <row r="77" spans="1:28" s="269" customFormat="1" ht="52.5" customHeight="1" outlineLevel="2">
      <c r="A77" s="344" t="s">
        <v>325</v>
      </c>
      <c r="B77" s="788" t="s">
        <v>348</v>
      </c>
      <c r="C77" s="789"/>
      <c r="D77" s="346"/>
      <c r="E77" s="344" t="s">
        <v>149</v>
      </c>
      <c r="F77" s="344"/>
      <c r="G77" s="346"/>
      <c r="H77" s="346">
        <v>44378.70641025601</v>
      </c>
      <c r="I77" s="347">
        <v>1</v>
      </c>
      <c r="J77" s="347">
        <v>0</v>
      </c>
      <c r="K77" s="348" t="s">
        <v>9</v>
      </c>
      <c r="L77" s="344" t="s">
        <v>132</v>
      </c>
      <c r="M77" s="349">
        <v>44136</v>
      </c>
      <c r="N77" s="349">
        <v>44228</v>
      </c>
      <c r="O77" s="350" t="s">
        <v>160</v>
      </c>
      <c r="P77" s="350"/>
      <c r="Q77" s="344" t="s">
        <v>612</v>
      </c>
      <c r="R77" s="266"/>
      <c r="S77" s="456">
        <f aca="true" t="shared" si="3" ref="S77:S82">H77*5</f>
        <v>221893.53205128005</v>
      </c>
      <c r="T77" s="552"/>
      <c r="U77" s="538"/>
      <c r="V77" s="538"/>
      <c r="W77" s="538"/>
      <c r="X77" s="538"/>
      <c r="Y77" s="538"/>
      <c r="Z77" s="538"/>
      <c r="AA77" s="539"/>
      <c r="AB77" s="539"/>
    </row>
    <row r="78" spans="1:29" s="278" customFormat="1" ht="52.5" customHeight="1" outlineLevel="2">
      <c r="A78" s="344" t="s">
        <v>629</v>
      </c>
      <c r="B78" s="788" t="s">
        <v>647</v>
      </c>
      <c r="C78" s="789"/>
      <c r="D78" s="346"/>
      <c r="E78" s="344" t="s">
        <v>642</v>
      </c>
      <c r="F78" s="344"/>
      <c r="G78" s="346"/>
      <c r="H78" s="346">
        <f>H79+H80+H81</f>
        <v>1702599.99497286</v>
      </c>
      <c r="I78" s="347">
        <v>1</v>
      </c>
      <c r="J78" s="347">
        <v>0</v>
      </c>
      <c r="K78" s="348"/>
      <c r="L78" s="344"/>
      <c r="M78" s="349"/>
      <c r="N78" s="349"/>
      <c r="O78" s="350"/>
      <c r="P78" s="350"/>
      <c r="Q78" s="344"/>
      <c r="R78" s="344"/>
      <c r="S78" s="456">
        <f t="shared" si="3"/>
        <v>8512999.9748643</v>
      </c>
      <c r="T78" s="554"/>
      <c r="U78" s="451"/>
      <c r="V78" s="451"/>
      <c r="W78" s="451"/>
      <c r="X78" s="451"/>
      <c r="Y78" s="451"/>
      <c r="Z78" s="451"/>
      <c r="AA78" s="528"/>
      <c r="AB78" s="528"/>
      <c r="AC78" s="529"/>
    </row>
    <row r="79" spans="1:29" s="106" customFormat="1" ht="52.5" customHeight="1" outlineLevel="2">
      <c r="A79" s="326" t="s">
        <v>639</v>
      </c>
      <c r="B79" s="786" t="s">
        <v>650</v>
      </c>
      <c r="C79" s="787"/>
      <c r="D79" s="329"/>
      <c r="E79" s="326" t="s">
        <v>182</v>
      </c>
      <c r="F79" s="326"/>
      <c r="G79" s="329"/>
      <c r="H79" s="329">
        <v>1398005.036</v>
      </c>
      <c r="I79" s="330">
        <v>1</v>
      </c>
      <c r="J79" s="330">
        <v>0</v>
      </c>
      <c r="K79" s="331" t="s">
        <v>9</v>
      </c>
      <c r="L79" s="326" t="s">
        <v>148</v>
      </c>
      <c r="M79" s="332">
        <v>44805</v>
      </c>
      <c r="N79" s="366">
        <v>45413</v>
      </c>
      <c r="O79" s="333"/>
      <c r="P79" s="333"/>
      <c r="Q79" s="326" t="s">
        <v>55</v>
      </c>
      <c r="R79" s="326"/>
      <c r="S79" s="455">
        <f t="shared" si="3"/>
        <v>6990025.180000001</v>
      </c>
      <c r="T79" s="557"/>
      <c r="U79" s="618"/>
      <c r="V79" s="618"/>
      <c r="W79" s="530"/>
      <c r="X79" s="530"/>
      <c r="Y79" s="460"/>
      <c r="Z79" s="460"/>
      <c r="AA79" s="526"/>
      <c r="AB79" s="526"/>
      <c r="AC79" s="527"/>
    </row>
    <row r="80" spans="1:29" s="106" customFormat="1" ht="52.5" customHeight="1" outlineLevel="2">
      <c r="A80" s="326" t="s">
        <v>640</v>
      </c>
      <c r="B80" s="786" t="s">
        <v>649</v>
      </c>
      <c r="C80" s="787"/>
      <c r="D80" s="329"/>
      <c r="E80" s="326" t="s">
        <v>149</v>
      </c>
      <c r="F80" s="326"/>
      <c r="G80" s="329"/>
      <c r="H80" s="329">
        <v>190194.95897286</v>
      </c>
      <c r="I80" s="330">
        <v>1</v>
      </c>
      <c r="J80" s="330">
        <v>0</v>
      </c>
      <c r="K80" s="331" t="s">
        <v>9</v>
      </c>
      <c r="L80" s="326" t="s">
        <v>148</v>
      </c>
      <c r="M80" s="332">
        <v>44805</v>
      </c>
      <c r="N80" s="366">
        <v>45231</v>
      </c>
      <c r="O80" s="333" t="s">
        <v>160</v>
      </c>
      <c r="P80" s="333"/>
      <c r="Q80" s="326" t="s">
        <v>55</v>
      </c>
      <c r="R80" s="326"/>
      <c r="S80" s="455">
        <f t="shared" si="3"/>
        <v>950974.7948643</v>
      </c>
      <c r="T80" s="557"/>
      <c r="U80" s="460"/>
      <c r="V80" s="460"/>
      <c r="W80" s="460"/>
      <c r="X80" s="460"/>
      <c r="Y80" s="460"/>
      <c r="Z80" s="460"/>
      <c r="AA80" s="526"/>
      <c r="AB80" s="526"/>
      <c r="AC80" s="527"/>
    </row>
    <row r="81" spans="1:29" s="339" customFormat="1" ht="52.5" customHeight="1" outlineLevel="2">
      <c r="A81" s="320" t="s">
        <v>641</v>
      </c>
      <c r="B81" s="784" t="s">
        <v>682</v>
      </c>
      <c r="C81" s="785"/>
      <c r="D81" s="695"/>
      <c r="E81" s="320" t="s">
        <v>149</v>
      </c>
      <c r="F81" s="320"/>
      <c r="G81" s="695"/>
      <c r="H81" s="695">
        <v>114400</v>
      </c>
      <c r="I81" s="619">
        <v>1</v>
      </c>
      <c r="J81" s="619">
        <v>0</v>
      </c>
      <c r="K81" s="696" t="s">
        <v>9</v>
      </c>
      <c r="L81" s="320" t="s">
        <v>148</v>
      </c>
      <c r="M81" s="620">
        <v>45064</v>
      </c>
      <c r="N81" s="621">
        <v>45430</v>
      </c>
      <c r="O81" s="697" t="s">
        <v>160</v>
      </c>
      <c r="P81" s="697"/>
      <c r="Q81" s="320" t="s">
        <v>35</v>
      </c>
      <c r="R81" s="320" t="s">
        <v>684</v>
      </c>
      <c r="S81" s="698">
        <f t="shared" si="3"/>
        <v>572000</v>
      </c>
      <c r="T81" s="699"/>
      <c r="U81" s="700"/>
      <c r="V81" s="700"/>
      <c r="W81" s="700"/>
      <c r="X81" s="700"/>
      <c r="Y81" s="700"/>
      <c r="Z81" s="700"/>
      <c r="AA81" s="701"/>
      <c r="AB81" s="701"/>
      <c r="AC81" s="702"/>
    </row>
    <row r="82" spans="1:29" s="114" customFormat="1" ht="52.5" customHeight="1" hidden="1" outlineLevel="2">
      <c r="A82" s="78"/>
      <c r="B82" s="798" t="s">
        <v>648</v>
      </c>
      <c r="C82" s="799"/>
      <c r="D82" s="217"/>
      <c r="E82" s="78" t="s">
        <v>149</v>
      </c>
      <c r="F82" s="78"/>
      <c r="G82" s="217"/>
      <c r="H82" s="217"/>
      <c r="I82" s="259">
        <v>1</v>
      </c>
      <c r="J82" s="259">
        <v>0</v>
      </c>
      <c r="K82" s="145" t="s">
        <v>9</v>
      </c>
      <c r="L82" s="78" t="s">
        <v>148</v>
      </c>
      <c r="M82" s="146">
        <v>44986</v>
      </c>
      <c r="N82" s="147">
        <v>45170</v>
      </c>
      <c r="O82" s="648" t="s">
        <v>160</v>
      </c>
      <c r="P82" s="648"/>
      <c r="Q82" s="78" t="s">
        <v>632</v>
      </c>
      <c r="R82" s="78"/>
      <c r="S82" s="719">
        <f t="shared" si="3"/>
        <v>0</v>
      </c>
      <c r="T82" s="567"/>
      <c r="U82" s="630"/>
      <c r="V82" s="630"/>
      <c r="W82" s="631"/>
      <c r="X82" s="631"/>
      <c r="Y82" s="462"/>
      <c r="Z82" s="462"/>
      <c r="AA82" s="632"/>
      <c r="AB82" s="632"/>
      <c r="AC82" s="633"/>
    </row>
    <row r="83" spans="1:20" s="289" customFormat="1" ht="52.5" customHeight="1" hidden="1" outlineLevel="2">
      <c r="A83" s="270"/>
      <c r="B83" s="815" t="s">
        <v>349</v>
      </c>
      <c r="C83" s="816"/>
      <c r="D83" s="403"/>
      <c r="E83" s="270" t="s">
        <v>149</v>
      </c>
      <c r="F83" s="270"/>
      <c r="G83" s="341"/>
      <c r="H83" s="341"/>
      <c r="I83" s="378">
        <v>1</v>
      </c>
      <c r="J83" s="378">
        <v>0</v>
      </c>
      <c r="K83" s="342" t="s">
        <v>9</v>
      </c>
      <c r="L83" s="270" t="s">
        <v>132</v>
      </c>
      <c r="M83" s="343">
        <v>44166</v>
      </c>
      <c r="N83" s="343">
        <v>44256</v>
      </c>
      <c r="O83" s="340" t="s">
        <v>160</v>
      </c>
      <c r="P83" s="340"/>
      <c r="Q83" s="270" t="s">
        <v>503</v>
      </c>
      <c r="R83" s="288"/>
      <c r="S83" s="687"/>
      <c r="T83" s="558"/>
    </row>
    <row r="84" spans="1:228" s="269" customFormat="1" ht="52.5" customHeight="1" hidden="1" outlineLevel="1">
      <c r="A84" s="379"/>
      <c r="B84" s="802" t="s">
        <v>351</v>
      </c>
      <c r="C84" s="803"/>
      <c r="D84" s="402"/>
      <c r="E84" s="379" t="s">
        <v>149</v>
      </c>
      <c r="F84" s="379"/>
      <c r="G84" s="380"/>
      <c r="H84" s="381"/>
      <c r="I84" s="382">
        <v>0</v>
      </c>
      <c r="J84" s="382">
        <v>1</v>
      </c>
      <c r="K84" s="385" t="s">
        <v>9</v>
      </c>
      <c r="L84" s="379" t="s">
        <v>132</v>
      </c>
      <c r="M84" s="397">
        <v>44136</v>
      </c>
      <c r="N84" s="397">
        <v>44228</v>
      </c>
      <c r="O84" s="398" t="s">
        <v>160</v>
      </c>
      <c r="P84" s="398"/>
      <c r="Q84" s="379"/>
      <c r="R84" s="268"/>
      <c r="S84" s="686"/>
      <c r="T84" s="555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GL84" s="183"/>
      <c r="GM84" s="183"/>
      <c r="GN84" s="183"/>
      <c r="GO84" s="183"/>
      <c r="GP84" s="183"/>
      <c r="GQ84" s="183"/>
      <c r="GR84" s="183"/>
      <c r="GS84" s="183"/>
      <c r="GT84" s="183"/>
      <c r="GU84" s="183"/>
      <c r="GV84" s="183"/>
      <c r="GW84" s="183"/>
      <c r="GX84" s="183"/>
      <c r="GY84" s="183"/>
      <c r="GZ84" s="183"/>
      <c r="HA84" s="183"/>
      <c r="HB84" s="183"/>
      <c r="HC84" s="183"/>
      <c r="HD84" s="183"/>
      <c r="HE84" s="183"/>
      <c r="HF84" s="183"/>
      <c r="HG84" s="183"/>
      <c r="HH84" s="183"/>
      <c r="HI84" s="183"/>
      <c r="HJ84" s="183"/>
      <c r="HK84" s="183"/>
      <c r="HL84" s="183"/>
      <c r="HM84" s="183"/>
      <c r="HN84" s="183"/>
      <c r="HO84" s="183"/>
      <c r="HP84" s="183"/>
      <c r="HQ84" s="183"/>
      <c r="HR84" s="183"/>
      <c r="HS84" s="183"/>
      <c r="HT84" s="183"/>
    </row>
    <row r="85" spans="1:228" s="269" customFormat="1" ht="52.5" customHeight="1" hidden="1" outlineLevel="1">
      <c r="A85" s="379"/>
      <c r="B85" s="802" t="s">
        <v>294</v>
      </c>
      <c r="C85" s="803"/>
      <c r="D85" s="379"/>
      <c r="E85" s="379" t="s">
        <v>182</v>
      </c>
      <c r="F85" s="379"/>
      <c r="G85" s="380"/>
      <c r="H85" s="412">
        <v>0</v>
      </c>
      <c r="I85" s="382">
        <v>1</v>
      </c>
      <c r="J85" s="382">
        <v>0</v>
      </c>
      <c r="K85" s="385" t="s">
        <v>9</v>
      </c>
      <c r="L85" s="379" t="s">
        <v>132</v>
      </c>
      <c r="M85" s="397">
        <v>44256</v>
      </c>
      <c r="N85" s="397">
        <v>44317</v>
      </c>
      <c r="O85" s="398"/>
      <c r="P85" s="398"/>
      <c r="Q85" s="379" t="s">
        <v>1</v>
      </c>
      <c r="R85" s="268"/>
      <c r="S85" s="686"/>
      <c r="T85" s="555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GL85" s="183"/>
      <c r="GM85" s="183"/>
      <c r="GN85" s="183"/>
      <c r="GO85" s="183"/>
      <c r="GP85" s="183"/>
      <c r="GQ85" s="183"/>
      <c r="GR85" s="183"/>
      <c r="GS85" s="183"/>
      <c r="GT85" s="183"/>
      <c r="GU85" s="183"/>
      <c r="GV85" s="183"/>
      <c r="GW85" s="183"/>
      <c r="GX85" s="183"/>
      <c r="GY85" s="183"/>
      <c r="GZ85" s="183"/>
      <c r="HA85" s="183"/>
      <c r="HB85" s="183"/>
      <c r="HC85" s="183"/>
      <c r="HD85" s="183"/>
      <c r="HE85" s="183"/>
      <c r="HF85" s="183"/>
      <c r="HG85" s="183"/>
      <c r="HH85" s="183"/>
      <c r="HI85" s="183"/>
      <c r="HJ85" s="183"/>
      <c r="HK85" s="183"/>
      <c r="HL85" s="183"/>
      <c r="HM85" s="183"/>
      <c r="HN85" s="183"/>
      <c r="HO85" s="183"/>
      <c r="HP85" s="183"/>
      <c r="HQ85" s="183"/>
      <c r="HR85" s="183"/>
      <c r="HS85" s="183"/>
      <c r="HT85" s="183"/>
    </row>
    <row r="86" spans="1:228" s="114" customFormat="1" ht="52.5" customHeight="1" hidden="1" outlineLevel="1">
      <c r="A86" s="379"/>
      <c r="B86" s="802" t="s">
        <v>295</v>
      </c>
      <c r="C86" s="803"/>
      <c r="D86" s="402"/>
      <c r="E86" s="379" t="s">
        <v>149</v>
      </c>
      <c r="F86" s="379"/>
      <c r="G86" s="380"/>
      <c r="H86" s="381"/>
      <c r="I86" s="382">
        <v>0</v>
      </c>
      <c r="J86" s="382">
        <v>1</v>
      </c>
      <c r="K86" s="385" t="s">
        <v>9</v>
      </c>
      <c r="L86" s="379" t="s">
        <v>132</v>
      </c>
      <c r="M86" s="397">
        <v>44136</v>
      </c>
      <c r="N86" s="397">
        <v>44228</v>
      </c>
      <c r="O86" s="398" t="s">
        <v>299</v>
      </c>
      <c r="P86" s="398"/>
      <c r="Q86" s="379" t="s">
        <v>503</v>
      </c>
      <c r="R86" s="78"/>
      <c r="S86" s="399"/>
      <c r="T86" s="149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</row>
    <row r="87" spans="1:228" s="114" customFormat="1" ht="38.25" customHeight="1" hidden="1">
      <c r="A87" s="78"/>
      <c r="B87" s="798" t="s">
        <v>255</v>
      </c>
      <c r="C87" s="799"/>
      <c r="D87" s="78"/>
      <c r="E87" s="78"/>
      <c r="F87" s="78"/>
      <c r="G87" s="144"/>
      <c r="H87" s="217"/>
      <c r="I87" s="259"/>
      <c r="J87" s="259"/>
      <c r="K87" s="145" t="s">
        <v>495</v>
      </c>
      <c r="L87" s="78"/>
      <c r="M87" s="147"/>
      <c r="N87" s="147"/>
      <c r="O87" s="195"/>
      <c r="P87" s="195"/>
      <c r="Q87" s="78"/>
      <c r="R87" s="78"/>
      <c r="S87" s="399"/>
      <c r="T87" s="149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</row>
    <row r="88" spans="1:228" s="114" customFormat="1" ht="24" customHeight="1" hidden="1">
      <c r="A88" s="196"/>
      <c r="B88" s="798" t="s">
        <v>213</v>
      </c>
      <c r="C88" s="799"/>
      <c r="D88" s="78"/>
      <c r="E88" s="78"/>
      <c r="F88" s="78"/>
      <c r="G88" s="144"/>
      <c r="H88" s="217"/>
      <c r="I88" s="237"/>
      <c r="J88" s="237"/>
      <c r="K88" s="145" t="s">
        <v>495</v>
      </c>
      <c r="L88" s="78"/>
      <c r="M88" s="147"/>
      <c r="N88" s="147"/>
      <c r="O88" s="144"/>
      <c r="P88" s="195"/>
      <c r="Q88" s="78"/>
      <c r="R88" s="78"/>
      <c r="S88" s="399"/>
      <c r="T88" s="149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</row>
    <row r="89" spans="1:228" s="114" customFormat="1" ht="28.5" customHeight="1" hidden="1">
      <c r="A89" s="196"/>
      <c r="B89" s="798" t="s">
        <v>214</v>
      </c>
      <c r="C89" s="799"/>
      <c r="D89" s="78"/>
      <c r="E89" s="78"/>
      <c r="F89" s="78"/>
      <c r="G89" s="144"/>
      <c r="H89" s="217"/>
      <c r="I89" s="237"/>
      <c r="J89" s="237"/>
      <c r="K89" s="145" t="s">
        <v>495</v>
      </c>
      <c r="L89" s="78"/>
      <c r="M89" s="147"/>
      <c r="N89" s="147"/>
      <c r="O89" s="144"/>
      <c r="P89" s="195"/>
      <c r="Q89" s="78"/>
      <c r="R89" s="78"/>
      <c r="S89" s="399"/>
      <c r="T89" s="149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</row>
    <row r="90" spans="1:228" s="114" customFormat="1" ht="33" customHeight="1" hidden="1">
      <c r="A90" s="196"/>
      <c r="B90" s="798" t="s">
        <v>215</v>
      </c>
      <c r="C90" s="799"/>
      <c r="D90" s="78"/>
      <c r="E90" s="78"/>
      <c r="F90" s="78"/>
      <c r="G90" s="144"/>
      <c r="H90" s="217"/>
      <c r="I90" s="237"/>
      <c r="J90" s="237"/>
      <c r="K90" s="145" t="s">
        <v>495</v>
      </c>
      <c r="L90" s="78"/>
      <c r="M90" s="147"/>
      <c r="N90" s="147"/>
      <c r="O90" s="144"/>
      <c r="P90" s="195"/>
      <c r="Q90" s="78"/>
      <c r="R90" s="78"/>
      <c r="S90" s="399"/>
      <c r="T90" s="149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</row>
    <row r="91" spans="1:228" s="114" customFormat="1" ht="38.25" customHeight="1" hidden="1">
      <c r="A91" s="158"/>
      <c r="B91" s="798" t="s">
        <v>251</v>
      </c>
      <c r="C91" s="799"/>
      <c r="D91" s="78"/>
      <c r="E91" s="78"/>
      <c r="F91" s="78"/>
      <c r="G91" s="144"/>
      <c r="H91" s="218"/>
      <c r="I91" s="237"/>
      <c r="J91" s="237"/>
      <c r="K91" s="145" t="s">
        <v>495</v>
      </c>
      <c r="L91" s="78"/>
      <c r="M91" s="147"/>
      <c r="N91" s="147"/>
      <c r="O91" s="144"/>
      <c r="P91" s="195"/>
      <c r="Q91" s="78"/>
      <c r="R91" s="78"/>
      <c r="S91" s="399"/>
      <c r="T91" s="149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</row>
    <row r="92" spans="1:228" s="114" customFormat="1" ht="33" customHeight="1" hidden="1">
      <c r="A92" s="196"/>
      <c r="B92" s="798" t="s">
        <v>216</v>
      </c>
      <c r="C92" s="799"/>
      <c r="D92" s="78"/>
      <c r="E92" s="78"/>
      <c r="F92" s="78"/>
      <c r="G92" s="144"/>
      <c r="H92" s="217"/>
      <c r="I92" s="237"/>
      <c r="J92" s="237"/>
      <c r="K92" s="145" t="s">
        <v>495</v>
      </c>
      <c r="L92" s="78"/>
      <c r="M92" s="147"/>
      <c r="N92" s="147"/>
      <c r="O92" s="144"/>
      <c r="P92" s="195"/>
      <c r="Q92" s="78"/>
      <c r="R92" s="78"/>
      <c r="S92" s="399"/>
      <c r="T92" s="149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</row>
    <row r="93" spans="1:228" s="114" customFormat="1" ht="28.5" customHeight="1" hidden="1">
      <c r="A93" s="196"/>
      <c r="B93" s="798" t="s">
        <v>260</v>
      </c>
      <c r="C93" s="799"/>
      <c r="D93" s="78"/>
      <c r="E93" s="78"/>
      <c r="F93" s="78"/>
      <c r="G93" s="144"/>
      <c r="H93" s="217"/>
      <c r="I93" s="237"/>
      <c r="J93" s="237"/>
      <c r="K93" s="145" t="s">
        <v>495</v>
      </c>
      <c r="L93" s="78"/>
      <c r="M93" s="147"/>
      <c r="N93" s="147"/>
      <c r="O93" s="144"/>
      <c r="P93" s="209"/>
      <c r="Q93" s="78"/>
      <c r="R93" s="78"/>
      <c r="S93" s="399"/>
      <c r="T93" s="149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</row>
    <row r="94" spans="1:228" s="114" customFormat="1" ht="29.25" customHeight="1" hidden="1">
      <c r="A94" s="196"/>
      <c r="B94" s="798" t="s">
        <v>222</v>
      </c>
      <c r="C94" s="799"/>
      <c r="D94" s="78"/>
      <c r="E94" s="78"/>
      <c r="F94" s="78"/>
      <c r="G94" s="144"/>
      <c r="H94" s="217"/>
      <c r="I94" s="237"/>
      <c r="J94" s="237"/>
      <c r="K94" s="145" t="s">
        <v>495</v>
      </c>
      <c r="L94" s="78"/>
      <c r="M94" s="147"/>
      <c r="N94" s="147"/>
      <c r="O94" s="144"/>
      <c r="P94" s="209"/>
      <c r="Q94" s="78"/>
      <c r="R94" s="78"/>
      <c r="S94" s="399"/>
      <c r="T94" s="149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</row>
    <row r="95" spans="1:228" s="114" customFormat="1" ht="29.25" customHeight="1" hidden="1">
      <c r="A95" s="196"/>
      <c r="B95" s="798" t="s">
        <v>223</v>
      </c>
      <c r="C95" s="799"/>
      <c r="D95" s="78"/>
      <c r="E95" s="78"/>
      <c r="F95" s="78"/>
      <c r="G95" s="144"/>
      <c r="H95" s="217"/>
      <c r="I95" s="237"/>
      <c r="J95" s="237"/>
      <c r="K95" s="145" t="s">
        <v>495</v>
      </c>
      <c r="L95" s="78"/>
      <c r="M95" s="147"/>
      <c r="N95" s="147"/>
      <c r="O95" s="144"/>
      <c r="P95" s="209"/>
      <c r="Q95" s="78"/>
      <c r="R95" s="78"/>
      <c r="S95" s="399"/>
      <c r="T95" s="149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</row>
    <row r="96" spans="1:228" s="114" customFormat="1" ht="27" customHeight="1" hidden="1">
      <c r="A96" s="196"/>
      <c r="B96" s="798" t="s">
        <v>225</v>
      </c>
      <c r="C96" s="799"/>
      <c r="D96" s="78"/>
      <c r="E96" s="78"/>
      <c r="F96" s="78"/>
      <c r="G96" s="144"/>
      <c r="H96" s="217"/>
      <c r="I96" s="237"/>
      <c r="J96" s="237"/>
      <c r="K96" s="145" t="s">
        <v>495</v>
      </c>
      <c r="L96" s="78"/>
      <c r="M96" s="147"/>
      <c r="N96" s="147"/>
      <c r="O96" s="144"/>
      <c r="P96" s="209"/>
      <c r="Q96" s="78"/>
      <c r="R96" s="78"/>
      <c r="S96" s="399"/>
      <c r="T96" s="149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</row>
    <row r="97" spans="1:228" s="106" customFormat="1" ht="18.75" hidden="1">
      <c r="A97" s="196"/>
      <c r="B97" s="798" t="s">
        <v>185</v>
      </c>
      <c r="C97" s="799"/>
      <c r="D97" s="78"/>
      <c r="E97" s="78"/>
      <c r="F97" s="78"/>
      <c r="G97" s="144"/>
      <c r="H97" s="217"/>
      <c r="I97" s="237"/>
      <c r="J97" s="237"/>
      <c r="K97" s="145" t="s">
        <v>495</v>
      </c>
      <c r="L97" s="78"/>
      <c r="M97" s="147"/>
      <c r="N97" s="147"/>
      <c r="O97" s="144"/>
      <c r="P97" s="209"/>
      <c r="Q97" s="78"/>
      <c r="R97" s="98"/>
      <c r="S97" s="399"/>
      <c r="T97" s="310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</row>
    <row r="98" spans="1:28" ht="18.75" hidden="1">
      <c r="A98" s="196"/>
      <c r="B98" s="798" t="s">
        <v>226</v>
      </c>
      <c r="C98" s="799"/>
      <c r="D98" s="78"/>
      <c r="E98" s="78"/>
      <c r="F98" s="78"/>
      <c r="G98" s="144"/>
      <c r="H98" s="217"/>
      <c r="I98" s="237"/>
      <c r="J98" s="237"/>
      <c r="K98" s="145" t="s">
        <v>495</v>
      </c>
      <c r="L98" s="78"/>
      <c r="M98" s="147"/>
      <c r="N98" s="147"/>
      <c r="O98" s="144"/>
      <c r="P98" s="209"/>
      <c r="Q98" s="78"/>
      <c r="AA98" s="106"/>
      <c r="AB98" s="106"/>
    </row>
    <row r="99" spans="1:28" ht="18.75" hidden="1">
      <c r="A99" s="196"/>
      <c r="B99" s="798" t="s">
        <v>187</v>
      </c>
      <c r="C99" s="799"/>
      <c r="D99" s="78"/>
      <c r="E99" s="78"/>
      <c r="F99" s="78"/>
      <c r="G99" s="144"/>
      <c r="H99" s="217"/>
      <c r="I99" s="237"/>
      <c r="J99" s="237"/>
      <c r="K99" s="145" t="s">
        <v>495</v>
      </c>
      <c r="L99" s="78"/>
      <c r="M99" s="147"/>
      <c r="N99" s="147"/>
      <c r="O99" s="144"/>
      <c r="P99" s="209"/>
      <c r="Q99" s="78"/>
      <c r="AA99" s="106"/>
      <c r="AB99" s="106"/>
    </row>
    <row r="100" spans="1:28" ht="18.75" hidden="1">
      <c r="A100" s="196"/>
      <c r="B100" s="798" t="s">
        <v>258</v>
      </c>
      <c r="C100" s="799"/>
      <c r="D100" s="78"/>
      <c r="E100" s="78"/>
      <c r="F100" s="78"/>
      <c r="G100" s="144"/>
      <c r="H100" s="217"/>
      <c r="I100" s="237"/>
      <c r="J100" s="237"/>
      <c r="K100" s="145" t="s">
        <v>495</v>
      </c>
      <c r="L100" s="78"/>
      <c r="M100" s="147"/>
      <c r="N100" s="147"/>
      <c r="O100" s="144"/>
      <c r="P100" s="209"/>
      <c r="Q100" s="78"/>
      <c r="AA100" s="106"/>
      <c r="AB100" s="106"/>
    </row>
    <row r="101" spans="1:28" ht="15.75" customHeight="1" hidden="1">
      <c r="A101" s="78"/>
      <c r="B101" s="798" t="s">
        <v>179</v>
      </c>
      <c r="C101" s="799"/>
      <c r="D101" s="78"/>
      <c r="E101" s="78"/>
      <c r="F101" s="78"/>
      <c r="G101" s="144"/>
      <c r="H101" s="219"/>
      <c r="I101" s="237"/>
      <c r="J101" s="237"/>
      <c r="K101" s="145" t="s">
        <v>495</v>
      </c>
      <c r="L101" s="78"/>
      <c r="M101" s="146"/>
      <c r="N101" s="146"/>
      <c r="O101" s="144"/>
      <c r="P101" s="180"/>
      <c r="Q101" s="78"/>
      <c r="R101" s="755"/>
      <c r="AA101" s="106"/>
      <c r="AB101" s="106"/>
    </row>
    <row r="102" spans="1:28" ht="18.75" hidden="1">
      <c r="A102" s="78"/>
      <c r="B102" s="798" t="s">
        <v>165</v>
      </c>
      <c r="C102" s="799"/>
      <c r="D102" s="78"/>
      <c r="E102" s="78"/>
      <c r="F102" s="78"/>
      <c r="G102" s="144"/>
      <c r="H102" s="219"/>
      <c r="I102" s="237"/>
      <c r="J102" s="237"/>
      <c r="K102" s="145" t="s">
        <v>495</v>
      </c>
      <c r="L102" s="78"/>
      <c r="M102" s="146"/>
      <c r="N102" s="146"/>
      <c r="O102" s="144"/>
      <c r="P102" s="180"/>
      <c r="Q102" s="78"/>
      <c r="R102" s="755"/>
      <c r="AA102" s="106"/>
      <c r="AB102" s="106"/>
    </row>
    <row r="103" spans="1:228" s="51" customFormat="1" ht="18.75" hidden="1">
      <c r="A103" s="78"/>
      <c r="B103" s="798" t="s">
        <v>240</v>
      </c>
      <c r="C103" s="799"/>
      <c r="D103" s="78"/>
      <c r="E103" s="78"/>
      <c r="F103" s="78"/>
      <c r="G103" s="144"/>
      <c r="H103" s="219"/>
      <c r="I103" s="237"/>
      <c r="J103" s="237"/>
      <c r="K103" s="145" t="s">
        <v>495</v>
      </c>
      <c r="L103" s="78"/>
      <c r="M103" s="146"/>
      <c r="N103" s="146"/>
      <c r="O103" s="144"/>
      <c r="P103" s="180"/>
      <c r="Q103" s="78"/>
      <c r="R103" s="101"/>
      <c r="S103" s="399">
        <v>66500</v>
      </c>
      <c r="T103" s="310"/>
      <c r="AA103" s="106"/>
      <c r="AB103" s="106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GL103" s="183"/>
      <c r="GM103" s="183"/>
      <c r="GN103" s="183"/>
      <c r="GO103" s="183"/>
      <c r="GP103" s="183"/>
      <c r="GQ103" s="183"/>
      <c r="GR103" s="183"/>
      <c r="GS103" s="183"/>
      <c r="GT103" s="183"/>
      <c r="GU103" s="183"/>
      <c r="GV103" s="183"/>
      <c r="GW103" s="183"/>
      <c r="GX103" s="183"/>
      <c r="GY103" s="183"/>
      <c r="GZ103" s="183"/>
      <c r="HA103" s="183"/>
      <c r="HB103" s="183"/>
      <c r="HC103" s="183"/>
      <c r="HD103" s="183"/>
      <c r="HE103" s="183"/>
      <c r="HF103" s="183"/>
      <c r="HG103" s="183"/>
      <c r="HH103" s="183"/>
      <c r="HI103" s="183"/>
      <c r="HJ103" s="183"/>
      <c r="HK103" s="183"/>
      <c r="HL103" s="183"/>
      <c r="HM103" s="183"/>
      <c r="HN103" s="183"/>
      <c r="HO103" s="183"/>
      <c r="HP103" s="183"/>
      <c r="HQ103" s="183"/>
      <c r="HR103" s="183"/>
      <c r="HS103" s="183"/>
      <c r="HT103" s="183"/>
    </row>
    <row r="104" spans="1:228" s="199" customFormat="1" ht="37.5" customHeight="1" hidden="1">
      <c r="A104" s="78"/>
      <c r="B104" s="798" t="s">
        <v>188</v>
      </c>
      <c r="C104" s="799"/>
      <c r="D104" s="78"/>
      <c r="E104" s="78"/>
      <c r="F104" s="78"/>
      <c r="G104" s="144"/>
      <c r="H104" s="219"/>
      <c r="I104" s="237"/>
      <c r="J104" s="237"/>
      <c r="K104" s="145" t="s">
        <v>495</v>
      </c>
      <c r="L104" s="78"/>
      <c r="M104" s="146"/>
      <c r="N104" s="146"/>
      <c r="O104" s="144"/>
      <c r="P104" s="79"/>
      <c r="Q104" s="78"/>
      <c r="R104" s="198"/>
      <c r="S104" s="688">
        <v>56000</v>
      </c>
      <c r="T104" s="559"/>
      <c r="AA104" s="200"/>
      <c r="AB104" s="200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  <c r="BI104" s="208"/>
      <c r="BJ104" s="208"/>
      <c r="BK104" s="208"/>
      <c r="GL104" s="208"/>
      <c r="GM104" s="208"/>
      <c r="GN104" s="208"/>
      <c r="GO104" s="208"/>
      <c r="GP104" s="208"/>
      <c r="GQ104" s="208"/>
      <c r="GR104" s="208"/>
      <c r="GS104" s="208"/>
      <c r="GT104" s="208"/>
      <c r="GU104" s="208"/>
      <c r="GV104" s="208"/>
      <c r="GW104" s="208"/>
      <c r="GX104" s="208"/>
      <c r="GY104" s="208"/>
      <c r="GZ104" s="208"/>
      <c r="HA104" s="208"/>
      <c r="HB104" s="208"/>
      <c r="HC104" s="208"/>
      <c r="HD104" s="208"/>
      <c r="HE104" s="208"/>
      <c r="HF104" s="208"/>
      <c r="HG104" s="208"/>
      <c r="HH104" s="208"/>
      <c r="HI104" s="208"/>
      <c r="HJ104" s="208"/>
      <c r="HK104" s="208"/>
      <c r="HL104" s="208"/>
      <c r="HM104" s="208"/>
      <c r="HN104" s="208"/>
      <c r="HO104" s="208"/>
      <c r="HP104" s="208"/>
      <c r="HQ104" s="208"/>
      <c r="HR104" s="208"/>
      <c r="HS104" s="208"/>
      <c r="HT104" s="208"/>
    </row>
    <row r="105" spans="1:228" s="269" customFormat="1" ht="35.25" customHeight="1" hidden="1">
      <c r="A105" s="78"/>
      <c r="B105" s="798" t="s">
        <v>139</v>
      </c>
      <c r="C105" s="799"/>
      <c r="D105" s="78"/>
      <c r="E105" s="78"/>
      <c r="F105" s="78"/>
      <c r="G105" s="144"/>
      <c r="H105" s="217"/>
      <c r="I105" s="237"/>
      <c r="J105" s="237"/>
      <c r="K105" s="145" t="s">
        <v>495</v>
      </c>
      <c r="L105" s="78"/>
      <c r="M105" s="146"/>
      <c r="N105" s="146"/>
      <c r="O105" s="144"/>
      <c r="P105" s="79"/>
      <c r="Q105" s="78"/>
      <c r="R105" s="268"/>
      <c r="S105" s="686">
        <v>60000</v>
      </c>
      <c r="T105" s="555"/>
      <c r="AA105" s="278"/>
      <c r="AB105" s="278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GL105" s="183"/>
      <c r="GM105" s="183"/>
      <c r="GN105" s="183"/>
      <c r="GO105" s="183"/>
      <c r="GP105" s="183"/>
      <c r="GQ105" s="183"/>
      <c r="GR105" s="183"/>
      <c r="GS105" s="183"/>
      <c r="GT105" s="183"/>
      <c r="GU105" s="183"/>
      <c r="GV105" s="183"/>
      <c r="GW105" s="183"/>
      <c r="GX105" s="183"/>
      <c r="GY105" s="183"/>
      <c r="GZ105" s="183"/>
      <c r="HA105" s="183"/>
      <c r="HB105" s="183"/>
      <c r="HC105" s="183"/>
      <c r="HD105" s="183"/>
      <c r="HE105" s="183"/>
      <c r="HF105" s="183"/>
      <c r="HG105" s="183"/>
      <c r="HH105" s="183"/>
      <c r="HI105" s="183"/>
      <c r="HJ105" s="183"/>
      <c r="HK105" s="183"/>
      <c r="HL105" s="183"/>
      <c r="HM105" s="183"/>
      <c r="HN105" s="183"/>
      <c r="HO105" s="183"/>
      <c r="HP105" s="183"/>
      <c r="HQ105" s="183"/>
      <c r="HR105" s="183"/>
      <c r="HS105" s="183"/>
      <c r="HT105" s="183"/>
    </row>
    <row r="106" spans="1:228" s="199" customFormat="1" ht="37.5" customHeight="1" hidden="1">
      <c r="A106" s="78"/>
      <c r="B106" s="798" t="s">
        <v>153</v>
      </c>
      <c r="C106" s="799"/>
      <c r="D106" s="78"/>
      <c r="E106" s="78"/>
      <c r="F106" s="78"/>
      <c r="G106" s="144"/>
      <c r="H106" s="217"/>
      <c r="I106" s="237"/>
      <c r="J106" s="237"/>
      <c r="K106" s="145" t="s">
        <v>495</v>
      </c>
      <c r="L106" s="78"/>
      <c r="M106" s="146"/>
      <c r="N106" s="146"/>
      <c r="O106" s="79"/>
      <c r="P106" s="79"/>
      <c r="Q106" s="78"/>
      <c r="R106" s="198"/>
      <c r="S106" s="688"/>
      <c r="T106" s="559"/>
      <c r="AA106" s="200"/>
      <c r="AB106" s="200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GL106" s="208"/>
      <c r="GM106" s="208"/>
      <c r="GN106" s="208"/>
      <c r="GO106" s="208"/>
      <c r="GP106" s="208"/>
      <c r="GQ106" s="208"/>
      <c r="GR106" s="208"/>
      <c r="GS106" s="208"/>
      <c r="GT106" s="208"/>
      <c r="GU106" s="208"/>
      <c r="GV106" s="208"/>
      <c r="GW106" s="208"/>
      <c r="GX106" s="208"/>
      <c r="GY106" s="208"/>
      <c r="GZ106" s="208"/>
      <c r="HA106" s="208"/>
      <c r="HB106" s="208"/>
      <c r="HC106" s="208"/>
      <c r="HD106" s="208"/>
      <c r="HE106" s="208"/>
      <c r="HF106" s="208"/>
      <c r="HG106" s="208"/>
      <c r="HH106" s="208"/>
      <c r="HI106" s="208"/>
      <c r="HJ106" s="208"/>
      <c r="HK106" s="208"/>
      <c r="HL106" s="208"/>
      <c r="HM106" s="208"/>
      <c r="HN106" s="208"/>
      <c r="HO106" s="208"/>
      <c r="HP106" s="208"/>
      <c r="HQ106" s="208"/>
      <c r="HR106" s="208"/>
      <c r="HS106" s="208"/>
      <c r="HT106" s="208"/>
    </row>
    <row r="107" spans="1:228" s="275" customFormat="1" ht="33.75" customHeight="1" hidden="1">
      <c r="A107" s="78"/>
      <c r="B107" s="798" t="s">
        <v>204</v>
      </c>
      <c r="C107" s="799"/>
      <c r="D107" s="78"/>
      <c r="E107" s="78"/>
      <c r="F107" s="78"/>
      <c r="G107" s="144"/>
      <c r="H107" s="219"/>
      <c r="I107" s="237"/>
      <c r="J107" s="237"/>
      <c r="K107" s="145" t="s">
        <v>495</v>
      </c>
      <c r="L107" s="78"/>
      <c r="M107" s="146"/>
      <c r="N107" s="146"/>
      <c r="O107" s="144"/>
      <c r="P107" s="79"/>
      <c r="Q107" s="78"/>
      <c r="R107" s="266"/>
      <c r="S107" s="686"/>
      <c r="T107" s="560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318"/>
      <c r="AN107" s="318"/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GL107" s="318"/>
      <c r="GM107" s="318"/>
      <c r="GN107" s="318"/>
      <c r="GO107" s="318"/>
      <c r="GP107" s="318"/>
      <c r="GQ107" s="318"/>
      <c r="GR107" s="318"/>
      <c r="GS107" s="318"/>
      <c r="GT107" s="318"/>
      <c r="GU107" s="318"/>
      <c r="GV107" s="318"/>
      <c r="GW107" s="318"/>
      <c r="GX107" s="318"/>
      <c r="GY107" s="318"/>
      <c r="GZ107" s="318"/>
      <c r="HA107" s="318"/>
      <c r="HB107" s="318"/>
      <c r="HC107" s="318"/>
      <c r="HD107" s="318"/>
      <c r="HE107" s="318"/>
      <c r="HF107" s="318"/>
      <c r="HG107" s="318"/>
      <c r="HH107" s="318"/>
      <c r="HI107" s="318"/>
      <c r="HJ107" s="318"/>
      <c r="HK107" s="318"/>
      <c r="HL107" s="318"/>
      <c r="HM107" s="318"/>
      <c r="HN107" s="318"/>
      <c r="HO107" s="318"/>
      <c r="HP107" s="318"/>
      <c r="HQ107" s="318"/>
      <c r="HR107" s="318"/>
      <c r="HS107" s="318"/>
      <c r="HT107" s="318"/>
    </row>
    <row r="108" spans="1:228" s="289" customFormat="1" ht="33.75" customHeight="1" hidden="1">
      <c r="A108" s="78"/>
      <c r="B108" s="798" t="s">
        <v>189</v>
      </c>
      <c r="C108" s="799"/>
      <c r="D108" s="78"/>
      <c r="E108" s="78"/>
      <c r="F108" s="78"/>
      <c r="G108" s="144"/>
      <c r="H108" s="217"/>
      <c r="I108" s="237"/>
      <c r="J108" s="237"/>
      <c r="K108" s="145" t="s">
        <v>495</v>
      </c>
      <c r="L108" s="78"/>
      <c r="M108" s="146"/>
      <c r="N108" s="146"/>
      <c r="O108" s="144"/>
      <c r="P108" s="79"/>
      <c r="Q108" s="78"/>
      <c r="R108" s="288"/>
      <c r="S108" s="687"/>
      <c r="T108" s="558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18"/>
      <c r="AO108" s="318"/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FS108" s="287"/>
      <c r="FT108" s="287"/>
      <c r="FU108" s="287"/>
      <c r="FV108" s="287"/>
      <c r="FW108" s="287"/>
      <c r="FX108" s="287"/>
      <c r="FY108" s="287"/>
      <c r="FZ108" s="287"/>
      <c r="GA108" s="287"/>
      <c r="GB108" s="287"/>
      <c r="GC108" s="287"/>
      <c r="GD108" s="287"/>
      <c r="GE108" s="287"/>
      <c r="GF108" s="287"/>
      <c r="GG108" s="287"/>
      <c r="GH108" s="287"/>
      <c r="GI108" s="287"/>
      <c r="GJ108" s="287"/>
      <c r="GK108" s="287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</row>
    <row r="109" spans="1:228" s="202" customFormat="1" ht="37.5" customHeight="1" hidden="1">
      <c r="A109" s="78"/>
      <c r="B109" s="798" t="s">
        <v>217</v>
      </c>
      <c r="C109" s="799"/>
      <c r="D109" s="78"/>
      <c r="E109" s="78"/>
      <c r="F109" s="78"/>
      <c r="G109" s="144"/>
      <c r="H109" s="219"/>
      <c r="I109" s="237"/>
      <c r="J109" s="237"/>
      <c r="K109" s="145" t="s">
        <v>495</v>
      </c>
      <c r="L109" s="78"/>
      <c r="M109" s="146"/>
      <c r="N109" s="146"/>
      <c r="O109" s="144"/>
      <c r="P109" s="79"/>
      <c r="Q109" s="78"/>
      <c r="R109" s="201"/>
      <c r="S109" s="688"/>
      <c r="T109" s="561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</row>
    <row r="110" spans="1:228" s="274" customFormat="1" ht="27.75" customHeight="1" hidden="1">
      <c r="A110" s="78"/>
      <c r="B110" s="798" t="s">
        <v>189</v>
      </c>
      <c r="C110" s="799"/>
      <c r="D110" s="78"/>
      <c r="E110" s="78"/>
      <c r="F110" s="78"/>
      <c r="G110" s="144"/>
      <c r="H110" s="217"/>
      <c r="I110" s="237"/>
      <c r="J110" s="237"/>
      <c r="K110" s="145" t="s">
        <v>495</v>
      </c>
      <c r="L110" s="78"/>
      <c r="M110" s="146"/>
      <c r="N110" s="146"/>
      <c r="O110" s="144"/>
      <c r="P110" s="79"/>
      <c r="Q110" s="78"/>
      <c r="R110" s="273"/>
      <c r="S110" s="686"/>
      <c r="T110" s="56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  <c r="GF110" s="114"/>
      <c r="GG110" s="114"/>
      <c r="GH110" s="114"/>
      <c r="GI110" s="114"/>
      <c r="GJ110" s="114"/>
      <c r="GK110" s="114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</row>
    <row r="111" spans="1:228" s="293" customFormat="1" ht="33.75" customHeight="1" hidden="1">
      <c r="A111" s="78"/>
      <c r="B111" s="798" t="s">
        <v>205</v>
      </c>
      <c r="C111" s="799"/>
      <c r="D111" s="78"/>
      <c r="E111" s="78"/>
      <c r="F111" s="78"/>
      <c r="G111" s="144"/>
      <c r="H111" s="219"/>
      <c r="I111" s="237"/>
      <c r="J111" s="237"/>
      <c r="K111" s="145" t="s">
        <v>495</v>
      </c>
      <c r="L111" s="78"/>
      <c r="M111" s="146"/>
      <c r="N111" s="146"/>
      <c r="O111" s="144"/>
      <c r="P111" s="79"/>
      <c r="Q111" s="78"/>
      <c r="R111" s="292"/>
      <c r="S111" s="689"/>
      <c r="T111" s="563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294"/>
      <c r="BM111" s="294"/>
      <c r="BN111" s="294"/>
      <c r="BO111" s="294"/>
      <c r="BP111" s="294"/>
      <c r="BQ111" s="294"/>
      <c r="BR111" s="294"/>
      <c r="BS111" s="294"/>
      <c r="BT111" s="294"/>
      <c r="BU111" s="294"/>
      <c r="BV111" s="294"/>
      <c r="BW111" s="294"/>
      <c r="BX111" s="294"/>
      <c r="BY111" s="294"/>
      <c r="BZ111" s="294"/>
      <c r="CA111" s="294"/>
      <c r="CB111" s="294"/>
      <c r="CC111" s="294"/>
      <c r="CD111" s="294"/>
      <c r="CE111" s="294"/>
      <c r="CF111" s="294"/>
      <c r="CG111" s="294"/>
      <c r="CH111" s="294"/>
      <c r="CI111" s="294"/>
      <c r="CJ111" s="294"/>
      <c r="CK111" s="294"/>
      <c r="CL111" s="294"/>
      <c r="CM111" s="294"/>
      <c r="CN111" s="294"/>
      <c r="CO111" s="294"/>
      <c r="CP111" s="294"/>
      <c r="CQ111" s="294"/>
      <c r="CR111" s="294"/>
      <c r="CS111" s="294"/>
      <c r="CT111" s="294"/>
      <c r="CU111" s="294"/>
      <c r="CV111" s="294"/>
      <c r="CW111" s="294"/>
      <c r="CX111" s="294"/>
      <c r="CY111" s="294"/>
      <c r="CZ111" s="294"/>
      <c r="DA111" s="294"/>
      <c r="DB111" s="294"/>
      <c r="DC111" s="294"/>
      <c r="DD111" s="294"/>
      <c r="DE111" s="294"/>
      <c r="DF111" s="294"/>
      <c r="DG111" s="294"/>
      <c r="DH111" s="294"/>
      <c r="DI111" s="294"/>
      <c r="DJ111" s="294"/>
      <c r="DK111" s="294"/>
      <c r="DL111" s="294"/>
      <c r="DM111" s="294"/>
      <c r="DN111" s="294"/>
      <c r="DO111" s="294"/>
      <c r="DP111" s="294"/>
      <c r="DQ111" s="294"/>
      <c r="DR111" s="294"/>
      <c r="DS111" s="294"/>
      <c r="DT111" s="294"/>
      <c r="DU111" s="294"/>
      <c r="DV111" s="294"/>
      <c r="DW111" s="294"/>
      <c r="DX111" s="294"/>
      <c r="DY111" s="294"/>
      <c r="DZ111" s="294"/>
      <c r="EA111" s="294"/>
      <c r="EB111" s="294"/>
      <c r="EC111" s="294"/>
      <c r="ED111" s="294"/>
      <c r="EE111" s="294"/>
      <c r="EF111" s="294"/>
      <c r="EG111" s="294"/>
      <c r="EH111" s="294"/>
      <c r="EI111" s="294"/>
      <c r="EJ111" s="294"/>
      <c r="EK111" s="294"/>
      <c r="EL111" s="294"/>
      <c r="EM111" s="294"/>
      <c r="EN111" s="294"/>
      <c r="EO111" s="294"/>
      <c r="EP111" s="294"/>
      <c r="EQ111" s="294"/>
      <c r="ER111" s="294"/>
      <c r="ES111" s="294"/>
      <c r="ET111" s="294"/>
      <c r="EU111" s="294"/>
      <c r="EV111" s="294"/>
      <c r="EW111" s="294"/>
      <c r="EX111" s="294"/>
      <c r="EY111" s="294"/>
      <c r="EZ111" s="294"/>
      <c r="FA111" s="294"/>
      <c r="FB111" s="294"/>
      <c r="FC111" s="294"/>
      <c r="FD111" s="294"/>
      <c r="FE111" s="294"/>
      <c r="FF111" s="294"/>
      <c r="FG111" s="294"/>
      <c r="FH111" s="294"/>
      <c r="FI111" s="294"/>
      <c r="FJ111" s="294"/>
      <c r="FK111" s="294"/>
      <c r="FL111" s="294"/>
      <c r="FM111" s="294"/>
      <c r="FN111" s="294"/>
      <c r="FO111" s="294"/>
      <c r="FP111" s="294"/>
      <c r="FQ111" s="294"/>
      <c r="FR111" s="294"/>
      <c r="FS111" s="294"/>
      <c r="FT111" s="294"/>
      <c r="FU111" s="294"/>
      <c r="FV111" s="294"/>
      <c r="FW111" s="294"/>
      <c r="FX111" s="294"/>
      <c r="FY111" s="294"/>
      <c r="FZ111" s="294"/>
      <c r="GA111" s="294"/>
      <c r="GB111" s="294"/>
      <c r="GC111" s="294"/>
      <c r="GD111" s="294"/>
      <c r="GE111" s="294"/>
      <c r="GF111" s="294"/>
      <c r="GG111" s="294"/>
      <c r="GH111" s="294"/>
      <c r="GI111" s="294"/>
      <c r="GJ111" s="294"/>
      <c r="GK111" s="294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</row>
    <row r="112" spans="1:228" s="139" customFormat="1" ht="25.5" customHeight="1" hidden="1">
      <c r="A112" s="78"/>
      <c r="B112" s="798" t="s">
        <v>189</v>
      </c>
      <c r="C112" s="799"/>
      <c r="D112" s="78"/>
      <c r="E112" s="78"/>
      <c r="F112" s="78"/>
      <c r="G112" s="144"/>
      <c r="H112" s="217"/>
      <c r="I112" s="237"/>
      <c r="J112" s="237"/>
      <c r="K112" s="145" t="s">
        <v>495</v>
      </c>
      <c r="L112" s="78"/>
      <c r="M112" s="146"/>
      <c r="N112" s="146"/>
      <c r="O112" s="144"/>
      <c r="P112" s="79"/>
      <c r="Q112" s="78"/>
      <c r="R112" s="138"/>
      <c r="S112" s="399"/>
      <c r="T112" s="564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  <c r="GG112" s="114"/>
      <c r="GH112" s="114"/>
      <c r="GI112" s="114"/>
      <c r="GJ112" s="114"/>
      <c r="GK112" s="114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</row>
    <row r="113" spans="1:228" s="274" customFormat="1" ht="33.75" customHeight="1" hidden="1">
      <c r="A113" s="78"/>
      <c r="B113" s="798" t="s">
        <v>190</v>
      </c>
      <c r="C113" s="799"/>
      <c r="D113" s="78"/>
      <c r="E113" s="78"/>
      <c r="F113" s="78"/>
      <c r="G113" s="144"/>
      <c r="H113" s="218"/>
      <c r="I113" s="237"/>
      <c r="J113" s="237"/>
      <c r="K113" s="145" t="s">
        <v>495</v>
      </c>
      <c r="L113" s="78"/>
      <c r="M113" s="147"/>
      <c r="N113" s="147"/>
      <c r="O113" s="79"/>
      <c r="P113" s="79"/>
      <c r="Q113" s="78"/>
      <c r="R113" s="272"/>
      <c r="S113" s="686"/>
      <c r="T113" s="56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  <c r="FV113" s="114"/>
      <c r="FW113" s="114"/>
      <c r="FX113" s="114"/>
      <c r="FY113" s="114"/>
      <c r="FZ113" s="114"/>
      <c r="GA113" s="114"/>
      <c r="GB113" s="114"/>
      <c r="GC113" s="114"/>
      <c r="GD113" s="114"/>
      <c r="GE113" s="114"/>
      <c r="GF113" s="114"/>
      <c r="GG113" s="114"/>
      <c r="GH113" s="114"/>
      <c r="GI113" s="114"/>
      <c r="GJ113" s="114"/>
      <c r="GK113" s="114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</row>
    <row r="114" spans="1:228" s="133" customFormat="1" ht="37.5" customHeight="1">
      <c r="A114" s="314"/>
      <c r="B114" s="814"/>
      <c r="C114" s="814"/>
      <c r="D114" s="315"/>
      <c r="E114" s="315"/>
      <c r="F114" s="316"/>
      <c r="G114" s="317" t="s">
        <v>94</v>
      </c>
      <c r="H114" s="313">
        <f>H50+H38+H26+H16</f>
        <v>15622725.849372331</v>
      </c>
      <c r="I114" s="265">
        <f>((I16*H16)+(I26*H26)+(I38*H38)+(I50*H50))/(H16+H26+H38+H50)</f>
        <v>1</v>
      </c>
      <c r="J114" s="265">
        <f>1-I114</f>
        <v>0</v>
      </c>
      <c r="K114" s="148"/>
      <c r="L114" s="77"/>
      <c r="M114" s="111"/>
      <c r="N114" s="111"/>
      <c r="O114" s="112"/>
      <c r="P114" s="113"/>
      <c r="Q114" s="77"/>
      <c r="R114" s="210"/>
      <c r="S114" s="399"/>
      <c r="T114" s="304"/>
      <c r="U114" s="540"/>
      <c r="V114" s="517"/>
      <c r="W114" s="517"/>
      <c r="X114" s="517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  <c r="GF114" s="114"/>
      <c r="GG114" s="114"/>
      <c r="GH114" s="114"/>
      <c r="GI114" s="114"/>
      <c r="GJ114" s="114"/>
      <c r="GK114" s="114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</row>
    <row r="115" spans="1:20" s="72" customFormat="1" ht="27.75" customHeight="1">
      <c r="A115" s="55"/>
      <c r="B115" s="56"/>
      <c r="C115" s="56"/>
      <c r="D115" s="56"/>
      <c r="E115" s="56"/>
      <c r="F115" s="56"/>
      <c r="G115" s="442"/>
      <c r="H115" s="443"/>
      <c r="I115" s="313">
        <f>H114*I114</f>
        <v>15622725.849372331</v>
      </c>
      <c r="J115" s="313">
        <f>H114*J114</f>
        <v>0</v>
      </c>
      <c r="K115" s="485"/>
      <c r="L115" s="56"/>
      <c r="M115" s="56"/>
      <c r="N115" s="56"/>
      <c r="O115" s="56"/>
      <c r="P115" s="55"/>
      <c r="Q115" s="55"/>
      <c r="R115" s="158"/>
      <c r="S115" s="690"/>
      <c r="T115" s="565"/>
    </row>
    <row r="116" spans="1:20" s="72" customFormat="1" ht="27.75" customHeight="1">
      <c r="A116" s="55"/>
      <c r="B116" s="56"/>
      <c r="C116" s="56"/>
      <c r="D116" s="56"/>
      <c r="E116" s="444"/>
      <c r="F116" s="56"/>
      <c r="G116" s="442"/>
      <c r="H116" s="445"/>
      <c r="I116" s="446"/>
      <c r="J116" s="446"/>
      <c r="K116" s="55"/>
      <c r="L116" s="56"/>
      <c r="M116" s="56"/>
      <c r="N116" s="56"/>
      <c r="O116" s="56"/>
      <c r="P116" s="55"/>
      <c r="Q116" s="55"/>
      <c r="R116" s="158"/>
      <c r="S116" s="690"/>
      <c r="T116" s="565"/>
    </row>
    <row r="117" spans="1:20" s="72" customFormat="1" ht="27.75" customHeight="1">
      <c r="A117" s="377"/>
      <c r="B117" s="807" t="s">
        <v>498</v>
      </c>
      <c r="C117" s="808"/>
      <c r="D117" s="808"/>
      <c r="E117" s="808"/>
      <c r="F117" s="808"/>
      <c r="G117" s="808"/>
      <c r="H117" s="808"/>
      <c r="I117" s="808"/>
      <c r="J117" s="808"/>
      <c r="K117" s="808"/>
      <c r="L117" s="808"/>
      <c r="M117" s="808"/>
      <c r="N117" s="808"/>
      <c r="O117" s="808"/>
      <c r="P117" s="808"/>
      <c r="Q117" s="809"/>
      <c r="R117" s="158"/>
      <c r="S117" s="690"/>
      <c r="T117" s="565"/>
    </row>
    <row r="118" spans="1:20" s="72" customFormat="1" ht="52.5" customHeight="1">
      <c r="A118" s="752">
        <v>2</v>
      </c>
      <c r="B118" s="800" t="s">
        <v>21</v>
      </c>
      <c r="C118" s="805"/>
      <c r="D118" s="755" t="s">
        <v>42</v>
      </c>
      <c r="E118" s="755" t="s">
        <v>93</v>
      </c>
      <c r="F118" s="755" t="s">
        <v>41</v>
      </c>
      <c r="G118" s="755" t="s">
        <v>43</v>
      </c>
      <c r="H118" s="812"/>
      <c r="I118" s="812"/>
      <c r="J118" s="812"/>
      <c r="K118" s="813" t="s">
        <v>49</v>
      </c>
      <c r="L118" s="812" t="s">
        <v>46</v>
      </c>
      <c r="M118" s="812" t="s">
        <v>24</v>
      </c>
      <c r="N118" s="812"/>
      <c r="O118" s="755" t="s">
        <v>16</v>
      </c>
      <c r="P118" s="755" t="s">
        <v>47</v>
      </c>
      <c r="Q118" s="755" t="s">
        <v>13</v>
      </c>
      <c r="R118" s="158"/>
      <c r="S118" s="690"/>
      <c r="T118" s="565"/>
    </row>
    <row r="119" spans="1:228" s="202" customFormat="1" ht="50.25" customHeight="1">
      <c r="A119" s="753"/>
      <c r="B119" s="801"/>
      <c r="C119" s="806"/>
      <c r="D119" s="755"/>
      <c r="E119" s="755"/>
      <c r="F119" s="755"/>
      <c r="G119" s="755"/>
      <c r="H119" s="447" t="s">
        <v>79</v>
      </c>
      <c r="I119" s="448" t="s">
        <v>45</v>
      </c>
      <c r="J119" s="448" t="s">
        <v>44</v>
      </c>
      <c r="K119" s="813"/>
      <c r="L119" s="812"/>
      <c r="M119" s="449" t="s">
        <v>25</v>
      </c>
      <c r="N119" s="449" t="s">
        <v>7</v>
      </c>
      <c r="O119" s="755"/>
      <c r="P119" s="755"/>
      <c r="Q119" s="755"/>
      <c r="R119" s="279"/>
      <c r="S119" s="691"/>
      <c r="T119" s="561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  <c r="GF119" s="114"/>
      <c r="GG119" s="114"/>
      <c r="GH119" s="114"/>
      <c r="GI119" s="114"/>
      <c r="GJ119" s="114"/>
      <c r="GK119" s="114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72"/>
      <c r="HN119" s="72"/>
      <c r="HO119" s="72"/>
      <c r="HP119" s="72"/>
      <c r="HQ119" s="72"/>
      <c r="HR119" s="72"/>
      <c r="HS119" s="72"/>
      <c r="HT119" s="72"/>
    </row>
    <row r="120" spans="1:228" s="282" customFormat="1" ht="39" customHeight="1" hidden="1" collapsed="1">
      <c r="A120" s="386"/>
      <c r="B120" s="828" t="s">
        <v>170</v>
      </c>
      <c r="C120" s="829"/>
      <c r="D120" s="404"/>
      <c r="E120" s="386"/>
      <c r="F120" s="386"/>
      <c r="G120" s="388"/>
      <c r="H120" s="387"/>
      <c r="I120" s="389">
        <v>1</v>
      </c>
      <c r="J120" s="389">
        <v>0</v>
      </c>
      <c r="K120" s="390"/>
      <c r="L120" s="354"/>
      <c r="M120" s="359"/>
      <c r="N120" s="359"/>
      <c r="O120" s="360"/>
      <c r="P120" s="361"/>
      <c r="Q120" s="354"/>
      <c r="R120" s="280"/>
      <c r="S120" s="686"/>
      <c r="T120" s="281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271"/>
      <c r="BM120" s="271"/>
      <c r="BN120" s="271"/>
      <c r="BO120" s="271"/>
      <c r="BP120" s="271"/>
      <c r="BQ120" s="271"/>
      <c r="BR120" s="271"/>
      <c r="BS120" s="271"/>
      <c r="BT120" s="271"/>
      <c r="BU120" s="271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271"/>
      <c r="CS120" s="271"/>
      <c r="CT120" s="271"/>
      <c r="CU120" s="271"/>
      <c r="CV120" s="271"/>
      <c r="CW120" s="271"/>
      <c r="CX120" s="271"/>
      <c r="CY120" s="271"/>
      <c r="CZ120" s="271"/>
      <c r="DA120" s="271"/>
      <c r="DB120" s="271"/>
      <c r="DC120" s="271"/>
      <c r="DD120" s="271"/>
      <c r="DE120" s="271"/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1"/>
      <c r="DQ120" s="271"/>
      <c r="DR120" s="271"/>
      <c r="DS120" s="271"/>
      <c r="DT120" s="271"/>
      <c r="DU120" s="271"/>
      <c r="DV120" s="271"/>
      <c r="DW120" s="271"/>
      <c r="DX120" s="271"/>
      <c r="DY120" s="271"/>
      <c r="DZ120" s="271"/>
      <c r="EA120" s="271"/>
      <c r="EB120" s="271"/>
      <c r="EC120" s="271"/>
      <c r="ED120" s="271"/>
      <c r="EE120" s="271"/>
      <c r="EF120" s="271"/>
      <c r="EG120" s="271"/>
      <c r="EH120" s="271"/>
      <c r="EI120" s="271"/>
      <c r="EJ120" s="271"/>
      <c r="EK120" s="271"/>
      <c r="EL120" s="271"/>
      <c r="EM120" s="271"/>
      <c r="EN120" s="271"/>
      <c r="EO120" s="271"/>
      <c r="EP120" s="271"/>
      <c r="EQ120" s="271"/>
      <c r="ER120" s="271"/>
      <c r="ES120" s="271"/>
      <c r="ET120" s="271"/>
      <c r="EU120" s="271"/>
      <c r="EV120" s="271"/>
      <c r="EW120" s="271"/>
      <c r="EX120" s="271"/>
      <c r="EY120" s="271"/>
      <c r="EZ120" s="271"/>
      <c r="FA120" s="271"/>
      <c r="FB120" s="271"/>
      <c r="FC120" s="271"/>
      <c r="FD120" s="271"/>
      <c r="FE120" s="271"/>
      <c r="FF120" s="271"/>
      <c r="FG120" s="271"/>
      <c r="FH120" s="271"/>
      <c r="FI120" s="271"/>
      <c r="FJ120" s="271"/>
      <c r="FK120" s="271"/>
      <c r="FL120" s="271"/>
      <c r="FM120" s="271"/>
      <c r="FN120" s="271"/>
      <c r="FO120" s="271"/>
      <c r="FP120" s="271"/>
      <c r="FQ120" s="271"/>
      <c r="FR120" s="271"/>
      <c r="FS120" s="271"/>
      <c r="FT120" s="271"/>
      <c r="FU120" s="271"/>
      <c r="FV120" s="271"/>
      <c r="FW120" s="271"/>
      <c r="FX120" s="271"/>
      <c r="FY120" s="271"/>
      <c r="FZ120" s="271"/>
      <c r="GA120" s="271"/>
      <c r="GB120" s="271"/>
      <c r="GC120" s="271"/>
      <c r="GD120" s="271"/>
      <c r="GE120" s="271"/>
      <c r="GF120" s="271"/>
      <c r="GG120" s="271"/>
      <c r="GH120" s="271"/>
      <c r="GI120" s="271"/>
      <c r="GJ120" s="271"/>
      <c r="GK120" s="271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72"/>
      <c r="HB120" s="72"/>
      <c r="HC120" s="72"/>
      <c r="HD120" s="72"/>
      <c r="HE120" s="72"/>
      <c r="HF120" s="72"/>
      <c r="HG120" s="72"/>
      <c r="HH120" s="72"/>
      <c r="HI120" s="72"/>
      <c r="HJ120" s="72"/>
      <c r="HK120" s="72"/>
      <c r="HL120" s="72"/>
      <c r="HM120" s="72"/>
      <c r="HN120" s="72"/>
      <c r="HO120" s="72"/>
      <c r="HP120" s="72"/>
      <c r="HQ120" s="72"/>
      <c r="HR120" s="72"/>
      <c r="HS120" s="72"/>
      <c r="HT120" s="72"/>
    </row>
    <row r="121" spans="1:228" s="282" customFormat="1" ht="39.75" customHeight="1" hidden="1" outlineLevel="1">
      <c r="A121" s="379"/>
      <c r="B121" s="802" t="s">
        <v>170</v>
      </c>
      <c r="C121" s="803"/>
      <c r="D121" s="402"/>
      <c r="E121" s="379" t="s">
        <v>175</v>
      </c>
      <c r="F121" s="379"/>
      <c r="G121" s="379"/>
      <c r="H121" s="381"/>
      <c r="I121" s="382">
        <v>1</v>
      </c>
      <c r="J121" s="382">
        <v>0</v>
      </c>
      <c r="K121" s="385" t="s">
        <v>10</v>
      </c>
      <c r="L121" s="379" t="s">
        <v>148</v>
      </c>
      <c r="M121" s="397">
        <v>42705</v>
      </c>
      <c r="N121" s="397">
        <v>43252</v>
      </c>
      <c r="O121" s="398"/>
      <c r="P121" s="398" t="s">
        <v>238</v>
      </c>
      <c r="Q121" s="379" t="s">
        <v>6</v>
      </c>
      <c r="R121" s="280"/>
      <c r="S121" s="686"/>
      <c r="T121" s="566"/>
      <c r="U121" s="471"/>
      <c r="V121" s="471"/>
      <c r="W121" s="471"/>
      <c r="X121" s="471"/>
      <c r="Y121" s="471"/>
      <c r="Z121" s="471"/>
      <c r="AA121" s="471"/>
      <c r="AB121" s="471"/>
      <c r="AC121" s="471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  <c r="GG121" s="114"/>
      <c r="GH121" s="114"/>
      <c r="GI121" s="114"/>
      <c r="GJ121" s="114"/>
      <c r="GK121" s="114"/>
      <c r="GL121" s="72"/>
      <c r="GM121" s="72"/>
      <c r="GN121" s="72"/>
      <c r="GO121" s="72"/>
      <c r="GP121" s="72"/>
      <c r="GQ121" s="72"/>
      <c r="GR121" s="72"/>
      <c r="GS121" s="72"/>
      <c r="GT121" s="72"/>
      <c r="GU121" s="72"/>
      <c r="GV121" s="72"/>
      <c r="GW121" s="72"/>
      <c r="GX121" s="72"/>
      <c r="GY121" s="72"/>
      <c r="GZ121" s="72"/>
      <c r="HA121" s="72"/>
      <c r="HB121" s="72"/>
      <c r="HC121" s="72"/>
      <c r="HD121" s="72"/>
      <c r="HE121" s="72"/>
      <c r="HF121" s="72"/>
      <c r="HG121" s="72"/>
      <c r="HH121" s="72"/>
      <c r="HI121" s="72"/>
      <c r="HJ121" s="72"/>
      <c r="HK121" s="72"/>
      <c r="HL121" s="72"/>
      <c r="HM121" s="72"/>
      <c r="HN121" s="72"/>
      <c r="HO121" s="72"/>
      <c r="HP121" s="72"/>
      <c r="HQ121" s="72"/>
      <c r="HR121" s="72"/>
      <c r="HS121" s="72"/>
      <c r="HT121" s="72"/>
    </row>
    <row r="122" spans="1:228" s="469" customFormat="1" ht="54" customHeight="1">
      <c r="A122" s="354" t="s">
        <v>104</v>
      </c>
      <c r="B122" s="836" t="s">
        <v>195</v>
      </c>
      <c r="C122" s="837"/>
      <c r="D122" s="354"/>
      <c r="E122" s="354"/>
      <c r="F122" s="354"/>
      <c r="G122" s="360"/>
      <c r="H122" s="364">
        <f>H123+H124</f>
        <v>47508197.812</v>
      </c>
      <c r="I122" s="357">
        <v>1</v>
      </c>
      <c r="J122" s="357">
        <v>0</v>
      </c>
      <c r="K122" s="358"/>
      <c r="L122" s="354"/>
      <c r="M122" s="359"/>
      <c r="N122" s="359"/>
      <c r="O122" s="360"/>
      <c r="P122" s="361"/>
      <c r="Q122" s="361"/>
      <c r="R122" s="474"/>
      <c r="S122" s="457">
        <f aca="true" t="shared" si="4" ref="S122:S127">H122*5</f>
        <v>237540989.06</v>
      </c>
      <c r="T122" s="549"/>
      <c r="U122" s="519"/>
      <c r="V122" s="518"/>
      <c r="W122" s="520"/>
      <c r="X122" s="472"/>
      <c r="Y122" s="473"/>
      <c r="Z122" s="473"/>
      <c r="AA122" s="473"/>
      <c r="AB122" s="473"/>
      <c r="AC122" s="473"/>
      <c r="AD122" s="470"/>
      <c r="AE122" s="470"/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0"/>
      <c r="AQ122" s="470"/>
      <c r="AR122" s="470"/>
      <c r="AS122" s="470"/>
      <c r="AT122" s="470"/>
      <c r="AU122" s="470"/>
      <c r="AV122" s="470"/>
      <c r="AW122" s="470"/>
      <c r="AX122" s="470"/>
      <c r="AY122" s="470"/>
      <c r="AZ122" s="470"/>
      <c r="BA122" s="470"/>
      <c r="BB122" s="470"/>
      <c r="BC122" s="470"/>
      <c r="BD122" s="470"/>
      <c r="BE122" s="470"/>
      <c r="BF122" s="470"/>
      <c r="BG122" s="470"/>
      <c r="BH122" s="470"/>
      <c r="BI122" s="470"/>
      <c r="BJ122" s="470"/>
      <c r="BK122" s="470"/>
      <c r="BL122" s="470"/>
      <c r="BM122" s="470"/>
      <c r="BN122" s="470"/>
      <c r="BO122" s="470"/>
      <c r="BP122" s="470"/>
      <c r="BQ122" s="470"/>
      <c r="BR122" s="470"/>
      <c r="BS122" s="470"/>
      <c r="BT122" s="470"/>
      <c r="BU122" s="470"/>
      <c r="BV122" s="470"/>
      <c r="BW122" s="470"/>
      <c r="BX122" s="470"/>
      <c r="BY122" s="470"/>
      <c r="BZ122" s="470"/>
      <c r="CA122" s="470"/>
      <c r="CB122" s="470"/>
      <c r="CC122" s="470"/>
      <c r="CD122" s="470"/>
      <c r="CE122" s="470"/>
      <c r="CF122" s="470"/>
      <c r="CG122" s="470"/>
      <c r="CH122" s="470"/>
      <c r="CI122" s="470"/>
      <c r="CJ122" s="470"/>
      <c r="CK122" s="470"/>
      <c r="CL122" s="470"/>
      <c r="CM122" s="470"/>
      <c r="CN122" s="470"/>
      <c r="CO122" s="470"/>
      <c r="CP122" s="470"/>
      <c r="CQ122" s="470"/>
      <c r="CR122" s="470"/>
      <c r="CS122" s="470"/>
      <c r="CT122" s="470"/>
      <c r="CU122" s="470"/>
      <c r="CV122" s="470"/>
      <c r="CW122" s="470"/>
      <c r="CX122" s="470"/>
      <c r="CY122" s="470"/>
      <c r="CZ122" s="470"/>
      <c r="DA122" s="470"/>
      <c r="DB122" s="470"/>
      <c r="DC122" s="470"/>
      <c r="DD122" s="470"/>
      <c r="DE122" s="470"/>
      <c r="DF122" s="470"/>
      <c r="DG122" s="470"/>
      <c r="DH122" s="470"/>
      <c r="DI122" s="470"/>
      <c r="DJ122" s="470"/>
      <c r="DK122" s="470"/>
      <c r="DL122" s="470"/>
      <c r="DM122" s="470"/>
      <c r="DN122" s="470"/>
      <c r="DO122" s="470"/>
      <c r="DP122" s="470"/>
      <c r="DQ122" s="470"/>
      <c r="DR122" s="470"/>
      <c r="DS122" s="470"/>
      <c r="DT122" s="470"/>
      <c r="DU122" s="470"/>
      <c r="DV122" s="470"/>
      <c r="DW122" s="470"/>
      <c r="DX122" s="470"/>
      <c r="DY122" s="470"/>
      <c r="DZ122" s="470"/>
      <c r="EA122" s="470"/>
      <c r="EB122" s="470"/>
      <c r="EC122" s="470"/>
      <c r="ED122" s="470"/>
      <c r="EE122" s="470"/>
      <c r="EF122" s="470"/>
      <c r="EG122" s="470"/>
      <c r="EH122" s="470"/>
      <c r="EI122" s="470"/>
      <c r="EJ122" s="470"/>
      <c r="EK122" s="470"/>
      <c r="EL122" s="470"/>
      <c r="EM122" s="470"/>
      <c r="EN122" s="470"/>
      <c r="EO122" s="470"/>
      <c r="EP122" s="470"/>
      <c r="EQ122" s="470"/>
      <c r="ER122" s="470"/>
      <c r="ES122" s="470"/>
      <c r="ET122" s="470"/>
      <c r="EU122" s="470"/>
      <c r="EV122" s="470"/>
      <c r="EW122" s="470"/>
      <c r="EX122" s="470"/>
      <c r="EY122" s="470"/>
      <c r="EZ122" s="470"/>
      <c r="FA122" s="470"/>
      <c r="FB122" s="470"/>
      <c r="FC122" s="470"/>
      <c r="FD122" s="470"/>
      <c r="FE122" s="470"/>
      <c r="FF122" s="470"/>
      <c r="FG122" s="470"/>
      <c r="FH122" s="470"/>
      <c r="FI122" s="470"/>
      <c r="FJ122" s="470"/>
      <c r="FK122" s="470"/>
      <c r="FL122" s="470"/>
      <c r="FM122" s="470"/>
      <c r="FN122" s="470"/>
      <c r="FO122" s="470"/>
      <c r="FP122" s="470"/>
      <c r="FQ122" s="470"/>
      <c r="FR122" s="470"/>
      <c r="FS122" s="470"/>
      <c r="FT122" s="470"/>
      <c r="FU122" s="470"/>
      <c r="FV122" s="470"/>
      <c r="FW122" s="470"/>
      <c r="FX122" s="470"/>
      <c r="FY122" s="470"/>
      <c r="FZ122" s="470"/>
      <c r="GA122" s="470"/>
      <c r="GB122" s="470"/>
      <c r="GC122" s="470"/>
      <c r="GD122" s="470"/>
      <c r="GE122" s="470"/>
      <c r="GF122" s="470"/>
      <c r="GG122" s="470"/>
      <c r="GH122" s="470"/>
      <c r="GI122" s="470"/>
      <c r="GJ122" s="470"/>
      <c r="GK122" s="470"/>
      <c r="GL122" s="470"/>
      <c r="GM122" s="470"/>
      <c r="GN122" s="470"/>
      <c r="GO122" s="470"/>
      <c r="GP122" s="470"/>
      <c r="GQ122" s="470"/>
      <c r="GR122" s="470"/>
      <c r="GS122" s="470"/>
      <c r="GT122" s="470"/>
      <c r="GU122" s="470"/>
      <c r="GV122" s="470"/>
      <c r="GW122" s="470"/>
      <c r="GX122" s="470"/>
      <c r="GY122" s="470"/>
      <c r="GZ122" s="470"/>
      <c r="HA122" s="470"/>
      <c r="HB122" s="470"/>
      <c r="HC122" s="470"/>
      <c r="HD122" s="470"/>
      <c r="HE122" s="470"/>
      <c r="HF122" s="470"/>
      <c r="HG122" s="470"/>
      <c r="HH122" s="470"/>
      <c r="HI122" s="470"/>
      <c r="HJ122" s="470"/>
      <c r="HK122" s="470"/>
      <c r="HL122" s="470"/>
      <c r="HM122" s="470"/>
      <c r="HN122" s="470"/>
      <c r="HO122" s="470"/>
      <c r="HP122" s="470"/>
      <c r="HQ122" s="470"/>
      <c r="HR122" s="470"/>
      <c r="HS122" s="470"/>
      <c r="HT122" s="470"/>
    </row>
    <row r="123" spans="1:228" s="464" customFormat="1" ht="39.75" customHeight="1" outlineLevel="1">
      <c r="A123" s="370" t="s">
        <v>191</v>
      </c>
      <c r="B123" s="794" t="s">
        <v>174</v>
      </c>
      <c r="C123" s="795"/>
      <c r="D123" s="370"/>
      <c r="E123" s="370" t="s">
        <v>147</v>
      </c>
      <c r="F123" s="370"/>
      <c r="G123" s="370"/>
      <c r="H123" s="371">
        <v>33211925.369999994</v>
      </c>
      <c r="I123" s="419">
        <v>1</v>
      </c>
      <c r="J123" s="419">
        <v>0</v>
      </c>
      <c r="K123" s="373" t="s">
        <v>0</v>
      </c>
      <c r="L123" s="370" t="s">
        <v>148</v>
      </c>
      <c r="M123" s="374">
        <v>42795</v>
      </c>
      <c r="N123" s="374">
        <v>43009</v>
      </c>
      <c r="O123" s="375"/>
      <c r="P123" s="375" t="s">
        <v>236</v>
      </c>
      <c r="Q123" s="370" t="s">
        <v>612</v>
      </c>
      <c r="R123" s="480"/>
      <c r="S123" s="481">
        <f t="shared" si="4"/>
        <v>166059626.84999996</v>
      </c>
      <c r="T123" s="551"/>
      <c r="U123" s="466"/>
      <c r="V123" s="466"/>
      <c r="W123" s="466"/>
      <c r="X123" s="465"/>
      <c r="Y123" s="465"/>
      <c r="Z123" s="465"/>
      <c r="AA123" s="465"/>
      <c r="AB123" s="465"/>
      <c r="AC123" s="465"/>
      <c r="AD123" s="465"/>
      <c r="AE123" s="465"/>
      <c r="AF123" s="465"/>
      <c r="AG123" s="465"/>
      <c r="AH123" s="465"/>
      <c r="AI123" s="465"/>
      <c r="AJ123" s="465"/>
      <c r="AK123" s="465"/>
      <c r="AL123" s="465"/>
      <c r="AM123" s="465"/>
      <c r="AN123" s="465"/>
      <c r="AO123" s="465"/>
      <c r="AP123" s="465"/>
      <c r="AQ123" s="465"/>
      <c r="AR123" s="465"/>
      <c r="AS123" s="465"/>
      <c r="AT123" s="465"/>
      <c r="AU123" s="465"/>
      <c r="AV123" s="465"/>
      <c r="AW123" s="465"/>
      <c r="AX123" s="465"/>
      <c r="AY123" s="465"/>
      <c r="AZ123" s="465"/>
      <c r="BA123" s="465"/>
      <c r="BB123" s="465"/>
      <c r="BC123" s="465"/>
      <c r="BD123" s="465"/>
      <c r="BE123" s="465"/>
      <c r="BF123" s="465"/>
      <c r="BG123" s="465"/>
      <c r="BH123" s="465"/>
      <c r="BI123" s="465"/>
      <c r="BJ123" s="465"/>
      <c r="BK123" s="465"/>
      <c r="BL123" s="465"/>
      <c r="BM123" s="465"/>
      <c r="BN123" s="465"/>
      <c r="BO123" s="465"/>
      <c r="BP123" s="465"/>
      <c r="BQ123" s="465"/>
      <c r="BR123" s="465"/>
      <c r="BS123" s="465"/>
      <c r="BT123" s="465"/>
      <c r="BU123" s="465"/>
      <c r="BV123" s="465"/>
      <c r="BW123" s="465"/>
      <c r="BX123" s="465"/>
      <c r="BY123" s="465"/>
      <c r="BZ123" s="465"/>
      <c r="CA123" s="465"/>
      <c r="CB123" s="465"/>
      <c r="CC123" s="465"/>
      <c r="CD123" s="465"/>
      <c r="CE123" s="465"/>
      <c r="CF123" s="465"/>
      <c r="CG123" s="465"/>
      <c r="CH123" s="465"/>
      <c r="CI123" s="465"/>
      <c r="CJ123" s="465"/>
      <c r="CK123" s="465"/>
      <c r="CL123" s="465"/>
      <c r="CM123" s="465"/>
      <c r="CN123" s="465"/>
      <c r="CO123" s="465"/>
      <c r="CP123" s="465"/>
      <c r="CQ123" s="465"/>
      <c r="CR123" s="465"/>
      <c r="CS123" s="465"/>
      <c r="CT123" s="465"/>
      <c r="CU123" s="465"/>
      <c r="CV123" s="465"/>
      <c r="CW123" s="465"/>
      <c r="CX123" s="465"/>
      <c r="CY123" s="465"/>
      <c r="CZ123" s="465"/>
      <c r="DA123" s="465"/>
      <c r="DB123" s="465"/>
      <c r="DC123" s="465"/>
      <c r="DD123" s="465"/>
      <c r="DE123" s="465"/>
      <c r="DF123" s="465"/>
      <c r="DG123" s="465"/>
      <c r="DH123" s="465"/>
      <c r="DI123" s="465"/>
      <c r="DJ123" s="465"/>
      <c r="DK123" s="465"/>
      <c r="DL123" s="465"/>
      <c r="DM123" s="465"/>
      <c r="DN123" s="465"/>
      <c r="DO123" s="465"/>
      <c r="DP123" s="465"/>
      <c r="DQ123" s="465"/>
      <c r="DR123" s="465"/>
      <c r="DS123" s="465"/>
      <c r="DT123" s="465"/>
      <c r="DU123" s="465"/>
      <c r="DV123" s="465"/>
      <c r="DW123" s="465"/>
      <c r="DX123" s="465"/>
      <c r="DY123" s="465"/>
      <c r="DZ123" s="465"/>
      <c r="EA123" s="465"/>
      <c r="EB123" s="465"/>
      <c r="EC123" s="465"/>
      <c r="ED123" s="465"/>
      <c r="EE123" s="465"/>
      <c r="EF123" s="465"/>
      <c r="EG123" s="465"/>
      <c r="EH123" s="465"/>
      <c r="EI123" s="465"/>
      <c r="EJ123" s="465"/>
      <c r="EK123" s="465"/>
      <c r="EL123" s="465"/>
      <c r="EM123" s="465"/>
      <c r="EN123" s="465"/>
      <c r="EO123" s="465"/>
      <c r="EP123" s="465"/>
      <c r="EQ123" s="465"/>
      <c r="ER123" s="465"/>
      <c r="ES123" s="465"/>
      <c r="ET123" s="465"/>
      <c r="EU123" s="465"/>
      <c r="EV123" s="465"/>
      <c r="EW123" s="465"/>
      <c r="EX123" s="465"/>
      <c r="EY123" s="465"/>
      <c r="EZ123" s="465"/>
      <c r="FA123" s="465"/>
      <c r="FB123" s="465"/>
      <c r="FC123" s="465"/>
      <c r="FD123" s="465"/>
      <c r="FE123" s="465"/>
      <c r="FF123" s="465"/>
      <c r="FG123" s="465"/>
      <c r="FH123" s="465"/>
      <c r="FI123" s="465"/>
      <c r="FJ123" s="465"/>
      <c r="FK123" s="465"/>
      <c r="FL123" s="465"/>
      <c r="FM123" s="465"/>
      <c r="FN123" s="465"/>
      <c r="FO123" s="465"/>
      <c r="FP123" s="465"/>
      <c r="FQ123" s="465"/>
      <c r="FR123" s="465"/>
      <c r="FS123" s="465"/>
      <c r="FT123" s="465"/>
      <c r="FU123" s="465"/>
      <c r="FV123" s="465"/>
      <c r="FW123" s="465"/>
      <c r="FX123" s="465"/>
      <c r="FY123" s="465"/>
      <c r="FZ123" s="465"/>
      <c r="GA123" s="465"/>
      <c r="GB123" s="465"/>
      <c r="GC123" s="465"/>
      <c r="GD123" s="465"/>
      <c r="GE123" s="465"/>
      <c r="GF123" s="465"/>
      <c r="GG123" s="465"/>
      <c r="GH123" s="465"/>
      <c r="GI123" s="465"/>
      <c r="GJ123" s="465"/>
      <c r="GK123" s="465"/>
      <c r="GL123" s="465"/>
      <c r="GM123" s="465"/>
      <c r="GN123" s="465"/>
      <c r="GO123" s="465"/>
      <c r="GP123" s="465"/>
      <c r="GQ123" s="465"/>
      <c r="GR123" s="465"/>
      <c r="GS123" s="465"/>
      <c r="GT123" s="465"/>
      <c r="GU123" s="465"/>
      <c r="GV123" s="465"/>
      <c r="GW123" s="465"/>
      <c r="GX123" s="465"/>
      <c r="GY123" s="465"/>
      <c r="GZ123" s="465"/>
      <c r="HA123" s="465"/>
      <c r="HB123" s="465"/>
      <c r="HC123" s="465"/>
      <c r="HD123" s="465"/>
      <c r="HE123" s="465"/>
      <c r="HF123" s="465"/>
      <c r="HG123" s="465"/>
      <c r="HH123" s="465"/>
      <c r="HI123" s="465"/>
      <c r="HJ123" s="465"/>
      <c r="HK123" s="465"/>
      <c r="HL123" s="465"/>
      <c r="HM123" s="465"/>
      <c r="HN123" s="465"/>
      <c r="HO123" s="465"/>
      <c r="HP123" s="465"/>
      <c r="HQ123" s="465"/>
      <c r="HR123" s="465"/>
      <c r="HS123" s="465"/>
      <c r="HT123" s="465"/>
    </row>
    <row r="124" spans="1:228" s="464" customFormat="1" ht="55.5" customHeight="1" outlineLevel="1">
      <c r="A124" s="370" t="s">
        <v>458</v>
      </c>
      <c r="B124" s="794" t="s">
        <v>159</v>
      </c>
      <c r="C124" s="795"/>
      <c r="D124" s="371"/>
      <c r="E124" s="370"/>
      <c r="F124" s="370"/>
      <c r="G124" s="431"/>
      <c r="H124" s="371">
        <f>H125+H128+H134+H135+H145+H148+H152+H157+H160+H164+H165+H166+H167+H170+H178+H171+H179</f>
        <v>14296272.442000004</v>
      </c>
      <c r="I124" s="419">
        <v>1</v>
      </c>
      <c r="J124" s="419">
        <v>0</v>
      </c>
      <c r="K124" s="373"/>
      <c r="L124" s="370"/>
      <c r="M124" s="374"/>
      <c r="N124" s="374"/>
      <c r="O124" s="375"/>
      <c r="P124" s="375"/>
      <c r="Q124" s="375"/>
      <c r="R124" s="480"/>
      <c r="S124" s="481">
        <f>H124*5</f>
        <v>71481362.21000002</v>
      </c>
      <c r="T124" s="580"/>
      <c r="U124" s="581"/>
      <c r="V124" s="581"/>
      <c r="W124" s="582"/>
      <c r="X124" s="582"/>
      <c r="Y124" s="582"/>
      <c r="Z124" s="465"/>
      <c r="AA124" s="465"/>
      <c r="AB124" s="465"/>
      <c r="AC124" s="465"/>
      <c r="AD124" s="465"/>
      <c r="AE124" s="465"/>
      <c r="AF124" s="465"/>
      <c r="AG124" s="465"/>
      <c r="AH124" s="465"/>
      <c r="AI124" s="465"/>
      <c r="AJ124" s="465"/>
      <c r="AK124" s="465"/>
      <c r="AL124" s="465"/>
      <c r="AM124" s="465"/>
      <c r="AN124" s="465"/>
      <c r="AO124" s="465"/>
      <c r="AP124" s="465"/>
      <c r="AQ124" s="465"/>
      <c r="AR124" s="465"/>
      <c r="AS124" s="465"/>
      <c r="AT124" s="465"/>
      <c r="AU124" s="465"/>
      <c r="AV124" s="465"/>
      <c r="AW124" s="465"/>
      <c r="AX124" s="465"/>
      <c r="AY124" s="465"/>
      <c r="AZ124" s="465"/>
      <c r="BA124" s="465"/>
      <c r="BB124" s="465"/>
      <c r="BC124" s="465"/>
      <c r="BD124" s="465"/>
      <c r="BE124" s="465"/>
      <c r="BF124" s="465"/>
      <c r="BG124" s="465"/>
      <c r="BH124" s="465"/>
      <c r="BI124" s="465"/>
      <c r="BJ124" s="465"/>
      <c r="BK124" s="465"/>
      <c r="BL124" s="465"/>
      <c r="BM124" s="465"/>
      <c r="BN124" s="465"/>
      <c r="BO124" s="465"/>
      <c r="BP124" s="465"/>
      <c r="BQ124" s="465"/>
      <c r="BR124" s="465"/>
      <c r="BS124" s="465"/>
      <c r="BT124" s="465"/>
      <c r="BU124" s="465"/>
      <c r="BV124" s="465"/>
      <c r="BW124" s="465"/>
      <c r="BX124" s="465"/>
      <c r="BY124" s="465"/>
      <c r="BZ124" s="465"/>
      <c r="CA124" s="465"/>
      <c r="CB124" s="465"/>
      <c r="CC124" s="465"/>
      <c r="CD124" s="465"/>
      <c r="CE124" s="465"/>
      <c r="CF124" s="465"/>
      <c r="CG124" s="465"/>
      <c r="CH124" s="465"/>
      <c r="CI124" s="465"/>
      <c r="CJ124" s="465"/>
      <c r="CK124" s="465"/>
      <c r="CL124" s="465"/>
      <c r="CM124" s="465"/>
      <c r="CN124" s="465"/>
      <c r="CO124" s="465"/>
      <c r="CP124" s="465"/>
      <c r="CQ124" s="465"/>
      <c r="CR124" s="465"/>
      <c r="CS124" s="465"/>
      <c r="CT124" s="465"/>
      <c r="CU124" s="465"/>
      <c r="CV124" s="465"/>
      <c r="CW124" s="465"/>
      <c r="CX124" s="465"/>
      <c r="CY124" s="465"/>
      <c r="CZ124" s="465"/>
      <c r="DA124" s="465"/>
      <c r="DB124" s="465"/>
      <c r="DC124" s="465"/>
      <c r="DD124" s="465"/>
      <c r="DE124" s="465"/>
      <c r="DF124" s="465"/>
      <c r="DG124" s="465"/>
      <c r="DH124" s="465"/>
      <c r="DI124" s="465"/>
      <c r="DJ124" s="465"/>
      <c r="DK124" s="465"/>
      <c r="DL124" s="465"/>
      <c r="DM124" s="465"/>
      <c r="DN124" s="465"/>
      <c r="DO124" s="465"/>
      <c r="DP124" s="465"/>
      <c r="DQ124" s="465"/>
      <c r="DR124" s="465"/>
      <c r="DS124" s="465"/>
      <c r="DT124" s="465"/>
      <c r="DU124" s="465"/>
      <c r="DV124" s="465"/>
      <c r="DW124" s="465"/>
      <c r="DX124" s="465"/>
      <c r="DY124" s="465"/>
      <c r="DZ124" s="465"/>
      <c r="EA124" s="465"/>
      <c r="EB124" s="465"/>
      <c r="EC124" s="465"/>
      <c r="ED124" s="465"/>
      <c r="EE124" s="465"/>
      <c r="EF124" s="465"/>
      <c r="EG124" s="465"/>
      <c r="EH124" s="465"/>
      <c r="EI124" s="465"/>
      <c r="EJ124" s="465"/>
      <c r="EK124" s="465"/>
      <c r="EL124" s="465"/>
      <c r="EM124" s="465"/>
      <c r="EN124" s="465"/>
      <c r="EO124" s="465"/>
      <c r="EP124" s="465"/>
      <c r="EQ124" s="465"/>
      <c r="ER124" s="465"/>
      <c r="ES124" s="465"/>
      <c r="ET124" s="465"/>
      <c r="EU124" s="465"/>
      <c r="EV124" s="465"/>
      <c r="EW124" s="465"/>
      <c r="EX124" s="465"/>
      <c r="EY124" s="465"/>
      <c r="EZ124" s="465"/>
      <c r="FA124" s="465"/>
      <c r="FB124" s="465"/>
      <c r="FC124" s="465"/>
      <c r="FD124" s="465"/>
      <c r="FE124" s="465"/>
      <c r="FF124" s="465"/>
      <c r="FG124" s="465"/>
      <c r="FH124" s="465"/>
      <c r="FI124" s="465"/>
      <c r="FJ124" s="465"/>
      <c r="FK124" s="465"/>
      <c r="FL124" s="465"/>
      <c r="FM124" s="465"/>
      <c r="FN124" s="465"/>
      <c r="FO124" s="465"/>
      <c r="FP124" s="465"/>
      <c r="FQ124" s="465"/>
      <c r="FR124" s="465"/>
      <c r="FS124" s="465"/>
      <c r="FT124" s="465"/>
      <c r="FU124" s="465"/>
      <c r="FV124" s="465"/>
      <c r="FW124" s="465"/>
      <c r="FX124" s="465"/>
      <c r="FY124" s="465"/>
      <c r="FZ124" s="465"/>
      <c r="GA124" s="465"/>
      <c r="GB124" s="465"/>
      <c r="GC124" s="465"/>
      <c r="GD124" s="465"/>
      <c r="GE124" s="465"/>
      <c r="GF124" s="465"/>
      <c r="GG124" s="465"/>
      <c r="GH124" s="465"/>
      <c r="GI124" s="465"/>
      <c r="GJ124" s="465"/>
      <c r="GK124" s="465"/>
      <c r="GL124" s="465"/>
      <c r="GM124" s="465"/>
      <c r="GN124" s="465"/>
      <c r="GO124" s="465"/>
      <c r="GP124" s="465"/>
      <c r="GQ124" s="465"/>
      <c r="GR124" s="465"/>
      <c r="GS124" s="465"/>
      <c r="GT124" s="465"/>
      <c r="GU124" s="465"/>
      <c r="GV124" s="465"/>
      <c r="GW124" s="465"/>
      <c r="GX124" s="465"/>
      <c r="GY124" s="465"/>
      <c r="GZ124" s="465"/>
      <c r="HA124" s="465"/>
      <c r="HB124" s="465"/>
      <c r="HC124" s="465"/>
      <c r="HD124" s="465"/>
      <c r="HE124" s="465"/>
      <c r="HF124" s="465"/>
      <c r="HG124" s="465"/>
      <c r="HH124" s="465"/>
      <c r="HI124" s="465"/>
      <c r="HJ124" s="465"/>
      <c r="HK124" s="465"/>
      <c r="HL124" s="465"/>
      <c r="HM124" s="465"/>
      <c r="HN124" s="465"/>
      <c r="HO124" s="465"/>
      <c r="HP124" s="465"/>
      <c r="HQ124" s="465"/>
      <c r="HR124" s="465"/>
      <c r="HS124" s="465"/>
      <c r="HT124" s="465"/>
    </row>
    <row r="125" spans="1:228" s="414" customFormat="1" ht="42.75" customHeight="1" outlineLevel="2">
      <c r="A125" s="344" t="s">
        <v>459</v>
      </c>
      <c r="B125" s="788" t="s">
        <v>436</v>
      </c>
      <c r="C125" s="789"/>
      <c r="D125" s="344"/>
      <c r="E125" s="344" t="s">
        <v>149</v>
      </c>
      <c r="F125" s="344"/>
      <c r="G125" s="344"/>
      <c r="H125" s="346">
        <v>213604.47</v>
      </c>
      <c r="I125" s="347">
        <v>1</v>
      </c>
      <c r="J125" s="347">
        <v>0</v>
      </c>
      <c r="K125" s="348" t="s">
        <v>329</v>
      </c>
      <c r="L125" s="344"/>
      <c r="M125" s="349">
        <v>44470</v>
      </c>
      <c r="N125" s="349">
        <v>45383</v>
      </c>
      <c r="O125" s="350" t="s">
        <v>160</v>
      </c>
      <c r="P125" s="350"/>
      <c r="Q125" s="344" t="s">
        <v>404</v>
      </c>
      <c r="R125" s="475"/>
      <c r="S125" s="456">
        <f t="shared" si="4"/>
        <v>1068022.35</v>
      </c>
      <c r="T125" s="576"/>
      <c r="U125" s="451"/>
      <c r="V125" s="451"/>
      <c r="W125" s="451"/>
      <c r="X125" s="451"/>
      <c r="Y125" s="451"/>
      <c r="Z125" s="278"/>
      <c r="AA125" s="451"/>
      <c r="AB125" s="451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278"/>
      <c r="AR125" s="278"/>
      <c r="AS125" s="278"/>
      <c r="AT125" s="278"/>
      <c r="AU125" s="278"/>
      <c r="AV125" s="278"/>
      <c r="AW125" s="278"/>
      <c r="AX125" s="278"/>
      <c r="AY125" s="278"/>
      <c r="AZ125" s="278"/>
      <c r="BA125" s="278"/>
      <c r="BB125" s="278"/>
      <c r="BC125" s="278"/>
      <c r="BD125" s="278"/>
      <c r="BE125" s="278"/>
      <c r="BF125" s="278"/>
      <c r="BG125" s="278"/>
      <c r="BH125" s="278"/>
      <c r="BI125" s="278"/>
      <c r="BJ125" s="278"/>
      <c r="BK125" s="278"/>
      <c r="BL125" s="278"/>
      <c r="BM125" s="278"/>
      <c r="BN125" s="278"/>
      <c r="BO125" s="278"/>
      <c r="BP125" s="278"/>
      <c r="BQ125" s="278"/>
      <c r="BR125" s="278"/>
      <c r="BS125" s="278"/>
      <c r="BT125" s="278"/>
      <c r="BU125" s="278"/>
      <c r="BV125" s="278"/>
      <c r="BW125" s="278"/>
      <c r="BX125" s="278"/>
      <c r="BY125" s="278"/>
      <c r="BZ125" s="278"/>
      <c r="CA125" s="278"/>
      <c r="CB125" s="278"/>
      <c r="CC125" s="278"/>
      <c r="CD125" s="278"/>
      <c r="CE125" s="278"/>
      <c r="CF125" s="278"/>
      <c r="CG125" s="278"/>
      <c r="CH125" s="278"/>
      <c r="CI125" s="278"/>
      <c r="CJ125" s="278"/>
      <c r="CK125" s="278"/>
      <c r="CL125" s="278"/>
      <c r="CM125" s="278"/>
      <c r="CN125" s="278"/>
      <c r="CO125" s="278"/>
      <c r="CP125" s="278"/>
      <c r="CQ125" s="278"/>
      <c r="CR125" s="278"/>
      <c r="CS125" s="278"/>
      <c r="CT125" s="278"/>
      <c r="CU125" s="278"/>
      <c r="CV125" s="278"/>
      <c r="CW125" s="278"/>
      <c r="CX125" s="278"/>
      <c r="CY125" s="278"/>
      <c r="CZ125" s="278"/>
      <c r="DA125" s="278"/>
      <c r="DB125" s="278"/>
      <c r="DC125" s="278"/>
      <c r="DD125" s="278"/>
      <c r="DE125" s="278"/>
      <c r="DF125" s="278"/>
      <c r="DG125" s="278"/>
      <c r="DH125" s="278"/>
      <c r="DI125" s="278"/>
      <c r="DJ125" s="278"/>
      <c r="DK125" s="278"/>
      <c r="DL125" s="278"/>
      <c r="DM125" s="278"/>
      <c r="DN125" s="278"/>
      <c r="DO125" s="278"/>
      <c r="DP125" s="278"/>
      <c r="DQ125" s="278"/>
      <c r="DR125" s="278"/>
      <c r="DS125" s="278"/>
      <c r="DT125" s="278"/>
      <c r="DU125" s="278"/>
      <c r="DV125" s="278"/>
      <c r="DW125" s="278"/>
      <c r="DX125" s="278"/>
      <c r="DY125" s="278"/>
      <c r="DZ125" s="278"/>
      <c r="EA125" s="278"/>
      <c r="EB125" s="278"/>
      <c r="EC125" s="278"/>
      <c r="ED125" s="278"/>
      <c r="EE125" s="278"/>
      <c r="EF125" s="278"/>
      <c r="EG125" s="278"/>
      <c r="EH125" s="278"/>
      <c r="EI125" s="278"/>
      <c r="EJ125" s="278"/>
      <c r="EK125" s="278"/>
      <c r="EL125" s="278"/>
      <c r="EM125" s="278"/>
      <c r="EN125" s="278"/>
      <c r="EO125" s="278"/>
      <c r="EP125" s="278"/>
      <c r="EQ125" s="278"/>
      <c r="ER125" s="278"/>
      <c r="ES125" s="278"/>
      <c r="ET125" s="278"/>
      <c r="EU125" s="278"/>
      <c r="EV125" s="278"/>
      <c r="EW125" s="278"/>
      <c r="EX125" s="278"/>
      <c r="EY125" s="278"/>
      <c r="EZ125" s="278"/>
      <c r="FA125" s="278"/>
      <c r="FB125" s="278"/>
      <c r="FC125" s="278"/>
      <c r="FD125" s="278"/>
      <c r="FE125" s="278"/>
      <c r="FF125" s="278"/>
      <c r="FG125" s="278"/>
      <c r="FH125" s="278"/>
      <c r="FI125" s="278"/>
      <c r="FJ125" s="278"/>
      <c r="FK125" s="278"/>
      <c r="FL125" s="278"/>
      <c r="FM125" s="278"/>
      <c r="FN125" s="278"/>
      <c r="FO125" s="278"/>
      <c r="FP125" s="278"/>
      <c r="FQ125" s="278"/>
      <c r="FR125" s="278"/>
      <c r="FS125" s="278"/>
      <c r="FT125" s="278"/>
      <c r="FU125" s="278"/>
      <c r="FV125" s="278"/>
      <c r="FW125" s="278"/>
      <c r="FX125" s="278"/>
      <c r="FY125" s="278"/>
      <c r="FZ125" s="278"/>
      <c r="GA125" s="278"/>
      <c r="GB125" s="278"/>
      <c r="GC125" s="278"/>
      <c r="GD125" s="278"/>
      <c r="GE125" s="278"/>
      <c r="GF125" s="278"/>
      <c r="GG125" s="278"/>
      <c r="GH125" s="278"/>
      <c r="GI125" s="278"/>
      <c r="GJ125" s="278"/>
      <c r="GK125" s="278"/>
      <c r="GL125" s="278"/>
      <c r="GM125" s="278"/>
      <c r="GN125" s="278"/>
      <c r="GO125" s="278"/>
      <c r="GP125" s="278"/>
      <c r="GQ125" s="278"/>
      <c r="GR125" s="278"/>
      <c r="GS125" s="278"/>
      <c r="GT125" s="278"/>
      <c r="GU125" s="278"/>
      <c r="GV125" s="278"/>
      <c r="GW125" s="278"/>
      <c r="GX125" s="278"/>
      <c r="GY125" s="278"/>
      <c r="GZ125" s="278"/>
      <c r="HA125" s="278"/>
      <c r="HB125" s="278"/>
      <c r="HC125" s="278"/>
      <c r="HD125" s="278"/>
      <c r="HE125" s="278"/>
      <c r="HF125" s="278"/>
      <c r="HG125" s="278"/>
      <c r="HH125" s="278"/>
      <c r="HI125" s="278"/>
      <c r="HJ125" s="278"/>
      <c r="HK125" s="278"/>
      <c r="HL125" s="278"/>
      <c r="HM125" s="278"/>
      <c r="HN125" s="278"/>
      <c r="HO125" s="278"/>
      <c r="HP125" s="278"/>
      <c r="HQ125" s="278"/>
      <c r="HR125" s="278"/>
      <c r="HS125" s="278"/>
      <c r="HT125" s="278"/>
    </row>
    <row r="126" spans="1:228" s="174" customFormat="1" ht="42.75" customHeight="1" hidden="1" outlineLevel="2">
      <c r="A126" s="158" t="s">
        <v>536</v>
      </c>
      <c r="B126" s="796" t="s">
        <v>436</v>
      </c>
      <c r="C126" s="797"/>
      <c r="D126" s="158"/>
      <c r="E126" s="158" t="s">
        <v>149</v>
      </c>
      <c r="F126" s="158"/>
      <c r="G126" s="158"/>
      <c r="H126" s="218">
        <v>190000</v>
      </c>
      <c r="I126" s="405">
        <v>1</v>
      </c>
      <c r="J126" s="405">
        <v>0</v>
      </c>
      <c r="K126" s="161" t="s">
        <v>8</v>
      </c>
      <c r="L126" s="78" t="s">
        <v>149</v>
      </c>
      <c r="M126" s="146">
        <v>44470</v>
      </c>
      <c r="N126" s="343">
        <v>44866</v>
      </c>
      <c r="O126" s="162" t="s">
        <v>160</v>
      </c>
      <c r="P126" s="162"/>
      <c r="Q126" s="78" t="s">
        <v>632</v>
      </c>
      <c r="R126" s="478"/>
      <c r="S126" s="455">
        <f t="shared" si="4"/>
        <v>950000</v>
      </c>
      <c r="T126" s="578"/>
      <c r="U126" s="72"/>
      <c r="V126" s="451"/>
      <c r="W126" s="461"/>
      <c r="X126" s="451"/>
      <c r="Y126" s="461"/>
      <c r="Z126" s="278"/>
      <c r="AA126" s="451"/>
      <c r="AB126" s="451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  <c r="GF126" s="114"/>
      <c r="GG126" s="114"/>
      <c r="GH126" s="114"/>
      <c r="GI126" s="114"/>
      <c r="GJ126" s="114"/>
      <c r="GK126" s="114"/>
      <c r="GL126" s="72"/>
      <c r="GM126" s="72"/>
      <c r="GN126" s="72"/>
      <c r="GO126" s="72"/>
      <c r="GP126" s="72"/>
      <c r="GQ126" s="72"/>
      <c r="GR126" s="72"/>
      <c r="GS126" s="72"/>
      <c r="GT126" s="72"/>
      <c r="GU126" s="72"/>
      <c r="GV126" s="72"/>
      <c r="GW126" s="72"/>
      <c r="GX126" s="72"/>
      <c r="GY126" s="72"/>
      <c r="GZ126" s="72"/>
      <c r="HA126" s="72"/>
      <c r="HB126" s="72"/>
      <c r="HC126" s="72"/>
      <c r="HD126" s="72"/>
      <c r="HE126" s="72"/>
      <c r="HF126" s="72"/>
      <c r="HG126" s="72"/>
      <c r="HH126" s="72"/>
      <c r="HI126" s="72"/>
      <c r="HJ126" s="72"/>
      <c r="HK126" s="72"/>
      <c r="HL126" s="72"/>
      <c r="HM126" s="72"/>
      <c r="HN126" s="72"/>
      <c r="HO126" s="72"/>
      <c r="HP126" s="72"/>
      <c r="HQ126" s="72"/>
      <c r="HR126" s="72"/>
      <c r="HS126" s="72"/>
      <c r="HT126" s="72"/>
    </row>
    <row r="127" spans="1:228" s="174" customFormat="1" ht="42.75" customHeight="1" hidden="1" outlineLevel="2">
      <c r="A127" s="158" t="s">
        <v>547</v>
      </c>
      <c r="B127" s="796" t="s">
        <v>537</v>
      </c>
      <c r="C127" s="797"/>
      <c r="D127" s="158">
        <v>26</v>
      </c>
      <c r="E127" s="158" t="s">
        <v>307</v>
      </c>
      <c r="F127" s="158"/>
      <c r="G127" s="158"/>
      <c r="H127" s="218">
        <v>23604.47</v>
      </c>
      <c r="I127" s="405">
        <v>1</v>
      </c>
      <c r="J127" s="405">
        <v>0</v>
      </c>
      <c r="K127" s="161" t="s">
        <v>8</v>
      </c>
      <c r="L127" s="78" t="s">
        <v>132</v>
      </c>
      <c r="M127" s="146">
        <v>44470</v>
      </c>
      <c r="N127" s="343">
        <v>44866</v>
      </c>
      <c r="O127" s="162"/>
      <c r="P127" s="162"/>
      <c r="Q127" s="78" t="s">
        <v>632</v>
      </c>
      <c r="R127" s="478"/>
      <c r="S127" s="455">
        <f t="shared" si="4"/>
        <v>118022.35</v>
      </c>
      <c r="T127" s="578"/>
      <c r="U127" s="72"/>
      <c r="V127" s="451"/>
      <c r="W127" s="461"/>
      <c r="X127" s="451"/>
      <c r="Y127" s="461"/>
      <c r="Z127" s="278"/>
      <c r="AA127" s="451"/>
      <c r="AB127" s="451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  <c r="GF127" s="114"/>
      <c r="GG127" s="114"/>
      <c r="GH127" s="114"/>
      <c r="GI127" s="114"/>
      <c r="GJ127" s="114"/>
      <c r="GK127" s="114"/>
      <c r="GL127" s="72"/>
      <c r="GM127" s="72"/>
      <c r="GN127" s="72"/>
      <c r="GO127" s="72"/>
      <c r="GP127" s="72"/>
      <c r="GQ127" s="72"/>
      <c r="GR127" s="72"/>
      <c r="GS127" s="72"/>
      <c r="GT127" s="72"/>
      <c r="GU127" s="72"/>
      <c r="GV127" s="72"/>
      <c r="GW127" s="72"/>
      <c r="GX127" s="72"/>
      <c r="GY127" s="72"/>
      <c r="GZ127" s="72"/>
      <c r="HA127" s="72"/>
      <c r="HB127" s="72"/>
      <c r="HC127" s="72"/>
      <c r="HD127" s="72"/>
      <c r="HE127" s="72"/>
      <c r="HF127" s="72"/>
      <c r="HG127" s="72"/>
      <c r="HH127" s="72"/>
      <c r="HI127" s="72"/>
      <c r="HJ127" s="72"/>
      <c r="HK127" s="72"/>
      <c r="HL127" s="72"/>
      <c r="HM127" s="72"/>
      <c r="HN127" s="72"/>
      <c r="HO127" s="72"/>
      <c r="HP127" s="72"/>
      <c r="HQ127" s="72"/>
      <c r="HR127" s="72"/>
      <c r="HS127" s="72"/>
      <c r="HT127" s="72"/>
    </row>
    <row r="128" spans="1:228" s="414" customFormat="1" ht="42.75" customHeight="1" outlineLevel="2">
      <c r="A128" s="344" t="s">
        <v>460</v>
      </c>
      <c r="B128" s="788" t="s">
        <v>437</v>
      </c>
      <c r="C128" s="789"/>
      <c r="D128" s="344"/>
      <c r="E128" s="344" t="s">
        <v>149</v>
      </c>
      <c r="F128" s="344"/>
      <c r="G128" s="344"/>
      <c r="H128" s="346">
        <v>3412119.078666667</v>
      </c>
      <c r="I128" s="347">
        <v>1</v>
      </c>
      <c r="J128" s="347">
        <v>0</v>
      </c>
      <c r="K128" s="348" t="s">
        <v>329</v>
      </c>
      <c r="L128" s="344" t="s">
        <v>132</v>
      </c>
      <c r="M128" s="349">
        <v>44076</v>
      </c>
      <c r="N128" s="349">
        <v>45383</v>
      </c>
      <c r="O128" s="350" t="s">
        <v>160</v>
      </c>
      <c r="P128" s="350"/>
      <c r="Q128" s="344" t="s">
        <v>404</v>
      </c>
      <c r="R128" s="475"/>
      <c r="S128" s="456">
        <f aca="true" t="shared" si="5" ref="S128:S133">H128*5</f>
        <v>17060595.393333334</v>
      </c>
      <c r="T128" s="576"/>
      <c r="U128" s="451"/>
      <c r="V128" s="451"/>
      <c r="W128" s="451"/>
      <c r="X128" s="451"/>
      <c r="Y128" s="451"/>
      <c r="Z128" s="278"/>
      <c r="AA128" s="451"/>
      <c r="AB128" s="451"/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8"/>
      <c r="AS128" s="278"/>
      <c r="AT128" s="278"/>
      <c r="AU128" s="278"/>
      <c r="AV128" s="278"/>
      <c r="AW128" s="278"/>
      <c r="AX128" s="278"/>
      <c r="AY128" s="278"/>
      <c r="AZ128" s="278"/>
      <c r="BA128" s="278"/>
      <c r="BB128" s="278"/>
      <c r="BC128" s="278"/>
      <c r="BD128" s="278"/>
      <c r="BE128" s="278"/>
      <c r="BF128" s="278"/>
      <c r="BG128" s="278"/>
      <c r="BH128" s="278"/>
      <c r="BI128" s="278"/>
      <c r="BJ128" s="278"/>
      <c r="BK128" s="278"/>
      <c r="BL128" s="278"/>
      <c r="BM128" s="278"/>
      <c r="BN128" s="278"/>
      <c r="BO128" s="278"/>
      <c r="BP128" s="278"/>
      <c r="BQ128" s="278"/>
      <c r="BR128" s="278"/>
      <c r="BS128" s="278"/>
      <c r="BT128" s="278"/>
      <c r="BU128" s="278"/>
      <c r="BV128" s="278"/>
      <c r="BW128" s="278"/>
      <c r="BX128" s="278"/>
      <c r="BY128" s="278"/>
      <c r="BZ128" s="278"/>
      <c r="CA128" s="278"/>
      <c r="CB128" s="278"/>
      <c r="CC128" s="278"/>
      <c r="CD128" s="278"/>
      <c r="CE128" s="278"/>
      <c r="CF128" s="278"/>
      <c r="CG128" s="278"/>
      <c r="CH128" s="278"/>
      <c r="CI128" s="278"/>
      <c r="CJ128" s="278"/>
      <c r="CK128" s="278"/>
      <c r="CL128" s="278"/>
      <c r="CM128" s="278"/>
      <c r="CN128" s="278"/>
      <c r="CO128" s="278"/>
      <c r="CP128" s="278"/>
      <c r="CQ128" s="278"/>
      <c r="CR128" s="278"/>
      <c r="CS128" s="278"/>
      <c r="CT128" s="278"/>
      <c r="CU128" s="278"/>
      <c r="CV128" s="278"/>
      <c r="CW128" s="278"/>
      <c r="CX128" s="278"/>
      <c r="CY128" s="278"/>
      <c r="CZ128" s="278"/>
      <c r="DA128" s="278"/>
      <c r="DB128" s="278"/>
      <c r="DC128" s="278"/>
      <c r="DD128" s="278"/>
      <c r="DE128" s="278"/>
      <c r="DF128" s="278"/>
      <c r="DG128" s="278"/>
      <c r="DH128" s="278"/>
      <c r="DI128" s="278"/>
      <c r="DJ128" s="278"/>
      <c r="DK128" s="278"/>
      <c r="DL128" s="278"/>
      <c r="DM128" s="278"/>
      <c r="DN128" s="278"/>
      <c r="DO128" s="278"/>
      <c r="DP128" s="278"/>
      <c r="DQ128" s="278"/>
      <c r="DR128" s="278"/>
      <c r="DS128" s="278"/>
      <c r="DT128" s="278"/>
      <c r="DU128" s="278"/>
      <c r="DV128" s="278"/>
      <c r="DW128" s="278"/>
      <c r="DX128" s="278"/>
      <c r="DY128" s="278"/>
      <c r="DZ128" s="278"/>
      <c r="EA128" s="278"/>
      <c r="EB128" s="278"/>
      <c r="EC128" s="278"/>
      <c r="ED128" s="278"/>
      <c r="EE128" s="278"/>
      <c r="EF128" s="278"/>
      <c r="EG128" s="278"/>
      <c r="EH128" s="278"/>
      <c r="EI128" s="278"/>
      <c r="EJ128" s="278"/>
      <c r="EK128" s="278"/>
      <c r="EL128" s="278"/>
      <c r="EM128" s="278"/>
      <c r="EN128" s="278"/>
      <c r="EO128" s="278"/>
      <c r="EP128" s="278"/>
      <c r="EQ128" s="278"/>
      <c r="ER128" s="278"/>
      <c r="ES128" s="278"/>
      <c r="ET128" s="278"/>
      <c r="EU128" s="278"/>
      <c r="EV128" s="278"/>
      <c r="EW128" s="278"/>
      <c r="EX128" s="278"/>
      <c r="EY128" s="278"/>
      <c r="EZ128" s="278"/>
      <c r="FA128" s="278"/>
      <c r="FB128" s="278"/>
      <c r="FC128" s="278"/>
      <c r="FD128" s="278"/>
      <c r="FE128" s="278"/>
      <c r="FF128" s="278"/>
      <c r="FG128" s="278"/>
      <c r="FH128" s="278"/>
      <c r="FI128" s="278"/>
      <c r="FJ128" s="278"/>
      <c r="FK128" s="278"/>
      <c r="FL128" s="278"/>
      <c r="FM128" s="278"/>
      <c r="FN128" s="278"/>
      <c r="FO128" s="278"/>
      <c r="FP128" s="278"/>
      <c r="FQ128" s="278"/>
      <c r="FR128" s="278"/>
      <c r="FS128" s="278"/>
      <c r="FT128" s="278"/>
      <c r="FU128" s="278"/>
      <c r="FV128" s="278"/>
      <c r="FW128" s="278"/>
      <c r="FX128" s="278"/>
      <c r="FY128" s="278"/>
      <c r="FZ128" s="278"/>
      <c r="GA128" s="278"/>
      <c r="GB128" s="278"/>
      <c r="GC128" s="278"/>
      <c r="GD128" s="278"/>
      <c r="GE128" s="278"/>
      <c r="GF128" s="278"/>
      <c r="GG128" s="278"/>
      <c r="GH128" s="278"/>
      <c r="GI128" s="278"/>
      <c r="GJ128" s="278"/>
      <c r="GK128" s="278"/>
      <c r="GL128" s="278"/>
      <c r="GM128" s="278"/>
      <c r="GN128" s="278"/>
      <c r="GO128" s="278"/>
      <c r="GP128" s="278"/>
      <c r="GQ128" s="278"/>
      <c r="GR128" s="278"/>
      <c r="GS128" s="278"/>
      <c r="GT128" s="278"/>
      <c r="GU128" s="278"/>
      <c r="GV128" s="278"/>
      <c r="GW128" s="278"/>
      <c r="GX128" s="278"/>
      <c r="GY128" s="278"/>
      <c r="GZ128" s="278"/>
      <c r="HA128" s="278"/>
      <c r="HB128" s="278"/>
      <c r="HC128" s="278"/>
      <c r="HD128" s="278"/>
      <c r="HE128" s="278"/>
      <c r="HF128" s="278"/>
      <c r="HG128" s="278"/>
      <c r="HH128" s="278"/>
      <c r="HI128" s="278"/>
      <c r="HJ128" s="278"/>
      <c r="HK128" s="278"/>
      <c r="HL128" s="278"/>
      <c r="HM128" s="278"/>
      <c r="HN128" s="278"/>
      <c r="HO128" s="278"/>
      <c r="HP128" s="278"/>
      <c r="HQ128" s="278"/>
      <c r="HR128" s="278"/>
      <c r="HS128" s="278"/>
      <c r="HT128" s="278"/>
    </row>
    <row r="129" spans="1:228" s="159" customFormat="1" ht="55.5" customHeight="1" hidden="1" outlineLevel="2">
      <c r="A129" s="158" t="s">
        <v>512</v>
      </c>
      <c r="B129" s="796" t="s">
        <v>437</v>
      </c>
      <c r="C129" s="797"/>
      <c r="D129" s="78"/>
      <c r="E129" s="78" t="s">
        <v>149</v>
      </c>
      <c r="F129" s="78"/>
      <c r="G129" s="78"/>
      <c r="H129" s="217"/>
      <c r="I129" s="259">
        <v>1</v>
      </c>
      <c r="J129" s="259">
        <v>0</v>
      </c>
      <c r="K129" s="145" t="s">
        <v>329</v>
      </c>
      <c r="L129" s="78" t="s">
        <v>132</v>
      </c>
      <c r="M129" s="146">
        <v>44076</v>
      </c>
      <c r="N129" s="349">
        <v>45383</v>
      </c>
      <c r="O129" s="515" t="s">
        <v>160</v>
      </c>
      <c r="P129" s="515"/>
      <c r="Q129" s="78" t="s">
        <v>632</v>
      </c>
      <c r="R129" s="516"/>
      <c r="S129" s="455">
        <f t="shared" si="5"/>
        <v>0</v>
      </c>
      <c r="T129" s="578"/>
      <c r="U129" s="114"/>
      <c r="V129" s="451"/>
      <c r="W129" s="521"/>
      <c r="X129" s="451"/>
      <c r="Y129" s="521"/>
      <c r="Z129" s="278"/>
      <c r="AA129" s="451"/>
      <c r="AB129" s="451"/>
      <c r="AC129" s="52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  <c r="GF129" s="72"/>
      <c r="GG129" s="72"/>
      <c r="GH129" s="72"/>
      <c r="GI129" s="72"/>
      <c r="GJ129" s="72"/>
      <c r="GK129" s="72"/>
      <c r="GL129" s="72"/>
      <c r="GM129" s="72"/>
      <c r="GN129" s="72"/>
      <c r="GO129" s="72"/>
      <c r="GP129" s="72"/>
      <c r="GQ129" s="72"/>
      <c r="GR129" s="72"/>
      <c r="GS129" s="72"/>
      <c r="GT129" s="72"/>
      <c r="GU129" s="72"/>
      <c r="GV129" s="72"/>
      <c r="GW129" s="72"/>
      <c r="GX129" s="72"/>
      <c r="GY129" s="72"/>
      <c r="GZ129" s="72"/>
      <c r="HA129" s="72"/>
      <c r="HB129" s="72"/>
      <c r="HC129" s="72"/>
      <c r="HD129" s="72"/>
      <c r="HE129" s="72"/>
      <c r="HF129" s="72"/>
      <c r="HG129" s="72"/>
      <c r="HH129" s="72"/>
      <c r="HI129" s="72"/>
      <c r="HJ129" s="72"/>
      <c r="HK129" s="72"/>
      <c r="HL129" s="72"/>
      <c r="HM129" s="72"/>
      <c r="HN129" s="72"/>
      <c r="HO129" s="72"/>
      <c r="HP129" s="72"/>
      <c r="HQ129" s="72"/>
      <c r="HR129" s="72"/>
      <c r="HS129" s="72"/>
      <c r="HT129" s="72"/>
    </row>
    <row r="130" spans="1:228" s="159" customFormat="1" ht="42.75" customHeight="1" hidden="1" outlineLevel="2">
      <c r="A130" s="158"/>
      <c r="B130" s="796" t="s">
        <v>517</v>
      </c>
      <c r="C130" s="797"/>
      <c r="D130" s="78">
        <v>2</v>
      </c>
      <c r="E130" s="158" t="s">
        <v>307</v>
      </c>
      <c r="F130" s="158"/>
      <c r="G130" s="158"/>
      <c r="H130" s="218"/>
      <c r="I130" s="259">
        <v>1</v>
      </c>
      <c r="J130" s="259">
        <v>0</v>
      </c>
      <c r="K130" s="145" t="s">
        <v>329</v>
      </c>
      <c r="L130" s="78"/>
      <c r="M130" s="146"/>
      <c r="N130" s="349">
        <v>45383</v>
      </c>
      <c r="O130" s="453"/>
      <c r="P130" s="453"/>
      <c r="Q130" s="78" t="s">
        <v>632</v>
      </c>
      <c r="R130" s="478"/>
      <c r="S130" s="455">
        <f t="shared" si="5"/>
        <v>0</v>
      </c>
      <c r="T130" s="578"/>
      <c r="U130" s="72"/>
      <c r="V130" s="451"/>
      <c r="W130" s="461"/>
      <c r="X130" s="451"/>
      <c r="Y130" s="461"/>
      <c r="Z130" s="278"/>
      <c r="AA130" s="451"/>
      <c r="AB130" s="451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  <c r="FS130" s="72"/>
      <c r="FT130" s="72"/>
      <c r="FU130" s="72"/>
      <c r="FV130" s="72"/>
      <c r="FW130" s="72"/>
      <c r="FX130" s="72"/>
      <c r="FY130" s="72"/>
      <c r="FZ130" s="72"/>
      <c r="GA130" s="72"/>
      <c r="GB130" s="72"/>
      <c r="GC130" s="72"/>
      <c r="GD130" s="72"/>
      <c r="GE130" s="72"/>
      <c r="GF130" s="72"/>
      <c r="GG130" s="72"/>
      <c r="GH130" s="72"/>
      <c r="GI130" s="72"/>
      <c r="GJ130" s="72"/>
      <c r="GK130" s="72"/>
      <c r="GL130" s="72"/>
      <c r="GM130" s="72"/>
      <c r="GN130" s="72"/>
      <c r="GO130" s="72"/>
      <c r="GP130" s="72"/>
      <c r="GQ130" s="72"/>
      <c r="GR130" s="72"/>
      <c r="GS130" s="72"/>
      <c r="GT130" s="72"/>
      <c r="GU130" s="72"/>
      <c r="GV130" s="72"/>
      <c r="GW130" s="72"/>
      <c r="GX130" s="72"/>
      <c r="GY130" s="72"/>
      <c r="GZ130" s="72"/>
      <c r="HA130" s="72"/>
      <c r="HB130" s="72"/>
      <c r="HC130" s="72"/>
      <c r="HD130" s="72"/>
      <c r="HE130" s="72"/>
      <c r="HF130" s="72"/>
      <c r="HG130" s="72"/>
      <c r="HH130" s="72"/>
      <c r="HI130" s="72"/>
      <c r="HJ130" s="72"/>
      <c r="HK130" s="72"/>
      <c r="HL130" s="72"/>
      <c r="HM130" s="72"/>
      <c r="HN130" s="72"/>
      <c r="HO130" s="72"/>
      <c r="HP130" s="72"/>
      <c r="HQ130" s="72"/>
      <c r="HR130" s="72"/>
      <c r="HS130" s="72"/>
      <c r="HT130" s="72"/>
    </row>
    <row r="131" spans="1:228" s="159" customFormat="1" ht="42.75" customHeight="1" hidden="1" outlineLevel="2">
      <c r="A131" s="158"/>
      <c r="B131" s="796" t="s">
        <v>608</v>
      </c>
      <c r="C131" s="797"/>
      <c r="D131" s="78">
        <v>3</v>
      </c>
      <c r="E131" s="158" t="s">
        <v>307</v>
      </c>
      <c r="F131" s="158"/>
      <c r="G131" s="158"/>
      <c r="H131" s="218"/>
      <c r="I131" s="405">
        <v>1</v>
      </c>
      <c r="J131" s="405">
        <v>0</v>
      </c>
      <c r="K131" s="161" t="s">
        <v>8</v>
      </c>
      <c r="L131" s="158"/>
      <c r="M131" s="146"/>
      <c r="N131" s="349">
        <v>45383</v>
      </c>
      <c r="O131" s="162"/>
      <c r="P131" s="162"/>
      <c r="Q131" s="78" t="s">
        <v>632</v>
      </c>
      <c r="R131" s="478"/>
      <c r="S131" s="455">
        <f t="shared" si="5"/>
        <v>0</v>
      </c>
      <c r="T131" s="578"/>
      <c r="U131" s="72"/>
      <c r="V131" s="451"/>
      <c r="W131" s="461"/>
      <c r="X131" s="451"/>
      <c r="Y131" s="461"/>
      <c r="Z131" s="278"/>
      <c r="AA131" s="451"/>
      <c r="AB131" s="451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  <c r="FS131" s="72"/>
      <c r="FT131" s="72"/>
      <c r="FU131" s="72"/>
      <c r="FV131" s="72"/>
      <c r="FW131" s="72"/>
      <c r="FX131" s="72"/>
      <c r="FY131" s="72"/>
      <c r="FZ131" s="72"/>
      <c r="GA131" s="72"/>
      <c r="GB131" s="72"/>
      <c r="GC131" s="72"/>
      <c r="GD131" s="72"/>
      <c r="GE131" s="72"/>
      <c r="GF131" s="72"/>
      <c r="GG131" s="72"/>
      <c r="GH131" s="72"/>
      <c r="GI131" s="72"/>
      <c r="GJ131" s="72"/>
      <c r="GK131" s="72"/>
      <c r="GL131" s="72"/>
      <c r="GM131" s="72"/>
      <c r="GN131" s="72"/>
      <c r="GO131" s="72"/>
      <c r="GP131" s="72"/>
      <c r="GQ131" s="72"/>
      <c r="GR131" s="72"/>
      <c r="GS131" s="72"/>
      <c r="GT131" s="72"/>
      <c r="GU131" s="72"/>
      <c r="GV131" s="72"/>
      <c r="GW131" s="72"/>
      <c r="GX131" s="72"/>
      <c r="GY131" s="72"/>
      <c r="GZ131" s="72"/>
      <c r="HA131" s="72"/>
      <c r="HB131" s="72"/>
      <c r="HC131" s="72"/>
      <c r="HD131" s="72"/>
      <c r="HE131" s="72"/>
      <c r="HF131" s="72"/>
      <c r="HG131" s="72"/>
      <c r="HH131" s="72"/>
      <c r="HI131" s="72"/>
      <c r="HJ131" s="72"/>
      <c r="HK131" s="72"/>
      <c r="HL131" s="72"/>
      <c r="HM131" s="72"/>
      <c r="HN131" s="72"/>
      <c r="HO131" s="72"/>
      <c r="HP131" s="72"/>
      <c r="HQ131" s="72"/>
      <c r="HR131" s="72"/>
      <c r="HS131" s="72"/>
      <c r="HT131" s="72"/>
    </row>
    <row r="132" spans="1:228" s="159" customFormat="1" ht="42.75" customHeight="1" hidden="1" outlineLevel="2">
      <c r="A132" s="158" t="s">
        <v>513</v>
      </c>
      <c r="B132" s="796" t="s">
        <v>535</v>
      </c>
      <c r="C132" s="797"/>
      <c r="D132" s="158">
        <v>28</v>
      </c>
      <c r="E132" s="158" t="s">
        <v>307</v>
      </c>
      <c r="F132" s="158"/>
      <c r="G132" s="158"/>
      <c r="H132" s="218"/>
      <c r="I132" s="405">
        <v>1</v>
      </c>
      <c r="J132" s="405">
        <v>0</v>
      </c>
      <c r="K132" s="161" t="s">
        <v>8</v>
      </c>
      <c r="L132" s="158" t="s">
        <v>132</v>
      </c>
      <c r="M132" s="146">
        <v>44470</v>
      </c>
      <c r="N132" s="349">
        <v>45383</v>
      </c>
      <c r="O132" s="162"/>
      <c r="P132" s="162"/>
      <c r="Q132" s="158" t="s">
        <v>632</v>
      </c>
      <c r="R132" s="516"/>
      <c r="S132" s="455">
        <f t="shared" si="5"/>
        <v>0</v>
      </c>
      <c r="T132" s="578"/>
      <c r="U132" s="72"/>
      <c r="V132" s="451"/>
      <c r="W132" s="461"/>
      <c r="X132" s="451"/>
      <c r="Y132" s="461"/>
      <c r="Z132" s="278"/>
      <c r="AA132" s="451"/>
      <c r="AB132" s="451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  <c r="FS132" s="72"/>
      <c r="FT132" s="72"/>
      <c r="FU132" s="72"/>
      <c r="FV132" s="72"/>
      <c r="FW132" s="72"/>
      <c r="FX132" s="72"/>
      <c r="FY132" s="72"/>
      <c r="FZ132" s="72"/>
      <c r="GA132" s="72"/>
      <c r="GB132" s="72"/>
      <c r="GC132" s="72"/>
      <c r="GD132" s="72"/>
      <c r="GE132" s="72"/>
      <c r="GF132" s="72"/>
      <c r="GG132" s="72"/>
      <c r="GH132" s="72"/>
      <c r="GI132" s="72"/>
      <c r="GJ132" s="72"/>
      <c r="GK132" s="72"/>
      <c r="GL132" s="72"/>
      <c r="GM132" s="72"/>
      <c r="GN132" s="72"/>
      <c r="GO132" s="72"/>
      <c r="GP132" s="72"/>
      <c r="GQ132" s="72"/>
      <c r="GR132" s="72"/>
      <c r="GS132" s="72"/>
      <c r="GT132" s="72"/>
      <c r="GU132" s="72"/>
      <c r="GV132" s="72"/>
      <c r="GW132" s="72"/>
      <c r="GX132" s="72"/>
      <c r="GY132" s="72"/>
      <c r="GZ132" s="72"/>
      <c r="HA132" s="72"/>
      <c r="HB132" s="72"/>
      <c r="HC132" s="72"/>
      <c r="HD132" s="72"/>
      <c r="HE132" s="72"/>
      <c r="HF132" s="72"/>
      <c r="HG132" s="72"/>
      <c r="HH132" s="72"/>
      <c r="HI132" s="72"/>
      <c r="HJ132" s="72"/>
      <c r="HK132" s="72"/>
      <c r="HL132" s="72"/>
      <c r="HM132" s="72"/>
      <c r="HN132" s="72"/>
      <c r="HO132" s="72"/>
      <c r="HP132" s="72"/>
      <c r="HQ132" s="72"/>
      <c r="HR132" s="72"/>
      <c r="HS132" s="72"/>
      <c r="HT132" s="72"/>
    </row>
    <row r="133" spans="1:228" s="159" customFormat="1" ht="42.75" customHeight="1" hidden="1" outlineLevel="2">
      <c r="A133" s="158" t="s">
        <v>518</v>
      </c>
      <c r="B133" s="798" t="s">
        <v>609</v>
      </c>
      <c r="C133" s="799" t="s">
        <v>444</v>
      </c>
      <c r="D133" s="493">
        <v>30</v>
      </c>
      <c r="E133" s="158" t="s">
        <v>307</v>
      </c>
      <c r="H133" s="218"/>
      <c r="I133" s="405">
        <v>1</v>
      </c>
      <c r="J133" s="405">
        <v>0</v>
      </c>
      <c r="K133" s="161" t="s">
        <v>329</v>
      </c>
      <c r="L133" s="158" t="s">
        <v>132</v>
      </c>
      <c r="M133" s="146">
        <v>44470</v>
      </c>
      <c r="N133" s="349">
        <v>45383</v>
      </c>
      <c r="O133" s="162"/>
      <c r="Q133" s="78" t="s">
        <v>632</v>
      </c>
      <c r="R133" s="476"/>
      <c r="S133" s="455">
        <f t="shared" si="5"/>
        <v>0</v>
      </c>
      <c r="T133" s="578"/>
      <c r="U133" s="72"/>
      <c r="V133" s="451"/>
      <c r="W133" s="461"/>
      <c r="X133" s="451"/>
      <c r="Y133" s="461"/>
      <c r="Z133" s="278"/>
      <c r="AA133" s="451"/>
      <c r="AB133" s="451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  <c r="GD133" s="72"/>
      <c r="GE133" s="72"/>
      <c r="GF133" s="72"/>
      <c r="GG133" s="72"/>
      <c r="GH133" s="72"/>
      <c r="GI133" s="72"/>
      <c r="GJ133" s="72"/>
      <c r="GK133" s="72"/>
      <c r="GL133" s="72"/>
      <c r="GM133" s="72"/>
      <c r="GN133" s="72"/>
      <c r="GO133" s="72"/>
      <c r="GP133" s="72"/>
      <c r="GQ133" s="72"/>
      <c r="GR133" s="72"/>
      <c r="GS133" s="72"/>
      <c r="GT133" s="72"/>
      <c r="GU133" s="72"/>
      <c r="GV133" s="72"/>
      <c r="GW133" s="72"/>
      <c r="GX133" s="72"/>
      <c r="GY133" s="72"/>
      <c r="GZ133" s="72"/>
      <c r="HA133" s="72"/>
      <c r="HB133" s="72"/>
      <c r="HC133" s="72"/>
      <c r="HD133" s="72"/>
      <c r="HE133" s="72"/>
      <c r="HF133" s="72"/>
      <c r="HG133" s="72"/>
      <c r="HH133" s="72"/>
      <c r="HI133" s="72"/>
      <c r="HJ133" s="72"/>
      <c r="HK133" s="72"/>
      <c r="HL133" s="72"/>
      <c r="HM133" s="72"/>
      <c r="HN133" s="72"/>
      <c r="HO133" s="72"/>
      <c r="HP133" s="72"/>
      <c r="HQ133" s="72"/>
      <c r="HR133" s="72"/>
      <c r="HS133" s="72"/>
      <c r="HT133" s="72"/>
    </row>
    <row r="134" spans="1:228" s="414" customFormat="1" ht="41.25" customHeight="1" outlineLevel="2">
      <c r="A134" s="344" t="s">
        <v>461</v>
      </c>
      <c r="B134" s="788" t="s">
        <v>438</v>
      </c>
      <c r="C134" s="789"/>
      <c r="D134" s="344"/>
      <c r="E134" s="344" t="s">
        <v>149</v>
      </c>
      <c r="F134" s="344"/>
      <c r="G134" s="344"/>
      <c r="H134" s="346">
        <v>3305482.356</v>
      </c>
      <c r="I134" s="347">
        <v>1</v>
      </c>
      <c r="J134" s="347">
        <v>0</v>
      </c>
      <c r="K134" s="348" t="s">
        <v>329</v>
      </c>
      <c r="L134" s="344" t="s">
        <v>132</v>
      </c>
      <c r="M134" s="349">
        <v>44105</v>
      </c>
      <c r="N134" s="349">
        <v>45383</v>
      </c>
      <c r="O134" s="350" t="s">
        <v>160</v>
      </c>
      <c r="P134" s="350"/>
      <c r="Q134" s="344" t="s">
        <v>404</v>
      </c>
      <c r="R134" s="475"/>
      <c r="S134" s="456">
        <f aca="true" t="shared" si="6" ref="S134:S147">H134*5</f>
        <v>16527411.780000001</v>
      </c>
      <c r="T134" s="576"/>
      <c r="U134" s="451"/>
      <c r="V134" s="451"/>
      <c r="W134" s="451"/>
      <c r="X134" s="451"/>
      <c r="Y134" s="451"/>
      <c r="Z134" s="278"/>
      <c r="AA134" s="451"/>
      <c r="AB134" s="451"/>
      <c r="AC134" s="278"/>
      <c r="AD134" s="278"/>
      <c r="AE134" s="278"/>
      <c r="AF134" s="278"/>
      <c r="AG134" s="278"/>
      <c r="AH134" s="278"/>
      <c r="AI134" s="278"/>
      <c r="AJ134" s="278"/>
      <c r="AK134" s="278"/>
      <c r="AL134" s="278"/>
      <c r="AM134" s="278"/>
      <c r="AN134" s="278"/>
      <c r="AO134" s="278"/>
      <c r="AP134" s="278"/>
      <c r="AQ134" s="278"/>
      <c r="AR134" s="278"/>
      <c r="AS134" s="278"/>
      <c r="AT134" s="278"/>
      <c r="AU134" s="278"/>
      <c r="AV134" s="278"/>
      <c r="AW134" s="278"/>
      <c r="AX134" s="278"/>
      <c r="AY134" s="278"/>
      <c r="AZ134" s="278"/>
      <c r="BA134" s="278"/>
      <c r="BB134" s="278"/>
      <c r="BC134" s="278"/>
      <c r="BD134" s="278"/>
      <c r="BE134" s="278"/>
      <c r="BF134" s="278"/>
      <c r="BG134" s="278"/>
      <c r="BH134" s="278"/>
      <c r="BI134" s="278"/>
      <c r="BJ134" s="278"/>
      <c r="BK134" s="278"/>
      <c r="BL134" s="278"/>
      <c r="BM134" s="278"/>
      <c r="BN134" s="278"/>
      <c r="BO134" s="278"/>
      <c r="BP134" s="278"/>
      <c r="BQ134" s="278"/>
      <c r="BR134" s="278"/>
      <c r="BS134" s="278"/>
      <c r="BT134" s="278"/>
      <c r="BU134" s="278"/>
      <c r="BV134" s="278"/>
      <c r="BW134" s="278"/>
      <c r="BX134" s="278"/>
      <c r="BY134" s="278"/>
      <c r="BZ134" s="278"/>
      <c r="CA134" s="278"/>
      <c r="CB134" s="278"/>
      <c r="CC134" s="278"/>
      <c r="CD134" s="278"/>
      <c r="CE134" s="278"/>
      <c r="CF134" s="278"/>
      <c r="CG134" s="278"/>
      <c r="CH134" s="278"/>
      <c r="CI134" s="278"/>
      <c r="CJ134" s="278"/>
      <c r="CK134" s="278"/>
      <c r="CL134" s="278"/>
      <c r="CM134" s="278"/>
      <c r="CN134" s="278"/>
      <c r="CO134" s="278"/>
      <c r="CP134" s="278"/>
      <c r="CQ134" s="278"/>
      <c r="CR134" s="278"/>
      <c r="CS134" s="278"/>
      <c r="CT134" s="278"/>
      <c r="CU134" s="278"/>
      <c r="CV134" s="278"/>
      <c r="CW134" s="278"/>
      <c r="CX134" s="278"/>
      <c r="CY134" s="278"/>
      <c r="CZ134" s="278"/>
      <c r="DA134" s="278"/>
      <c r="DB134" s="278"/>
      <c r="DC134" s="278"/>
      <c r="DD134" s="278"/>
      <c r="DE134" s="278"/>
      <c r="DF134" s="278"/>
      <c r="DG134" s="278"/>
      <c r="DH134" s="278"/>
      <c r="DI134" s="278"/>
      <c r="DJ134" s="278"/>
      <c r="DK134" s="278"/>
      <c r="DL134" s="278"/>
      <c r="DM134" s="278"/>
      <c r="DN134" s="278"/>
      <c r="DO134" s="278"/>
      <c r="DP134" s="278"/>
      <c r="DQ134" s="278"/>
      <c r="DR134" s="278"/>
      <c r="DS134" s="278"/>
      <c r="DT134" s="278"/>
      <c r="DU134" s="278"/>
      <c r="DV134" s="278"/>
      <c r="DW134" s="278"/>
      <c r="DX134" s="278"/>
      <c r="DY134" s="278"/>
      <c r="DZ134" s="278"/>
      <c r="EA134" s="278"/>
      <c r="EB134" s="278"/>
      <c r="EC134" s="278"/>
      <c r="ED134" s="278"/>
      <c r="EE134" s="278"/>
      <c r="EF134" s="278"/>
      <c r="EG134" s="278"/>
      <c r="EH134" s="278"/>
      <c r="EI134" s="278"/>
      <c r="EJ134" s="278"/>
      <c r="EK134" s="278"/>
      <c r="EL134" s="278"/>
      <c r="EM134" s="278"/>
      <c r="EN134" s="278"/>
      <c r="EO134" s="278"/>
      <c r="EP134" s="278"/>
      <c r="EQ134" s="278"/>
      <c r="ER134" s="278"/>
      <c r="ES134" s="278"/>
      <c r="ET134" s="278"/>
      <c r="EU134" s="278"/>
      <c r="EV134" s="278"/>
      <c r="EW134" s="278"/>
      <c r="EX134" s="278"/>
      <c r="EY134" s="278"/>
      <c r="EZ134" s="278"/>
      <c r="FA134" s="278"/>
      <c r="FB134" s="278"/>
      <c r="FC134" s="278"/>
      <c r="FD134" s="278"/>
      <c r="FE134" s="278"/>
      <c r="FF134" s="278"/>
      <c r="FG134" s="278"/>
      <c r="FH134" s="278"/>
      <c r="FI134" s="278"/>
      <c r="FJ134" s="278"/>
      <c r="FK134" s="278"/>
      <c r="FL134" s="278"/>
      <c r="FM134" s="278"/>
      <c r="FN134" s="278"/>
      <c r="FO134" s="278"/>
      <c r="FP134" s="278"/>
      <c r="FQ134" s="278"/>
      <c r="FR134" s="278"/>
      <c r="FS134" s="278"/>
      <c r="FT134" s="278"/>
      <c r="FU134" s="278"/>
      <c r="FV134" s="278"/>
      <c r="FW134" s="278"/>
      <c r="FX134" s="278"/>
      <c r="FY134" s="278"/>
      <c r="FZ134" s="278"/>
      <c r="GA134" s="278"/>
      <c r="GB134" s="278"/>
      <c r="GC134" s="278"/>
      <c r="GD134" s="278"/>
      <c r="GE134" s="278"/>
      <c r="GF134" s="278"/>
      <c r="GG134" s="278"/>
      <c r="GH134" s="278"/>
      <c r="GI134" s="278"/>
      <c r="GJ134" s="278"/>
      <c r="GK134" s="278"/>
      <c r="GL134" s="278"/>
      <c r="GM134" s="278"/>
      <c r="GN134" s="278"/>
      <c r="GO134" s="278"/>
      <c r="GP134" s="278"/>
      <c r="GQ134" s="278"/>
      <c r="GR134" s="278"/>
      <c r="GS134" s="278"/>
      <c r="GT134" s="278"/>
      <c r="GU134" s="278"/>
      <c r="GV134" s="278"/>
      <c r="GW134" s="278"/>
      <c r="GX134" s="278"/>
      <c r="GY134" s="278"/>
      <c r="GZ134" s="278"/>
      <c r="HA134" s="278"/>
      <c r="HB134" s="278"/>
      <c r="HC134" s="278"/>
      <c r="HD134" s="278"/>
      <c r="HE134" s="278"/>
      <c r="HF134" s="278"/>
      <c r="HG134" s="278"/>
      <c r="HH134" s="278"/>
      <c r="HI134" s="278"/>
      <c r="HJ134" s="278"/>
      <c r="HK134" s="278"/>
      <c r="HL134" s="278"/>
      <c r="HM134" s="278"/>
      <c r="HN134" s="278"/>
      <c r="HO134" s="278"/>
      <c r="HP134" s="278"/>
      <c r="HQ134" s="278"/>
      <c r="HR134" s="278"/>
      <c r="HS134" s="278"/>
      <c r="HT134" s="278"/>
    </row>
    <row r="135" spans="1:228" s="414" customFormat="1" ht="41.25" customHeight="1" outlineLevel="2">
      <c r="A135" s="344" t="s">
        <v>462</v>
      </c>
      <c r="B135" s="788" t="s">
        <v>514</v>
      </c>
      <c r="C135" s="789"/>
      <c r="D135" s="344"/>
      <c r="E135" s="344" t="s">
        <v>149</v>
      </c>
      <c r="F135" s="344"/>
      <c r="G135" s="344"/>
      <c r="H135" s="346">
        <v>1492925.8213333334</v>
      </c>
      <c r="I135" s="347">
        <v>1</v>
      </c>
      <c r="J135" s="347">
        <v>0</v>
      </c>
      <c r="K135" s="348" t="s">
        <v>329</v>
      </c>
      <c r="L135" s="344" t="s">
        <v>132</v>
      </c>
      <c r="M135" s="349">
        <v>44106</v>
      </c>
      <c r="N135" s="349">
        <v>45383</v>
      </c>
      <c r="O135" s="350" t="s">
        <v>160</v>
      </c>
      <c r="P135" s="350"/>
      <c r="Q135" s="344" t="s">
        <v>404</v>
      </c>
      <c r="R135" s="475"/>
      <c r="S135" s="456">
        <f t="shared" si="6"/>
        <v>7464629.106666667</v>
      </c>
      <c r="T135" s="576"/>
      <c r="U135" s="451"/>
      <c r="V135" s="451"/>
      <c r="W135" s="451"/>
      <c r="X135" s="451"/>
      <c r="Y135" s="451"/>
      <c r="Z135" s="278"/>
      <c r="AA135" s="451"/>
      <c r="AB135" s="451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  <c r="AS135" s="278"/>
      <c r="AT135" s="278"/>
      <c r="AU135" s="278"/>
      <c r="AV135" s="278"/>
      <c r="AW135" s="278"/>
      <c r="AX135" s="278"/>
      <c r="AY135" s="278"/>
      <c r="AZ135" s="278"/>
      <c r="BA135" s="278"/>
      <c r="BB135" s="278"/>
      <c r="BC135" s="278"/>
      <c r="BD135" s="278"/>
      <c r="BE135" s="278"/>
      <c r="BF135" s="278"/>
      <c r="BG135" s="278"/>
      <c r="BH135" s="278"/>
      <c r="BI135" s="278"/>
      <c r="BJ135" s="278"/>
      <c r="BK135" s="278"/>
      <c r="BL135" s="278"/>
      <c r="BM135" s="278"/>
      <c r="BN135" s="278"/>
      <c r="BO135" s="278"/>
      <c r="BP135" s="278"/>
      <c r="BQ135" s="278"/>
      <c r="BR135" s="278"/>
      <c r="BS135" s="278"/>
      <c r="BT135" s="278"/>
      <c r="BU135" s="278"/>
      <c r="BV135" s="278"/>
      <c r="BW135" s="278"/>
      <c r="BX135" s="278"/>
      <c r="BY135" s="278"/>
      <c r="BZ135" s="278"/>
      <c r="CA135" s="278"/>
      <c r="CB135" s="278"/>
      <c r="CC135" s="278"/>
      <c r="CD135" s="278"/>
      <c r="CE135" s="278"/>
      <c r="CF135" s="278"/>
      <c r="CG135" s="278"/>
      <c r="CH135" s="278"/>
      <c r="CI135" s="278"/>
      <c r="CJ135" s="278"/>
      <c r="CK135" s="278"/>
      <c r="CL135" s="278"/>
      <c r="CM135" s="278"/>
      <c r="CN135" s="278"/>
      <c r="CO135" s="278"/>
      <c r="CP135" s="278"/>
      <c r="CQ135" s="278"/>
      <c r="CR135" s="278"/>
      <c r="CS135" s="278"/>
      <c r="CT135" s="278"/>
      <c r="CU135" s="278"/>
      <c r="CV135" s="278"/>
      <c r="CW135" s="278"/>
      <c r="CX135" s="278"/>
      <c r="CY135" s="278"/>
      <c r="CZ135" s="278"/>
      <c r="DA135" s="278"/>
      <c r="DB135" s="278"/>
      <c r="DC135" s="278"/>
      <c r="DD135" s="278"/>
      <c r="DE135" s="278"/>
      <c r="DF135" s="278"/>
      <c r="DG135" s="278"/>
      <c r="DH135" s="278"/>
      <c r="DI135" s="278"/>
      <c r="DJ135" s="278"/>
      <c r="DK135" s="278"/>
      <c r="DL135" s="278"/>
      <c r="DM135" s="278"/>
      <c r="DN135" s="278"/>
      <c r="DO135" s="278"/>
      <c r="DP135" s="278"/>
      <c r="DQ135" s="278"/>
      <c r="DR135" s="278"/>
      <c r="DS135" s="278"/>
      <c r="DT135" s="278"/>
      <c r="DU135" s="278"/>
      <c r="DV135" s="278"/>
      <c r="DW135" s="278"/>
      <c r="DX135" s="278"/>
      <c r="DY135" s="278"/>
      <c r="DZ135" s="278"/>
      <c r="EA135" s="278"/>
      <c r="EB135" s="278"/>
      <c r="EC135" s="278"/>
      <c r="ED135" s="278"/>
      <c r="EE135" s="278"/>
      <c r="EF135" s="278"/>
      <c r="EG135" s="278"/>
      <c r="EH135" s="278"/>
      <c r="EI135" s="278"/>
      <c r="EJ135" s="278"/>
      <c r="EK135" s="278"/>
      <c r="EL135" s="278"/>
      <c r="EM135" s="278"/>
      <c r="EN135" s="278"/>
      <c r="EO135" s="278"/>
      <c r="EP135" s="278"/>
      <c r="EQ135" s="278"/>
      <c r="ER135" s="278"/>
      <c r="ES135" s="278"/>
      <c r="ET135" s="278"/>
      <c r="EU135" s="278"/>
      <c r="EV135" s="278"/>
      <c r="EW135" s="278"/>
      <c r="EX135" s="278"/>
      <c r="EY135" s="278"/>
      <c r="EZ135" s="278"/>
      <c r="FA135" s="278"/>
      <c r="FB135" s="278"/>
      <c r="FC135" s="278"/>
      <c r="FD135" s="278"/>
      <c r="FE135" s="278"/>
      <c r="FF135" s="278"/>
      <c r="FG135" s="278"/>
      <c r="FH135" s="278"/>
      <c r="FI135" s="278"/>
      <c r="FJ135" s="278"/>
      <c r="FK135" s="278"/>
      <c r="FL135" s="278"/>
      <c r="FM135" s="278"/>
      <c r="FN135" s="278"/>
      <c r="FO135" s="278"/>
      <c r="FP135" s="278"/>
      <c r="FQ135" s="278"/>
      <c r="FR135" s="278"/>
      <c r="FS135" s="278"/>
      <c r="FT135" s="278"/>
      <c r="FU135" s="278"/>
      <c r="FV135" s="278"/>
      <c r="FW135" s="278"/>
      <c r="FX135" s="278"/>
      <c r="FY135" s="278"/>
      <c r="FZ135" s="278"/>
      <c r="GA135" s="278"/>
      <c r="GB135" s="278"/>
      <c r="GC135" s="278"/>
      <c r="GD135" s="278"/>
      <c r="GE135" s="278"/>
      <c r="GF135" s="278"/>
      <c r="GG135" s="278"/>
      <c r="GH135" s="278"/>
      <c r="GI135" s="278"/>
      <c r="GJ135" s="278"/>
      <c r="GK135" s="278"/>
      <c r="GL135" s="278"/>
      <c r="GM135" s="278"/>
      <c r="GN135" s="278"/>
      <c r="GO135" s="278"/>
      <c r="GP135" s="278"/>
      <c r="GQ135" s="278"/>
      <c r="GR135" s="278"/>
      <c r="GS135" s="278"/>
      <c r="GT135" s="278"/>
      <c r="GU135" s="278"/>
      <c r="GV135" s="278"/>
      <c r="GW135" s="278"/>
      <c r="GX135" s="278"/>
      <c r="GY135" s="278"/>
      <c r="GZ135" s="278"/>
      <c r="HA135" s="278"/>
      <c r="HB135" s="278"/>
      <c r="HC135" s="278"/>
      <c r="HD135" s="278"/>
      <c r="HE135" s="278"/>
      <c r="HF135" s="278"/>
      <c r="HG135" s="278"/>
      <c r="HH135" s="278"/>
      <c r="HI135" s="278"/>
      <c r="HJ135" s="278"/>
      <c r="HK135" s="278"/>
      <c r="HL135" s="278"/>
      <c r="HM135" s="278"/>
      <c r="HN135" s="278"/>
      <c r="HO135" s="278"/>
      <c r="HP135" s="278"/>
      <c r="HQ135" s="278"/>
      <c r="HR135" s="278"/>
      <c r="HS135" s="278"/>
      <c r="HT135" s="278"/>
    </row>
    <row r="136" spans="1:228" s="413" customFormat="1" ht="60.75" customHeight="1" hidden="1" outlineLevel="2">
      <c r="A136" s="351"/>
      <c r="B136" s="792" t="s">
        <v>514</v>
      </c>
      <c r="C136" s="793"/>
      <c r="D136" s="351"/>
      <c r="E136" s="351" t="s">
        <v>149</v>
      </c>
      <c r="F136" s="351"/>
      <c r="G136" s="351"/>
      <c r="H136" s="415"/>
      <c r="I136" s="583">
        <v>1</v>
      </c>
      <c r="J136" s="583">
        <v>0</v>
      </c>
      <c r="K136" s="368" t="s">
        <v>329</v>
      </c>
      <c r="L136" s="351" t="s">
        <v>132</v>
      </c>
      <c r="M136" s="366">
        <v>44106</v>
      </c>
      <c r="N136" s="349">
        <v>45383</v>
      </c>
      <c r="O136" s="369" t="s">
        <v>160</v>
      </c>
      <c r="P136" s="369"/>
      <c r="Q136" s="326" t="s">
        <v>632</v>
      </c>
      <c r="R136" s="477"/>
      <c r="S136" s="455">
        <f t="shared" si="6"/>
        <v>0</v>
      </c>
      <c r="T136" s="577"/>
      <c r="U136" s="451"/>
      <c r="V136" s="451"/>
      <c r="W136" s="574"/>
      <c r="X136" s="574"/>
      <c r="Y136" s="451"/>
      <c r="Z136" s="278"/>
      <c r="AA136" s="451"/>
      <c r="AB136" s="451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G136" s="74"/>
      <c r="HH136" s="74"/>
      <c r="HI136" s="74"/>
      <c r="HJ136" s="74"/>
      <c r="HK136" s="74"/>
      <c r="HL136" s="74"/>
      <c r="HM136" s="74"/>
      <c r="HN136" s="74"/>
      <c r="HO136" s="74"/>
      <c r="HP136" s="74"/>
      <c r="HQ136" s="74"/>
      <c r="HR136" s="74"/>
      <c r="HS136" s="74"/>
      <c r="HT136" s="74"/>
    </row>
    <row r="137" spans="1:228" s="413" customFormat="1" ht="42.75" customHeight="1" hidden="1" outlineLevel="2">
      <c r="A137" s="351"/>
      <c r="B137" s="792" t="s">
        <v>528</v>
      </c>
      <c r="C137" s="793"/>
      <c r="D137" s="584">
        <v>4</v>
      </c>
      <c r="E137" s="351" t="s">
        <v>307</v>
      </c>
      <c r="F137" s="351"/>
      <c r="G137" s="351"/>
      <c r="H137" s="367"/>
      <c r="I137" s="583">
        <v>1</v>
      </c>
      <c r="J137" s="583">
        <v>0</v>
      </c>
      <c r="K137" s="368" t="s">
        <v>8</v>
      </c>
      <c r="L137" s="351" t="s">
        <v>132</v>
      </c>
      <c r="M137" s="332">
        <v>44348</v>
      </c>
      <c r="N137" s="349">
        <v>45383</v>
      </c>
      <c r="O137" s="369" t="s">
        <v>160</v>
      </c>
      <c r="P137" s="369"/>
      <c r="Q137" s="326" t="s">
        <v>632</v>
      </c>
      <c r="R137" s="575"/>
      <c r="S137" s="455">
        <f t="shared" si="6"/>
        <v>0</v>
      </c>
      <c r="T137" s="577"/>
      <c r="U137" s="451"/>
      <c r="V137" s="451"/>
      <c r="W137" s="460"/>
      <c r="X137" s="106"/>
      <c r="Y137" s="451"/>
      <c r="Z137" s="278"/>
      <c r="AA137" s="451"/>
      <c r="AB137" s="451"/>
      <c r="AC137" s="106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G137" s="74"/>
      <c r="HH137" s="74"/>
      <c r="HI137" s="74"/>
      <c r="HJ137" s="74"/>
      <c r="HK137" s="74"/>
      <c r="HL137" s="74"/>
      <c r="HM137" s="74"/>
      <c r="HN137" s="74"/>
      <c r="HO137" s="74"/>
      <c r="HP137" s="74"/>
      <c r="HQ137" s="74"/>
      <c r="HR137" s="74"/>
      <c r="HS137" s="74"/>
      <c r="HT137" s="74"/>
    </row>
    <row r="138" spans="1:228" s="413" customFormat="1" ht="42.75" customHeight="1" hidden="1" outlineLevel="2">
      <c r="A138" s="351"/>
      <c r="B138" s="792" t="s">
        <v>533</v>
      </c>
      <c r="C138" s="793"/>
      <c r="D138" s="351">
        <v>10</v>
      </c>
      <c r="E138" s="326" t="s">
        <v>307</v>
      </c>
      <c r="F138" s="351"/>
      <c r="G138" s="351"/>
      <c r="H138" s="367"/>
      <c r="I138" s="583">
        <v>1</v>
      </c>
      <c r="J138" s="583">
        <v>0</v>
      </c>
      <c r="K138" s="368" t="s">
        <v>8</v>
      </c>
      <c r="L138" s="351" t="s">
        <v>132</v>
      </c>
      <c r="M138" s="332">
        <v>44470</v>
      </c>
      <c r="N138" s="349">
        <v>45383</v>
      </c>
      <c r="O138" s="333" t="s">
        <v>160</v>
      </c>
      <c r="P138" s="369"/>
      <c r="Q138" s="326" t="s">
        <v>632</v>
      </c>
      <c r="R138" s="575"/>
      <c r="S138" s="455">
        <f t="shared" si="6"/>
        <v>0</v>
      </c>
      <c r="T138" s="577"/>
      <c r="U138" s="451"/>
      <c r="V138" s="451"/>
      <c r="W138" s="460"/>
      <c r="X138" s="106"/>
      <c r="Y138" s="451"/>
      <c r="Z138" s="278"/>
      <c r="AA138" s="451"/>
      <c r="AB138" s="451"/>
      <c r="AC138" s="106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  <c r="HN138" s="74"/>
      <c r="HO138" s="74"/>
      <c r="HP138" s="74"/>
      <c r="HQ138" s="74"/>
      <c r="HR138" s="74"/>
      <c r="HS138" s="74"/>
      <c r="HT138" s="74"/>
    </row>
    <row r="139" spans="1:228" s="413" customFormat="1" ht="42.75" customHeight="1" hidden="1" outlineLevel="2">
      <c r="A139" s="351"/>
      <c r="B139" s="792" t="s">
        <v>529</v>
      </c>
      <c r="C139" s="793"/>
      <c r="D139" s="351">
        <v>13</v>
      </c>
      <c r="E139" s="326" t="s">
        <v>307</v>
      </c>
      <c r="F139" s="351"/>
      <c r="G139" s="351"/>
      <c r="H139" s="367"/>
      <c r="I139" s="583">
        <v>1</v>
      </c>
      <c r="J139" s="583">
        <v>0</v>
      </c>
      <c r="K139" s="368" t="s">
        <v>8</v>
      </c>
      <c r="L139" s="351" t="s">
        <v>132</v>
      </c>
      <c r="M139" s="332">
        <v>44470</v>
      </c>
      <c r="N139" s="349">
        <v>45383</v>
      </c>
      <c r="O139" s="333" t="s">
        <v>160</v>
      </c>
      <c r="P139" s="369"/>
      <c r="Q139" s="326" t="s">
        <v>632</v>
      </c>
      <c r="R139" s="575"/>
      <c r="S139" s="455">
        <f t="shared" si="6"/>
        <v>0</v>
      </c>
      <c r="T139" s="577"/>
      <c r="U139" s="451"/>
      <c r="V139" s="451"/>
      <c r="W139" s="460"/>
      <c r="X139" s="106"/>
      <c r="Y139" s="451"/>
      <c r="Z139" s="278"/>
      <c r="AA139" s="451"/>
      <c r="AB139" s="451"/>
      <c r="AC139" s="106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</row>
    <row r="140" spans="1:228" s="413" customFormat="1" ht="42.75" customHeight="1" hidden="1" outlineLevel="2">
      <c r="A140" s="351"/>
      <c r="B140" s="786" t="s">
        <v>530</v>
      </c>
      <c r="C140" s="787"/>
      <c r="D140" s="584">
        <v>16</v>
      </c>
      <c r="E140" s="351" t="s">
        <v>307</v>
      </c>
      <c r="F140" s="351"/>
      <c r="G140" s="351"/>
      <c r="H140" s="367"/>
      <c r="I140" s="583">
        <v>1</v>
      </c>
      <c r="J140" s="583">
        <v>0</v>
      </c>
      <c r="K140" s="368" t="s">
        <v>8</v>
      </c>
      <c r="L140" s="351" t="s">
        <v>132</v>
      </c>
      <c r="M140" s="332">
        <v>44470</v>
      </c>
      <c r="N140" s="349">
        <v>45383</v>
      </c>
      <c r="O140" s="369" t="s">
        <v>160</v>
      </c>
      <c r="P140" s="369"/>
      <c r="Q140" s="326" t="s">
        <v>632</v>
      </c>
      <c r="R140" s="575"/>
      <c r="S140" s="455">
        <f t="shared" si="6"/>
        <v>0</v>
      </c>
      <c r="T140" s="577"/>
      <c r="U140" s="451"/>
      <c r="V140" s="451"/>
      <c r="W140" s="460"/>
      <c r="X140" s="106"/>
      <c r="Y140" s="451"/>
      <c r="Z140" s="278"/>
      <c r="AA140" s="451"/>
      <c r="AB140" s="451"/>
      <c r="AC140" s="106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  <c r="HN140" s="74"/>
      <c r="HO140" s="74"/>
      <c r="HP140" s="74"/>
      <c r="HQ140" s="74"/>
      <c r="HR140" s="74"/>
      <c r="HS140" s="74"/>
      <c r="HT140" s="74"/>
    </row>
    <row r="141" spans="1:228" s="413" customFormat="1" ht="42.75" customHeight="1" hidden="1" outlineLevel="2">
      <c r="A141" s="351"/>
      <c r="B141" s="792" t="s">
        <v>531</v>
      </c>
      <c r="C141" s="793"/>
      <c r="D141" s="351">
        <v>17</v>
      </c>
      <c r="E141" s="326" t="s">
        <v>307</v>
      </c>
      <c r="F141" s="351"/>
      <c r="G141" s="351"/>
      <c r="H141" s="367"/>
      <c r="I141" s="583">
        <v>1</v>
      </c>
      <c r="J141" s="583">
        <v>0</v>
      </c>
      <c r="K141" s="368" t="s">
        <v>8</v>
      </c>
      <c r="L141" s="351" t="s">
        <v>132</v>
      </c>
      <c r="M141" s="332">
        <v>44470</v>
      </c>
      <c r="N141" s="349">
        <v>45383</v>
      </c>
      <c r="O141" s="333" t="s">
        <v>160</v>
      </c>
      <c r="P141" s="369"/>
      <c r="Q141" s="326" t="s">
        <v>632</v>
      </c>
      <c r="R141" s="575"/>
      <c r="S141" s="455">
        <f t="shared" si="6"/>
        <v>0</v>
      </c>
      <c r="T141" s="577"/>
      <c r="U141" s="451"/>
      <c r="V141" s="451"/>
      <c r="W141" s="460"/>
      <c r="X141" s="106"/>
      <c r="Y141" s="451"/>
      <c r="Z141" s="278"/>
      <c r="AA141" s="451"/>
      <c r="AB141" s="451"/>
      <c r="AC141" s="106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74"/>
      <c r="HJ141" s="74"/>
      <c r="HK141" s="74"/>
      <c r="HL141" s="74"/>
      <c r="HM141" s="74"/>
      <c r="HN141" s="74"/>
      <c r="HO141" s="74"/>
      <c r="HP141" s="74"/>
      <c r="HQ141" s="74"/>
      <c r="HR141" s="74"/>
      <c r="HS141" s="74"/>
      <c r="HT141" s="74"/>
    </row>
    <row r="142" spans="1:228" s="413" customFormat="1" ht="42.75" customHeight="1" hidden="1" outlineLevel="2">
      <c r="A142" s="351"/>
      <c r="B142" s="792" t="s">
        <v>532</v>
      </c>
      <c r="C142" s="793"/>
      <c r="D142" s="351">
        <v>18</v>
      </c>
      <c r="E142" s="326" t="s">
        <v>307</v>
      </c>
      <c r="F142" s="351"/>
      <c r="G142" s="351"/>
      <c r="H142" s="367"/>
      <c r="I142" s="583">
        <v>1</v>
      </c>
      <c r="J142" s="583">
        <v>0</v>
      </c>
      <c r="K142" s="368" t="s">
        <v>8</v>
      </c>
      <c r="L142" s="351" t="s">
        <v>132</v>
      </c>
      <c r="M142" s="332">
        <v>44470</v>
      </c>
      <c r="N142" s="349">
        <v>45383</v>
      </c>
      <c r="O142" s="333" t="s">
        <v>160</v>
      </c>
      <c r="P142" s="369"/>
      <c r="Q142" s="326" t="s">
        <v>632</v>
      </c>
      <c r="R142" s="575"/>
      <c r="S142" s="455">
        <f t="shared" si="6"/>
        <v>0</v>
      </c>
      <c r="T142" s="577"/>
      <c r="U142" s="451"/>
      <c r="V142" s="451"/>
      <c r="W142" s="460"/>
      <c r="X142" s="106"/>
      <c r="Y142" s="451"/>
      <c r="Z142" s="278"/>
      <c r="AA142" s="451"/>
      <c r="AB142" s="451"/>
      <c r="AC142" s="106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  <c r="HP142" s="74"/>
      <c r="HQ142" s="74"/>
      <c r="HR142" s="74"/>
      <c r="HS142" s="74"/>
      <c r="HT142" s="74"/>
    </row>
    <row r="143" spans="1:228" s="106" customFormat="1" ht="42.75" customHeight="1" hidden="1" outlineLevel="2">
      <c r="A143" s="351"/>
      <c r="B143" s="792" t="s">
        <v>534</v>
      </c>
      <c r="C143" s="793"/>
      <c r="D143" s="326">
        <v>21</v>
      </c>
      <c r="E143" s="326" t="s">
        <v>307</v>
      </c>
      <c r="F143" s="351"/>
      <c r="G143" s="351"/>
      <c r="H143" s="367"/>
      <c r="I143" s="583">
        <v>1</v>
      </c>
      <c r="J143" s="583">
        <v>0</v>
      </c>
      <c r="K143" s="368" t="s">
        <v>8</v>
      </c>
      <c r="L143" s="351" t="s">
        <v>132</v>
      </c>
      <c r="M143" s="332">
        <v>44470</v>
      </c>
      <c r="N143" s="349">
        <v>45383</v>
      </c>
      <c r="O143" s="333" t="s">
        <v>160</v>
      </c>
      <c r="P143" s="369"/>
      <c r="Q143" s="326" t="s">
        <v>632</v>
      </c>
      <c r="R143" s="575"/>
      <c r="S143" s="455">
        <f t="shared" si="6"/>
        <v>0</v>
      </c>
      <c r="T143" s="577"/>
      <c r="U143" s="451"/>
      <c r="V143" s="451"/>
      <c r="W143" s="574"/>
      <c r="X143" s="74"/>
      <c r="Y143" s="451"/>
      <c r="Z143" s="278"/>
      <c r="AA143" s="451"/>
      <c r="AB143" s="451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74"/>
      <c r="HJ143" s="74"/>
      <c r="HK143" s="74"/>
      <c r="HL143" s="74"/>
      <c r="HM143" s="74"/>
      <c r="HN143" s="74"/>
      <c r="HO143" s="74"/>
      <c r="HP143" s="74"/>
      <c r="HQ143" s="74"/>
      <c r="HR143" s="74"/>
      <c r="HS143" s="74"/>
      <c r="HT143" s="74"/>
    </row>
    <row r="144" spans="1:228" s="106" customFormat="1" ht="42.75" customHeight="1" hidden="1" outlineLevel="2">
      <c r="A144" s="351"/>
      <c r="B144" s="786" t="s">
        <v>540</v>
      </c>
      <c r="C144" s="787" t="s">
        <v>408</v>
      </c>
      <c r="D144" s="351">
        <v>29</v>
      </c>
      <c r="E144" s="326" t="s">
        <v>307</v>
      </c>
      <c r="F144" s="413"/>
      <c r="G144" s="413"/>
      <c r="H144" s="367"/>
      <c r="I144" s="583">
        <v>1</v>
      </c>
      <c r="J144" s="583">
        <v>0</v>
      </c>
      <c r="K144" s="368" t="s">
        <v>329</v>
      </c>
      <c r="L144" s="351" t="s">
        <v>132</v>
      </c>
      <c r="M144" s="332">
        <v>44470</v>
      </c>
      <c r="N144" s="349">
        <v>45383</v>
      </c>
      <c r="O144" s="333" t="s">
        <v>160</v>
      </c>
      <c r="P144" s="413"/>
      <c r="Q144" s="326" t="s">
        <v>632</v>
      </c>
      <c r="R144" s="575"/>
      <c r="S144" s="455">
        <f t="shared" si="6"/>
        <v>0</v>
      </c>
      <c r="T144" s="577"/>
      <c r="U144" s="451"/>
      <c r="V144" s="451"/>
      <c r="W144" s="574"/>
      <c r="X144" s="74"/>
      <c r="Y144" s="451"/>
      <c r="Z144" s="278"/>
      <c r="AA144" s="451"/>
      <c r="AB144" s="451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</row>
    <row r="145" spans="1:28" s="278" customFormat="1" ht="42.75" customHeight="1" outlineLevel="2">
      <c r="A145" s="344" t="s">
        <v>463</v>
      </c>
      <c r="B145" s="788" t="s">
        <v>439</v>
      </c>
      <c r="C145" s="789"/>
      <c r="D145" s="344"/>
      <c r="E145" s="344" t="s">
        <v>149</v>
      </c>
      <c r="F145" s="344"/>
      <c r="G145" s="344"/>
      <c r="H145" s="346">
        <v>105000</v>
      </c>
      <c r="I145" s="347">
        <v>1</v>
      </c>
      <c r="J145" s="347">
        <v>0</v>
      </c>
      <c r="K145" s="348" t="s">
        <v>329</v>
      </c>
      <c r="L145" s="344" t="s">
        <v>132</v>
      </c>
      <c r="M145" s="349">
        <v>44107</v>
      </c>
      <c r="N145" s="349">
        <v>45383</v>
      </c>
      <c r="O145" s="350" t="s">
        <v>160</v>
      </c>
      <c r="P145" s="350"/>
      <c r="Q145" s="344" t="s">
        <v>404</v>
      </c>
      <c r="R145" s="475"/>
      <c r="S145" s="456">
        <f t="shared" si="6"/>
        <v>525000</v>
      </c>
      <c r="T145" s="576"/>
      <c r="U145" s="451"/>
      <c r="V145" s="451"/>
      <c r="W145" s="451"/>
      <c r="X145" s="451"/>
      <c r="Y145" s="451"/>
      <c r="AA145" s="451"/>
      <c r="AB145" s="451"/>
    </row>
    <row r="146" spans="1:29" ht="42.75" customHeight="1" hidden="1" outlineLevel="2">
      <c r="A146" s="351"/>
      <c r="B146" s="786" t="s">
        <v>439</v>
      </c>
      <c r="C146" s="787"/>
      <c r="D146" s="326"/>
      <c r="E146" s="351" t="s">
        <v>149</v>
      </c>
      <c r="F146" s="351"/>
      <c r="G146" s="351"/>
      <c r="H146" s="415">
        <v>165000</v>
      </c>
      <c r="I146" s="583">
        <v>1</v>
      </c>
      <c r="J146" s="583">
        <v>0</v>
      </c>
      <c r="K146" s="368" t="s">
        <v>329</v>
      </c>
      <c r="L146" s="351" t="s">
        <v>149</v>
      </c>
      <c r="M146" s="366">
        <v>44136</v>
      </c>
      <c r="N146" s="349">
        <v>45383</v>
      </c>
      <c r="O146" s="369" t="s">
        <v>160</v>
      </c>
      <c r="P146" s="369"/>
      <c r="Q146" s="326" t="s">
        <v>632</v>
      </c>
      <c r="R146" s="575"/>
      <c r="S146" s="455">
        <f t="shared" si="6"/>
        <v>825000</v>
      </c>
      <c r="T146" s="577"/>
      <c r="U146" s="451"/>
      <c r="V146" s="451"/>
      <c r="W146" s="460"/>
      <c r="X146" s="451"/>
      <c r="Y146" s="106"/>
      <c r="Z146" s="278"/>
      <c r="AA146" s="451"/>
      <c r="AB146" s="451"/>
      <c r="AC146" s="106"/>
    </row>
    <row r="147" spans="1:29" ht="42.75" customHeight="1" hidden="1" outlineLevel="2">
      <c r="A147" s="351"/>
      <c r="B147" s="792" t="s">
        <v>606</v>
      </c>
      <c r="C147" s="793"/>
      <c r="D147" s="351">
        <v>19</v>
      </c>
      <c r="E147" s="326" t="s">
        <v>307</v>
      </c>
      <c r="F147" s="351"/>
      <c r="G147" s="351"/>
      <c r="H147" s="367"/>
      <c r="I147" s="583">
        <v>1</v>
      </c>
      <c r="J147" s="583">
        <v>0</v>
      </c>
      <c r="K147" s="368" t="s">
        <v>8</v>
      </c>
      <c r="L147" s="351" t="s">
        <v>132</v>
      </c>
      <c r="M147" s="332">
        <v>44470</v>
      </c>
      <c r="N147" s="349">
        <v>45383</v>
      </c>
      <c r="O147" s="333"/>
      <c r="P147" s="369"/>
      <c r="Q147" s="326" t="s">
        <v>632</v>
      </c>
      <c r="R147" s="575"/>
      <c r="S147" s="455">
        <f t="shared" si="6"/>
        <v>0</v>
      </c>
      <c r="T147" s="577"/>
      <c r="U147" s="451"/>
      <c r="V147" s="451"/>
      <c r="W147" s="460"/>
      <c r="X147" s="451"/>
      <c r="Y147" s="106"/>
      <c r="Z147" s="278"/>
      <c r="AA147" s="451"/>
      <c r="AB147" s="451"/>
      <c r="AC147" s="106"/>
    </row>
    <row r="148" spans="1:28" s="278" customFormat="1" ht="42.75" customHeight="1" outlineLevel="2">
      <c r="A148" s="344" t="s">
        <v>464</v>
      </c>
      <c r="B148" s="788" t="s">
        <v>440</v>
      </c>
      <c r="C148" s="789"/>
      <c r="D148" s="344"/>
      <c r="E148" s="344" t="s">
        <v>149</v>
      </c>
      <c r="F148" s="344"/>
      <c r="G148" s="344"/>
      <c r="H148" s="346">
        <v>460000</v>
      </c>
      <c r="I148" s="347">
        <v>1</v>
      </c>
      <c r="J148" s="347">
        <v>0</v>
      </c>
      <c r="K148" s="348" t="s">
        <v>329</v>
      </c>
      <c r="L148" s="344" t="s">
        <v>132</v>
      </c>
      <c r="M148" s="349">
        <v>44136</v>
      </c>
      <c r="N148" s="349">
        <v>45383</v>
      </c>
      <c r="O148" s="350" t="s">
        <v>160</v>
      </c>
      <c r="P148" s="350"/>
      <c r="Q148" s="344" t="s">
        <v>404</v>
      </c>
      <c r="R148" s="475"/>
      <c r="S148" s="456">
        <f>H148*5</f>
        <v>2300000</v>
      </c>
      <c r="T148" s="576"/>
      <c r="U148" s="451"/>
      <c r="V148" s="451"/>
      <c r="W148" s="451"/>
      <c r="X148" s="451"/>
      <c r="Y148" s="451"/>
      <c r="AA148" s="451"/>
      <c r="AB148" s="451"/>
    </row>
    <row r="149" spans="1:28" s="114" customFormat="1" ht="42.75" customHeight="1" hidden="1" outlineLevel="2">
      <c r="A149" s="78" t="s">
        <v>515</v>
      </c>
      <c r="B149" s="798" t="s">
        <v>440</v>
      </c>
      <c r="C149" s="799"/>
      <c r="D149" s="78"/>
      <c r="E149" s="78" t="s">
        <v>149</v>
      </c>
      <c r="F149" s="78"/>
      <c r="G149" s="78"/>
      <c r="H149" s="217"/>
      <c r="I149" s="259">
        <v>1</v>
      </c>
      <c r="J149" s="259">
        <v>0</v>
      </c>
      <c r="K149" s="145" t="s">
        <v>329</v>
      </c>
      <c r="L149" s="78" t="s">
        <v>132</v>
      </c>
      <c r="M149" s="146">
        <v>44136</v>
      </c>
      <c r="N149" s="349">
        <v>45383</v>
      </c>
      <c r="O149" s="515" t="s">
        <v>160</v>
      </c>
      <c r="P149" s="515"/>
      <c r="Q149" s="78" t="s">
        <v>632</v>
      </c>
      <c r="R149" s="516"/>
      <c r="S149" s="455">
        <f>H149*5</f>
        <v>0</v>
      </c>
      <c r="T149" s="578"/>
      <c r="U149" s="451"/>
      <c r="V149" s="451"/>
      <c r="W149" s="462"/>
      <c r="X149" s="451"/>
      <c r="Y149" s="451"/>
      <c r="Z149" s="278"/>
      <c r="AA149" s="451"/>
      <c r="AB149" s="451"/>
    </row>
    <row r="150" spans="1:29" s="114" customFormat="1" ht="42.75" customHeight="1" hidden="1" outlineLevel="2">
      <c r="A150" s="158"/>
      <c r="B150" s="796" t="s">
        <v>509</v>
      </c>
      <c r="C150" s="797" t="s">
        <v>408</v>
      </c>
      <c r="D150" s="158">
        <v>5</v>
      </c>
      <c r="E150" s="78" t="s">
        <v>307</v>
      </c>
      <c r="F150" s="159"/>
      <c r="G150" s="159"/>
      <c r="H150" s="218"/>
      <c r="I150" s="405">
        <v>1</v>
      </c>
      <c r="J150" s="405">
        <v>0</v>
      </c>
      <c r="K150" s="161" t="s">
        <v>329</v>
      </c>
      <c r="L150" s="158" t="s">
        <v>132</v>
      </c>
      <c r="M150" s="146">
        <v>44470</v>
      </c>
      <c r="N150" s="349">
        <v>45383</v>
      </c>
      <c r="O150" s="515"/>
      <c r="P150" s="159"/>
      <c r="Q150" s="78" t="s">
        <v>632</v>
      </c>
      <c r="R150" s="516"/>
      <c r="S150" s="455">
        <f>H150*5</f>
        <v>0</v>
      </c>
      <c r="T150" s="578"/>
      <c r="U150" s="451"/>
      <c r="V150" s="451"/>
      <c r="W150" s="461"/>
      <c r="X150" s="451"/>
      <c r="Y150" s="451"/>
      <c r="Z150" s="278"/>
      <c r="AA150" s="451"/>
      <c r="AB150" s="451"/>
      <c r="AC150" s="72"/>
    </row>
    <row r="151" spans="1:28" s="114" customFormat="1" ht="42.75" customHeight="1" hidden="1" outlineLevel="2">
      <c r="A151" s="158" t="s">
        <v>516</v>
      </c>
      <c r="B151" s="796" t="s">
        <v>610</v>
      </c>
      <c r="C151" s="797"/>
      <c r="D151" s="158">
        <v>15</v>
      </c>
      <c r="E151" s="158" t="s">
        <v>307</v>
      </c>
      <c r="F151" s="158"/>
      <c r="G151" s="158"/>
      <c r="H151" s="218"/>
      <c r="I151" s="405">
        <v>1</v>
      </c>
      <c r="J151" s="405">
        <v>0</v>
      </c>
      <c r="K151" s="161" t="s">
        <v>8</v>
      </c>
      <c r="L151" s="158" t="s">
        <v>132</v>
      </c>
      <c r="M151" s="146">
        <v>44470</v>
      </c>
      <c r="N151" s="349">
        <v>45383</v>
      </c>
      <c r="O151" s="162"/>
      <c r="P151" s="162"/>
      <c r="Q151" s="78" t="s">
        <v>632</v>
      </c>
      <c r="R151" s="516"/>
      <c r="S151" s="455">
        <f>H151*5</f>
        <v>0</v>
      </c>
      <c r="T151" s="578"/>
      <c r="U151" s="451"/>
      <c r="V151" s="451"/>
      <c r="W151" s="462"/>
      <c r="X151" s="451"/>
      <c r="Y151" s="451"/>
      <c r="Z151" s="278"/>
      <c r="AA151" s="451"/>
      <c r="AB151" s="451"/>
    </row>
    <row r="152" spans="1:28" s="278" customFormat="1" ht="42.75" customHeight="1" outlineLevel="2">
      <c r="A152" s="344" t="s">
        <v>465</v>
      </c>
      <c r="B152" s="788" t="s">
        <v>544</v>
      </c>
      <c r="C152" s="789"/>
      <c r="D152" s="414"/>
      <c r="E152" s="344" t="s">
        <v>149</v>
      </c>
      <c r="F152" s="414"/>
      <c r="G152" s="414"/>
      <c r="H152" s="346">
        <v>141500</v>
      </c>
      <c r="I152" s="347">
        <v>1</v>
      </c>
      <c r="J152" s="347">
        <v>0</v>
      </c>
      <c r="K152" s="348" t="s">
        <v>329</v>
      </c>
      <c r="L152" s="344" t="s">
        <v>132</v>
      </c>
      <c r="M152" s="349">
        <v>44137</v>
      </c>
      <c r="N152" s="349">
        <v>45383</v>
      </c>
      <c r="O152" s="350" t="s">
        <v>160</v>
      </c>
      <c r="P152" s="414"/>
      <c r="Q152" s="344" t="s">
        <v>404</v>
      </c>
      <c r="R152" s="475"/>
      <c r="S152" s="456">
        <f aca="true" t="shared" si="7" ref="S152:S181">H152*5</f>
        <v>707500</v>
      </c>
      <c r="T152" s="576"/>
      <c r="U152" s="451"/>
      <c r="V152" s="451"/>
      <c r="W152" s="451"/>
      <c r="X152" s="451"/>
      <c r="Y152" s="451"/>
      <c r="AA152" s="451"/>
      <c r="AB152" s="451"/>
    </row>
    <row r="153" spans="1:28" s="114" customFormat="1" ht="42.75" customHeight="1" hidden="1" outlineLevel="2">
      <c r="A153" s="78"/>
      <c r="B153" s="798" t="s">
        <v>510</v>
      </c>
      <c r="C153" s="799"/>
      <c r="D153" s="174"/>
      <c r="E153" s="78" t="s">
        <v>149</v>
      </c>
      <c r="F153" s="174"/>
      <c r="G153" s="174"/>
      <c r="H153" s="218"/>
      <c r="I153" s="259">
        <v>1</v>
      </c>
      <c r="J153" s="259">
        <v>0</v>
      </c>
      <c r="K153" s="145" t="s">
        <v>329</v>
      </c>
      <c r="L153" s="78" t="s">
        <v>132</v>
      </c>
      <c r="M153" s="146">
        <v>44137</v>
      </c>
      <c r="N153" s="349">
        <v>45383</v>
      </c>
      <c r="O153" s="453" t="s">
        <v>160</v>
      </c>
      <c r="P153" s="174"/>
      <c r="Q153" s="78" t="s">
        <v>632</v>
      </c>
      <c r="R153" s="478"/>
      <c r="S153" s="455">
        <f t="shared" si="7"/>
        <v>0</v>
      </c>
      <c r="T153" s="578"/>
      <c r="U153" s="451"/>
      <c r="V153" s="451"/>
      <c r="W153" s="462"/>
      <c r="X153" s="451"/>
      <c r="Y153" s="462"/>
      <c r="Z153" s="278"/>
      <c r="AA153" s="451"/>
      <c r="AB153" s="451"/>
    </row>
    <row r="154" spans="1:28" s="114" customFormat="1" ht="42.75" customHeight="1" hidden="1" outlineLevel="2">
      <c r="A154" s="78"/>
      <c r="B154" s="798" t="s">
        <v>598</v>
      </c>
      <c r="C154" s="799" t="s">
        <v>408</v>
      </c>
      <c r="D154" s="78">
        <v>11</v>
      </c>
      <c r="E154" s="78" t="s">
        <v>307</v>
      </c>
      <c r="F154" s="174"/>
      <c r="G154" s="174"/>
      <c r="H154" s="218"/>
      <c r="I154" s="259">
        <v>1</v>
      </c>
      <c r="J154" s="259">
        <v>0</v>
      </c>
      <c r="K154" s="145" t="s">
        <v>329</v>
      </c>
      <c r="L154" s="78" t="s">
        <v>132</v>
      </c>
      <c r="M154" s="146">
        <v>44470</v>
      </c>
      <c r="N154" s="349">
        <v>45383</v>
      </c>
      <c r="O154" s="453" t="s">
        <v>160</v>
      </c>
      <c r="P154" s="174"/>
      <c r="Q154" s="78" t="s">
        <v>632</v>
      </c>
      <c r="R154" s="478"/>
      <c r="S154" s="455">
        <f t="shared" si="7"/>
        <v>0</v>
      </c>
      <c r="T154" s="578"/>
      <c r="U154" s="451"/>
      <c r="V154" s="451"/>
      <c r="W154" s="462"/>
      <c r="X154" s="451"/>
      <c r="Y154" s="462"/>
      <c r="Z154" s="278"/>
      <c r="AA154" s="451"/>
      <c r="AB154" s="451"/>
    </row>
    <row r="155" spans="1:29" s="72" customFormat="1" ht="42.75" customHeight="1" hidden="1" outlineLevel="2">
      <c r="A155" s="78"/>
      <c r="B155" s="796" t="s">
        <v>546</v>
      </c>
      <c r="C155" s="797" t="s">
        <v>408</v>
      </c>
      <c r="D155" s="78">
        <v>20</v>
      </c>
      <c r="E155" s="78" t="s">
        <v>307</v>
      </c>
      <c r="F155" s="174"/>
      <c r="G155" s="174"/>
      <c r="H155" s="218"/>
      <c r="I155" s="405">
        <v>1</v>
      </c>
      <c r="J155" s="405">
        <v>0</v>
      </c>
      <c r="K155" s="161" t="s">
        <v>8</v>
      </c>
      <c r="L155" s="158" t="s">
        <v>132</v>
      </c>
      <c r="M155" s="146">
        <v>44470</v>
      </c>
      <c r="N155" s="349">
        <v>45383</v>
      </c>
      <c r="O155" s="453" t="s">
        <v>160</v>
      </c>
      <c r="P155" s="162"/>
      <c r="Q155" s="78" t="s">
        <v>632</v>
      </c>
      <c r="R155" s="478"/>
      <c r="S155" s="455">
        <f t="shared" si="7"/>
        <v>0</v>
      </c>
      <c r="T155" s="578"/>
      <c r="U155" s="451"/>
      <c r="V155" s="451"/>
      <c r="W155" s="462"/>
      <c r="X155" s="451"/>
      <c r="Y155" s="114"/>
      <c r="Z155" s="278"/>
      <c r="AA155" s="451"/>
      <c r="AB155" s="451"/>
      <c r="AC155" s="114"/>
    </row>
    <row r="156" spans="1:29" s="72" customFormat="1" ht="42.75" customHeight="1" hidden="1" outlineLevel="2">
      <c r="A156" s="78"/>
      <c r="B156" s="796" t="s">
        <v>611</v>
      </c>
      <c r="C156" s="797" t="s">
        <v>408</v>
      </c>
      <c r="D156" s="78">
        <v>22</v>
      </c>
      <c r="E156" s="78" t="s">
        <v>307</v>
      </c>
      <c r="F156" s="174"/>
      <c r="G156" s="174"/>
      <c r="H156" s="218"/>
      <c r="I156" s="405">
        <v>1</v>
      </c>
      <c r="J156" s="405">
        <v>0</v>
      </c>
      <c r="K156" s="161" t="s">
        <v>8</v>
      </c>
      <c r="L156" s="158" t="s">
        <v>132</v>
      </c>
      <c r="M156" s="146">
        <v>44470</v>
      </c>
      <c r="N156" s="349">
        <v>45383</v>
      </c>
      <c r="O156" s="453" t="s">
        <v>160</v>
      </c>
      <c r="P156" s="162"/>
      <c r="Q156" s="78" t="s">
        <v>632</v>
      </c>
      <c r="R156" s="478"/>
      <c r="S156" s="455">
        <f t="shared" si="7"/>
        <v>0</v>
      </c>
      <c r="T156" s="578"/>
      <c r="U156" s="451"/>
      <c r="V156" s="451"/>
      <c r="W156" s="462"/>
      <c r="X156" s="451"/>
      <c r="Y156" s="114"/>
      <c r="Z156" s="278"/>
      <c r="AA156" s="451"/>
      <c r="AB156" s="451"/>
      <c r="AC156" s="114"/>
    </row>
    <row r="157" spans="1:28" s="278" customFormat="1" ht="54" customHeight="1" outlineLevel="2">
      <c r="A157" s="344" t="s">
        <v>466</v>
      </c>
      <c r="B157" s="788" t="s">
        <v>441</v>
      </c>
      <c r="C157" s="789"/>
      <c r="D157" s="414"/>
      <c r="E157" s="344" t="s">
        <v>149</v>
      </c>
      <c r="F157" s="414"/>
      <c r="G157" s="414"/>
      <c r="H157" s="346">
        <v>849566.1546666699</v>
      </c>
      <c r="I157" s="347">
        <v>1</v>
      </c>
      <c r="J157" s="347">
        <v>0</v>
      </c>
      <c r="K157" s="348" t="s">
        <v>329</v>
      </c>
      <c r="L157" s="344" t="s">
        <v>132</v>
      </c>
      <c r="M157" s="349">
        <v>44256</v>
      </c>
      <c r="N157" s="349">
        <v>45383</v>
      </c>
      <c r="O157" s="350" t="s">
        <v>160</v>
      </c>
      <c r="P157" s="414"/>
      <c r="Q157" s="344" t="s">
        <v>404</v>
      </c>
      <c r="R157" s="475"/>
      <c r="S157" s="456">
        <f t="shared" si="7"/>
        <v>4247830.773333349</v>
      </c>
      <c r="T157" s="576"/>
      <c r="U157" s="451"/>
      <c r="V157" s="451"/>
      <c r="W157" s="451"/>
      <c r="X157" s="451"/>
      <c r="Y157" s="451"/>
      <c r="AA157" s="451"/>
      <c r="AB157" s="451"/>
    </row>
    <row r="158" spans="1:28" ht="42.75" customHeight="1" hidden="1" outlineLevel="2">
      <c r="A158" s="351"/>
      <c r="B158" s="792" t="s">
        <v>441</v>
      </c>
      <c r="C158" s="793"/>
      <c r="D158" s="413"/>
      <c r="E158" s="351" t="s">
        <v>149</v>
      </c>
      <c r="F158" s="413"/>
      <c r="G158" s="413"/>
      <c r="H158" s="329"/>
      <c r="I158" s="583">
        <v>1</v>
      </c>
      <c r="J158" s="583">
        <v>0</v>
      </c>
      <c r="K158" s="368" t="s">
        <v>8</v>
      </c>
      <c r="L158" s="351" t="s">
        <v>132</v>
      </c>
      <c r="M158" s="332">
        <v>44256</v>
      </c>
      <c r="N158" s="349">
        <v>45383</v>
      </c>
      <c r="O158" s="333" t="s">
        <v>160</v>
      </c>
      <c r="P158" s="413"/>
      <c r="Q158" s="326" t="s">
        <v>632</v>
      </c>
      <c r="R158" s="475"/>
      <c r="S158" s="455">
        <f t="shared" si="7"/>
        <v>0</v>
      </c>
      <c r="T158" s="577"/>
      <c r="U158" s="451"/>
      <c r="V158" s="451"/>
      <c r="W158" s="574"/>
      <c r="X158" s="451"/>
      <c r="Y158" s="451"/>
      <c r="Z158" s="278"/>
      <c r="AA158" s="451"/>
      <c r="AB158" s="451"/>
    </row>
    <row r="159" spans="1:28" ht="42.75" customHeight="1" hidden="1" outlineLevel="2">
      <c r="A159" s="351"/>
      <c r="B159" s="792" t="s">
        <v>511</v>
      </c>
      <c r="C159" s="793" t="s">
        <v>408</v>
      </c>
      <c r="D159" s="351">
        <v>7</v>
      </c>
      <c r="E159" s="326" t="s">
        <v>149</v>
      </c>
      <c r="F159" s="413"/>
      <c r="G159" s="413"/>
      <c r="H159" s="329"/>
      <c r="I159" s="583">
        <v>1</v>
      </c>
      <c r="J159" s="583">
        <v>0</v>
      </c>
      <c r="K159" s="368" t="s">
        <v>329</v>
      </c>
      <c r="L159" s="351" t="s">
        <v>132</v>
      </c>
      <c r="M159" s="332">
        <v>44348</v>
      </c>
      <c r="N159" s="349">
        <v>45383</v>
      </c>
      <c r="O159" s="333" t="s">
        <v>160</v>
      </c>
      <c r="P159" s="413"/>
      <c r="Q159" s="326" t="s">
        <v>632</v>
      </c>
      <c r="R159" s="475"/>
      <c r="S159" s="455">
        <f t="shared" si="7"/>
        <v>0</v>
      </c>
      <c r="T159" s="577"/>
      <c r="U159" s="451"/>
      <c r="V159" s="451"/>
      <c r="W159" s="574"/>
      <c r="X159" s="451"/>
      <c r="Y159" s="451"/>
      <c r="Z159" s="278"/>
      <c r="AA159" s="451"/>
      <c r="AB159" s="451"/>
    </row>
    <row r="160" spans="1:28" s="278" customFormat="1" ht="42.75" customHeight="1" outlineLevel="2">
      <c r="A160" s="344" t="s">
        <v>467</v>
      </c>
      <c r="B160" s="788" t="s">
        <v>442</v>
      </c>
      <c r="C160" s="789" t="s">
        <v>442</v>
      </c>
      <c r="D160" s="414"/>
      <c r="E160" s="344" t="s">
        <v>149</v>
      </c>
      <c r="F160" s="414"/>
      <c r="G160" s="414"/>
      <c r="H160" s="346">
        <v>915377.6633333331</v>
      </c>
      <c r="I160" s="347">
        <v>1</v>
      </c>
      <c r="J160" s="347">
        <v>0</v>
      </c>
      <c r="K160" s="348" t="s">
        <v>329</v>
      </c>
      <c r="L160" s="344" t="s">
        <v>132</v>
      </c>
      <c r="M160" s="349">
        <v>44256</v>
      </c>
      <c r="N160" s="349">
        <v>45383</v>
      </c>
      <c r="O160" s="350" t="s">
        <v>160</v>
      </c>
      <c r="P160" s="414"/>
      <c r="Q160" s="344" t="s">
        <v>404</v>
      </c>
      <c r="R160" s="475"/>
      <c r="S160" s="456">
        <f t="shared" si="7"/>
        <v>4576888.3166666655</v>
      </c>
      <c r="T160" s="576"/>
      <c r="U160" s="451"/>
      <c r="V160" s="451"/>
      <c r="W160" s="451"/>
      <c r="X160" s="451"/>
      <c r="Y160" s="451"/>
      <c r="AA160" s="451"/>
      <c r="AB160" s="451"/>
    </row>
    <row r="161" spans="1:28" ht="42.75" customHeight="1" hidden="1" outlineLevel="2">
      <c r="A161" s="351"/>
      <c r="B161" s="792" t="s">
        <v>442</v>
      </c>
      <c r="C161" s="793" t="s">
        <v>442</v>
      </c>
      <c r="D161" s="413"/>
      <c r="E161" s="351" t="s">
        <v>149</v>
      </c>
      <c r="F161" s="413"/>
      <c r="G161" s="413"/>
      <c r="H161" s="415"/>
      <c r="I161" s="583">
        <v>1</v>
      </c>
      <c r="J161" s="583">
        <v>0</v>
      </c>
      <c r="K161" s="368" t="s">
        <v>329</v>
      </c>
      <c r="L161" s="351" t="s">
        <v>149</v>
      </c>
      <c r="M161" s="366">
        <v>44256</v>
      </c>
      <c r="N161" s="349">
        <v>45383</v>
      </c>
      <c r="O161" s="369" t="s">
        <v>160</v>
      </c>
      <c r="P161" s="413"/>
      <c r="Q161" s="351" t="s">
        <v>404</v>
      </c>
      <c r="R161" s="575"/>
      <c r="S161" s="455">
        <f t="shared" si="7"/>
        <v>0</v>
      </c>
      <c r="T161" s="577"/>
      <c r="U161" s="451"/>
      <c r="V161" s="451"/>
      <c r="W161" s="574"/>
      <c r="X161" s="451"/>
      <c r="Y161" s="574"/>
      <c r="Z161" s="278"/>
      <c r="AA161" s="451"/>
      <c r="AB161" s="451"/>
    </row>
    <row r="162" spans="1:228" s="106" customFormat="1" ht="42.75" customHeight="1" hidden="1" outlineLevel="2">
      <c r="A162" s="351"/>
      <c r="B162" s="792" t="s">
        <v>538</v>
      </c>
      <c r="C162" s="793" t="s">
        <v>408</v>
      </c>
      <c r="D162" s="351">
        <v>8</v>
      </c>
      <c r="E162" s="326" t="s">
        <v>307</v>
      </c>
      <c r="F162" s="413"/>
      <c r="G162" s="413"/>
      <c r="H162" s="367"/>
      <c r="I162" s="583">
        <v>1</v>
      </c>
      <c r="J162" s="583">
        <v>0</v>
      </c>
      <c r="K162" s="368" t="s">
        <v>329</v>
      </c>
      <c r="L162" s="351" t="s">
        <v>132</v>
      </c>
      <c r="M162" s="332">
        <v>44470</v>
      </c>
      <c r="N162" s="349">
        <v>45383</v>
      </c>
      <c r="O162" s="333"/>
      <c r="P162" s="413"/>
      <c r="Q162" s="326" t="s">
        <v>632</v>
      </c>
      <c r="R162" s="575"/>
      <c r="S162" s="455">
        <f t="shared" si="7"/>
        <v>0</v>
      </c>
      <c r="T162" s="577"/>
      <c r="U162" s="451"/>
      <c r="V162" s="451"/>
      <c r="W162" s="574"/>
      <c r="X162" s="451"/>
      <c r="Y162" s="574"/>
      <c r="Z162" s="278"/>
      <c r="AA162" s="451"/>
      <c r="AB162" s="451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GL162" s="74"/>
      <c r="GM162" s="74"/>
      <c r="GN162" s="74"/>
      <c r="GO162" s="74"/>
      <c r="GP162" s="74"/>
      <c r="GQ162" s="74"/>
      <c r="GR162" s="74"/>
      <c r="GS162" s="74"/>
      <c r="GT162" s="74"/>
      <c r="GU162" s="74"/>
      <c r="GV162" s="74"/>
      <c r="GW162" s="74"/>
      <c r="GX162" s="74"/>
      <c r="GY162" s="74"/>
      <c r="GZ162" s="74"/>
      <c r="HA162" s="74"/>
      <c r="HB162" s="74"/>
      <c r="HC162" s="74"/>
      <c r="HD162" s="74"/>
      <c r="HE162" s="74"/>
      <c r="HF162" s="74"/>
      <c r="HG162" s="74"/>
      <c r="HH162" s="74"/>
      <c r="HI162" s="74"/>
      <c r="HJ162" s="74"/>
      <c r="HK162" s="74"/>
      <c r="HL162" s="74"/>
      <c r="HM162" s="74"/>
      <c r="HN162" s="74"/>
      <c r="HO162" s="74"/>
      <c r="HP162" s="74"/>
      <c r="HQ162" s="74"/>
      <c r="HR162" s="74"/>
      <c r="HS162" s="74"/>
      <c r="HT162" s="74"/>
    </row>
    <row r="163" spans="1:228" s="106" customFormat="1" ht="42.75" customHeight="1" hidden="1" outlineLevel="2">
      <c r="A163" s="351"/>
      <c r="B163" s="786" t="s">
        <v>539</v>
      </c>
      <c r="C163" s="787" t="s">
        <v>408</v>
      </c>
      <c r="D163" s="584">
        <v>14</v>
      </c>
      <c r="E163" s="351" t="s">
        <v>307</v>
      </c>
      <c r="F163" s="413"/>
      <c r="G163" s="413"/>
      <c r="H163" s="367"/>
      <c r="I163" s="583">
        <v>1</v>
      </c>
      <c r="J163" s="583">
        <v>0</v>
      </c>
      <c r="K163" s="368" t="s">
        <v>329</v>
      </c>
      <c r="L163" s="351" t="s">
        <v>132</v>
      </c>
      <c r="M163" s="332">
        <v>44470</v>
      </c>
      <c r="N163" s="349">
        <v>45383</v>
      </c>
      <c r="O163" s="369"/>
      <c r="P163" s="413"/>
      <c r="Q163" s="326" t="s">
        <v>632</v>
      </c>
      <c r="R163" s="575"/>
      <c r="S163" s="455">
        <f t="shared" si="7"/>
        <v>0</v>
      </c>
      <c r="T163" s="577"/>
      <c r="U163" s="451"/>
      <c r="V163" s="451"/>
      <c r="W163" s="574"/>
      <c r="X163" s="451"/>
      <c r="Y163" s="574"/>
      <c r="Z163" s="278"/>
      <c r="AA163" s="451"/>
      <c r="AB163" s="451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GL163" s="74"/>
      <c r="GM163" s="74"/>
      <c r="GN163" s="74"/>
      <c r="GO163" s="74"/>
      <c r="GP163" s="74"/>
      <c r="GQ163" s="74"/>
      <c r="GR163" s="74"/>
      <c r="GS163" s="74"/>
      <c r="GT163" s="74"/>
      <c r="GU163" s="74"/>
      <c r="GV163" s="74"/>
      <c r="GW163" s="74"/>
      <c r="GX163" s="74"/>
      <c r="GY163" s="74"/>
      <c r="GZ163" s="74"/>
      <c r="HA163" s="74"/>
      <c r="HB163" s="74"/>
      <c r="HC163" s="74"/>
      <c r="HD163" s="74"/>
      <c r="HE163" s="74"/>
      <c r="HF163" s="74"/>
      <c r="HG163" s="74"/>
      <c r="HH163" s="74"/>
      <c r="HI163" s="74"/>
      <c r="HJ163" s="74"/>
      <c r="HK163" s="74"/>
      <c r="HL163" s="74"/>
      <c r="HM163" s="74"/>
      <c r="HN163" s="74"/>
      <c r="HO163" s="74"/>
      <c r="HP163" s="74"/>
      <c r="HQ163" s="74"/>
      <c r="HR163" s="74"/>
      <c r="HS163" s="74"/>
      <c r="HT163" s="74"/>
    </row>
    <row r="164" spans="1:28" s="278" customFormat="1" ht="42.75" customHeight="1" outlineLevel="2">
      <c r="A164" s="344" t="s">
        <v>468</v>
      </c>
      <c r="B164" s="788" t="s">
        <v>443</v>
      </c>
      <c r="C164" s="789" t="s">
        <v>443</v>
      </c>
      <c r="D164" s="414"/>
      <c r="E164" s="344" t="s">
        <v>149</v>
      </c>
      <c r="F164" s="414"/>
      <c r="G164" s="414"/>
      <c r="H164" s="346">
        <v>310000</v>
      </c>
      <c r="I164" s="347">
        <v>1</v>
      </c>
      <c r="J164" s="347">
        <v>0</v>
      </c>
      <c r="K164" s="348" t="s">
        <v>329</v>
      </c>
      <c r="L164" s="344" t="s">
        <v>132</v>
      </c>
      <c r="M164" s="349">
        <v>44256</v>
      </c>
      <c r="N164" s="349">
        <v>45383</v>
      </c>
      <c r="O164" s="350" t="s">
        <v>160</v>
      </c>
      <c r="P164" s="414"/>
      <c r="Q164" s="344" t="s">
        <v>404</v>
      </c>
      <c r="R164" s="475"/>
      <c r="S164" s="456">
        <f t="shared" si="7"/>
        <v>1550000</v>
      </c>
      <c r="T164" s="576"/>
      <c r="U164" s="451"/>
      <c r="V164" s="451"/>
      <c r="W164" s="451"/>
      <c r="X164" s="451"/>
      <c r="Y164" s="451"/>
      <c r="AA164" s="451"/>
      <c r="AB164" s="451"/>
    </row>
    <row r="165" spans="1:28" s="278" customFormat="1" ht="42.75" customHeight="1" outlineLevel="2">
      <c r="A165" s="344" t="s">
        <v>469</v>
      </c>
      <c r="B165" s="788" t="s">
        <v>444</v>
      </c>
      <c r="C165" s="789" t="s">
        <v>444</v>
      </c>
      <c r="D165" s="414"/>
      <c r="E165" s="344" t="s">
        <v>149</v>
      </c>
      <c r="F165" s="414"/>
      <c r="G165" s="414"/>
      <c r="H165" s="346">
        <v>25700</v>
      </c>
      <c r="I165" s="347">
        <v>1</v>
      </c>
      <c r="J165" s="347">
        <v>0</v>
      </c>
      <c r="K165" s="348" t="s">
        <v>329</v>
      </c>
      <c r="L165" s="344" t="s">
        <v>132</v>
      </c>
      <c r="M165" s="349">
        <v>44256</v>
      </c>
      <c r="N165" s="349">
        <v>45383</v>
      </c>
      <c r="O165" s="350" t="s">
        <v>160</v>
      </c>
      <c r="P165" s="414"/>
      <c r="Q165" s="344" t="s">
        <v>404</v>
      </c>
      <c r="R165" s="475"/>
      <c r="S165" s="456">
        <f t="shared" si="7"/>
        <v>128500</v>
      </c>
      <c r="T165" s="576"/>
      <c r="U165" s="451"/>
      <c r="V165" s="451"/>
      <c r="W165" s="451"/>
      <c r="X165" s="451"/>
      <c r="Y165" s="451"/>
      <c r="AA165" s="451"/>
      <c r="AB165" s="451"/>
    </row>
    <row r="166" spans="1:28" s="278" customFormat="1" ht="42.75" customHeight="1" outlineLevel="2">
      <c r="A166" s="344" t="s">
        <v>470</v>
      </c>
      <c r="B166" s="788" t="s">
        <v>445</v>
      </c>
      <c r="C166" s="789" t="s">
        <v>445</v>
      </c>
      <c r="D166" s="414"/>
      <c r="E166" s="344" t="s">
        <v>149</v>
      </c>
      <c r="F166" s="414"/>
      <c r="G166" s="414"/>
      <c r="H166" s="346">
        <v>20000</v>
      </c>
      <c r="I166" s="347">
        <v>1</v>
      </c>
      <c r="J166" s="347">
        <v>0</v>
      </c>
      <c r="K166" s="348" t="s">
        <v>329</v>
      </c>
      <c r="L166" s="344" t="s">
        <v>132</v>
      </c>
      <c r="M166" s="349">
        <v>44256</v>
      </c>
      <c r="N166" s="349">
        <v>45383</v>
      </c>
      <c r="O166" s="350" t="s">
        <v>160</v>
      </c>
      <c r="P166" s="414"/>
      <c r="Q166" s="344" t="s">
        <v>404</v>
      </c>
      <c r="R166" s="475"/>
      <c r="S166" s="456">
        <f t="shared" si="7"/>
        <v>100000</v>
      </c>
      <c r="T166" s="576"/>
      <c r="U166" s="451"/>
      <c r="V166" s="451"/>
      <c r="W166" s="451"/>
      <c r="X166" s="451"/>
      <c r="Y166" s="451"/>
      <c r="AA166" s="451"/>
      <c r="AB166" s="451"/>
    </row>
    <row r="167" spans="1:28" s="278" customFormat="1" ht="52.5" customHeight="1">
      <c r="A167" s="344" t="s">
        <v>471</v>
      </c>
      <c r="B167" s="788" t="s">
        <v>446</v>
      </c>
      <c r="C167" s="789" t="s">
        <v>446</v>
      </c>
      <c r="D167" s="414"/>
      <c r="E167" s="344" t="s">
        <v>149</v>
      </c>
      <c r="F167" s="414"/>
      <c r="G167" s="414"/>
      <c r="H167" s="346">
        <v>154800</v>
      </c>
      <c r="I167" s="347">
        <v>1</v>
      </c>
      <c r="J167" s="347">
        <v>0</v>
      </c>
      <c r="K167" s="348" t="s">
        <v>329</v>
      </c>
      <c r="L167" s="344" t="s">
        <v>132</v>
      </c>
      <c r="M167" s="349">
        <v>44348</v>
      </c>
      <c r="N167" s="349">
        <v>45383</v>
      </c>
      <c r="O167" s="350" t="s">
        <v>160</v>
      </c>
      <c r="P167" s="414"/>
      <c r="Q167" s="344" t="s">
        <v>404</v>
      </c>
      <c r="R167" s="475"/>
      <c r="S167" s="456">
        <f t="shared" si="7"/>
        <v>774000</v>
      </c>
      <c r="T167" s="576"/>
      <c r="U167" s="451"/>
      <c r="V167" s="451"/>
      <c r="W167" s="451"/>
      <c r="X167" s="451"/>
      <c r="Y167" s="451"/>
      <c r="AA167" s="451"/>
      <c r="AB167" s="451"/>
    </row>
    <row r="168" spans="1:228" s="278" customFormat="1" ht="53.25" customHeight="1" hidden="1" outlineLevel="1">
      <c r="A168" s="326" t="s">
        <v>548</v>
      </c>
      <c r="B168" s="786" t="s">
        <v>446</v>
      </c>
      <c r="C168" s="787" t="s">
        <v>446</v>
      </c>
      <c r="D168" s="335"/>
      <c r="E168" s="326" t="s">
        <v>149</v>
      </c>
      <c r="F168" s="335"/>
      <c r="G168" s="335"/>
      <c r="H168" s="415"/>
      <c r="I168" s="583">
        <v>1</v>
      </c>
      <c r="J168" s="583">
        <v>0</v>
      </c>
      <c r="K168" s="368" t="s">
        <v>329</v>
      </c>
      <c r="L168" s="351" t="s">
        <v>132</v>
      </c>
      <c r="M168" s="332">
        <v>44470</v>
      </c>
      <c r="N168" s="349">
        <v>45383</v>
      </c>
      <c r="O168" s="333" t="s">
        <v>160</v>
      </c>
      <c r="P168" s="335"/>
      <c r="Q168" s="326" t="s">
        <v>632</v>
      </c>
      <c r="R168" s="575"/>
      <c r="S168" s="455">
        <f t="shared" si="7"/>
        <v>0</v>
      </c>
      <c r="T168" s="577"/>
      <c r="U168" s="451"/>
      <c r="V168" s="451"/>
      <c r="W168" s="460"/>
      <c r="X168" s="451"/>
      <c r="Y168" s="106"/>
      <c r="AA168" s="451"/>
      <c r="AB168" s="451"/>
      <c r="AC168" s="106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GL168" s="74"/>
      <c r="GM168" s="74"/>
      <c r="GN168" s="74"/>
      <c r="GO168" s="74"/>
      <c r="GP168" s="74"/>
      <c r="GQ168" s="74"/>
      <c r="GR168" s="74"/>
      <c r="GS168" s="74"/>
      <c r="GT168" s="74"/>
      <c r="GU168" s="74"/>
      <c r="GV168" s="74"/>
      <c r="GW168" s="74"/>
      <c r="GX168" s="74"/>
      <c r="GY168" s="74"/>
      <c r="GZ168" s="74"/>
      <c r="HA168" s="74"/>
      <c r="HB168" s="74"/>
      <c r="HC168" s="74"/>
      <c r="HD168" s="74"/>
      <c r="HE168" s="74"/>
      <c r="HF168" s="74"/>
      <c r="HG168" s="74"/>
      <c r="HH168" s="74"/>
      <c r="HI168" s="74"/>
      <c r="HJ168" s="74"/>
      <c r="HK168" s="74"/>
      <c r="HL168" s="74"/>
      <c r="HM168" s="74"/>
      <c r="HN168" s="74"/>
      <c r="HO168" s="74"/>
      <c r="HP168" s="74"/>
      <c r="HQ168" s="74"/>
      <c r="HR168" s="74"/>
      <c r="HS168" s="74"/>
      <c r="HT168" s="74"/>
    </row>
    <row r="169" spans="1:228" s="278" customFormat="1" ht="53.25" customHeight="1" hidden="1" outlineLevel="1">
      <c r="A169" s="326" t="s">
        <v>549</v>
      </c>
      <c r="B169" s="786" t="s">
        <v>542</v>
      </c>
      <c r="C169" s="787" t="s">
        <v>445</v>
      </c>
      <c r="D169" s="584">
        <v>9</v>
      </c>
      <c r="E169" s="351" t="s">
        <v>307</v>
      </c>
      <c r="F169" s="413"/>
      <c r="G169" s="413"/>
      <c r="H169" s="367"/>
      <c r="I169" s="583">
        <v>1</v>
      </c>
      <c r="J169" s="583">
        <v>0</v>
      </c>
      <c r="K169" s="368" t="s">
        <v>329</v>
      </c>
      <c r="L169" s="351" t="s">
        <v>132</v>
      </c>
      <c r="M169" s="332">
        <v>44470</v>
      </c>
      <c r="N169" s="349">
        <v>45383</v>
      </c>
      <c r="O169" s="369"/>
      <c r="P169" s="413"/>
      <c r="Q169" s="326" t="s">
        <v>632</v>
      </c>
      <c r="R169" s="575"/>
      <c r="S169" s="455">
        <f t="shared" si="7"/>
        <v>0</v>
      </c>
      <c r="T169" s="577"/>
      <c r="U169" s="451"/>
      <c r="V169" s="451"/>
      <c r="W169" s="460"/>
      <c r="X169" s="451"/>
      <c r="Y169" s="106"/>
      <c r="AA169" s="451"/>
      <c r="AB169" s="451"/>
      <c r="AC169" s="106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74"/>
      <c r="GX169" s="74"/>
      <c r="GY169" s="74"/>
      <c r="GZ169" s="74"/>
      <c r="HA169" s="74"/>
      <c r="HB169" s="74"/>
      <c r="HC169" s="74"/>
      <c r="HD169" s="74"/>
      <c r="HE169" s="74"/>
      <c r="HF169" s="74"/>
      <c r="HG169" s="74"/>
      <c r="HH169" s="74"/>
      <c r="HI169" s="74"/>
      <c r="HJ169" s="74"/>
      <c r="HK169" s="74"/>
      <c r="HL169" s="74"/>
      <c r="HM169" s="74"/>
      <c r="HN169" s="74"/>
      <c r="HO169" s="74"/>
      <c r="HP169" s="74"/>
      <c r="HQ169" s="74"/>
      <c r="HR169" s="74"/>
      <c r="HS169" s="74"/>
      <c r="HT169" s="74"/>
    </row>
    <row r="170" spans="1:28" s="278" customFormat="1" ht="53.25" customHeight="1" outlineLevel="1">
      <c r="A170" s="344" t="s">
        <v>472</v>
      </c>
      <c r="B170" s="788" t="s">
        <v>447</v>
      </c>
      <c r="C170" s="789" t="s">
        <v>447</v>
      </c>
      <c r="D170" s="414"/>
      <c r="E170" s="344" t="s">
        <v>149</v>
      </c>
      <c r="F170" s="414"/>
      <c r="G170" s="414"/>
      <c r="H170" s="346">
        <v>1043795.7980000002</v>
      </c>
      <c r="I170" s="347">
        <v>1</v>
      </c>
      <c r="J170" s="347">
        <v>0</v>
      </c>
      <c r="K170" s="348" t="s">
        <v>329</v>
      </c>
      <c r="L170" s="344" t="s">
        <v>132</v>
      </c>
      <c r="M170" s="349">
        <v>44256</v>
      </c>
      <c r="N170" s="349">
        <v>45383</v>
      </c>
      <c r="O170" s="350" t="s">
        <v>160</v>
      </c>
      <c r="P170" s="414"/>
      <c r="Q170" s="344" t="s">
        <v>404</v>
      </c>
      <c r="R170" s="475"/>
      <c r="S170" s="456">
        <f t="shared" si="7"/>
        <v>5218978.990000001</v>
      </c>
      <c r="T170" s="576"/>
      <c r="U170" s="451"/>
      <c r="V170" s="451"/>
      <c r="W170" s="451"/>
      <c r="X170" s="451"/>
      <c r="Y170" s="451"/>
      <c r="AA170" s="451"/>
      <c r="AB170" s="451"/>
    </row>
    <row r="171" spans="1:28" s="278" customFormat="1" ht="53.25" customHeight="1" outlineLevel="1">
      <c r="A171" s="344" t="s">
        <v>473</v>
      </c>
      <c r="B171" s="788" t="s">
        <v>552</v>
      </c>
      <c r="C171" s="789" t="s">
        <v>447</v>
      </c>
      <c r="D171" s="414"/>
      <c r="E171" s="344" t="s">
        <v>413</v>
      </c>
      <c r="F171" s="414"/>
      <c r="G171" s="414"/>
      <c r="H171" s="346">
        <f>SUM(H172:H177)</f>
        <v>1803900</v>
      </c>
      <c r="I171" s="347">
        <v>1</v>
      </c>
      <c r="J171" s="347">
        <v>0</v>
      </c>
      <c r="K171" s="348" t="s">
        <v>329</v>
      </c>
      <c r="L171" s="344" t="s">
        <v>132</v>
      </c>
      <c r="M171" s="349">
        <v>44256</v>
      </c>
      <c r="N171" s="349">
        <v>45383</v>
      </c>
      <c r="O171" s="350"/>
      <c r="P171" s="414"/>
      <c r="Q171" s="344" t="s">
        <v>404</v>
      </c>
      <c r="R171" s="475"/>
      <c r="S171" s="456">
        <f t="shared" si="7"/>
        <v>9019500</v>
      </c>
      <c r="T171" s="576"/>
      <c r="U171" s="451"/>
      <c r="V171" s="451"/>
      <c r="W171" s="451"/>
      <c r="AA171" s="451"/>
      <c r="AB171" s="451"/>
    </row>
    <row r="172" spans="1:28" s="106" customFormat="1" ht="53.25" customHeight="1" outlineLevel="1">
      <c r="A172" s="326" t="s">
        <v>554</v>
      </c>
      <c r="B172" s="786" t="s">
        <v>556</v>
      </c>
      <c r="C172" s="787" t="s">
        <v>447</v>
      </c>
      <c r="D172" s="335"/>
      <c r="E172" s="326" t="s">
        <v>149</v>
      </c>
      <c r="F172" s="335"/>
      <c r="G172" s="335"/>
      <c r="H172" s="329">
        <v>1215000</v>
      </c>
      <c r="I172" s="330">
        <v>1</v>
      </c>
      <c r="J172" s="330">
        <v>0</v>
      </c>
      <c r="K172" s="331" t="s">
        <v>8</v>
      </c>
      <c r="L172" s="326" t="s">
        <v>132</v>
      </c>
      <c r="M172" s="332">
        <v>44348</v>
      </c>
      <c r="N172" s="332">
        <v>45383</v>
      </c>
      <c r="O172" s="333" t="s">
        <v>160</v>
      </c>
      <c r="P172" s="335"/>
      <c r="Q172" s="326" t="s">
        <v>404</v>
      </c>
      <c r="R172" s="575"/>
      <c r="S172" s="455">
        <f t="shared" si="7"/>
        <v>6075000</v>
      </c>
      <c r="T172" s="577"/>
      <c r="U172" s="460"/>
      <c r="V172" s="460"/>
      <c r="W172" s="460"/>
      <c r="X172" s="460"/>
      <c r="Y172" s="460"/>
      <c r="AA172" s="460"/>
      <c r="AB172" s="460"/>
    </row>
    <row r="173" spans="1:28" s="106" customFormat="1" ht="53.25" customHeight="1" outlineLevel="1" collapsed="1">
      <c r="A173" s="326" t="s">
        <v>555</v>
      </c>
      <c r="B173" s="786" t="s">
        <v>551</v>
      </c>
      <c r="C173" s="787" t="s">
        <v>447</v>
      </c>
      <c r="D173" s="335"/>
      <c r="E173" s="326" t="s">
        <v>149</v>
      </c>
      <c r="F173" s="335"/>
      <c r="G173" s="335"/>
      <c r="H173" s="329">
        <v>588900</v>
      </c>
      <c r="I173" s="330">
        <v>1</v>
      </c>
      <c r="J173" s="330">
        <v>0</v>
      </c>
      <c r="K173" s="331" t="s">
        <v>8</v>
      </c>
      <c r="L173" s="326" t="s">
        <v>132</v>
      </c>
      <c r="M173" s="332">
        <v>44348</v>
      </c>
      <c r="N173" s="332">
        <v>45383</v>
      </c>
      <c r="O173" s="333" t="s">
        <v>160</v>
      </c>
      <c r="P173" s="335"/>
      <c r="Q173" s="326" t="s">
        <v>404</v>
      </c>
      <c r="R173" s="494"/>
      <c r="S173" s="455">
        <f t="shared" si="7"/>
        <v>2944500</v>
      </c>
      <c r="T173" s="577"/>
      <c r="U173" s="460"/>
      <c r="V173" s="460"/>
      <c r="W173" s="460"/>
      <c r="X173" s="460"/>
      <c r="Y173" s="460"/>
      <c r="AA173" s="460"/>
      <c r="AB173" s="460"/>
    </row>
    <row r="174" spans="1:228" s="114" customFormat="1" ht="42.75" customHeight="1" hidden="1" outlineLevel="2">
      <c r="A174" s="326"/>
      <c r="B174" s="792" t="s">
        <v>553</v>
      </c>
      <c r="C174" s="793" t="s">
        <v>408</v>
      </c>
      <c r="D174" s="326">
        <v>6</v>
      </c>
      <c r="E174" s="326" t="s">
        <v>307</v>
      </c>
      <c r="F174" s="335"/>
      <c r="G174" s="335"/>
      <c r="H174" s="367"/>
      <c r="I174" s="583">
        <v>1</v>
      </c>
      <c r="J174" s="583">
        <v>0</v>
      </c>
      <c r="K174" s="368" t="s">
        <v>8</v>
      </c>
      <c r="L174" s="351" t="s">
        <v>132</v>
      </c>
      <c r="M174" s="332">
        <v>44470</v>
      </c>
      <c r="N174" s="332">
        <v>44805</v>
      </c>
      <c r="O174" s="333"/>
      <c r="P174" s="369"/>
      <c r="Q174" s="326" t="s">
        <v>632</v>
      </c>
      <c r="R174" s="478"/>
      <c r="S174" s="455">
        <f t="shared" si="7"/>
        <v>0</v>
      </c>
      <c r="T174" s="567"/>
      <c r="V174" s="461"/>
      <c r="W174" s="46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GL174" s="72"/>
      <c r="GM174" s="72"/>
      <c r="GN174" s="72"/>
      <c r="GO174" s="72"/>
      <c r="GP174" s="72"/>
      <c r="GQ174" s="72"/>
      <c r="GR174" s="72"/>
      <c r="GS174" s="72"/>
      <c r="GT174" s="72"/>
      <c r="GU174" s="72"/>
      <c r="GV174" s="72"/>
      <c r="GW174" s="72"/>
      <c r="GX174" s="72"/>
      <c r="GY174" s="72"/>
      <c r="GZ174" s="72"/>
      <c r="HA174" s="72"/>
      <c r="HB174" s="72"/>
      <c r="HC174" s="72"/>
      <c r="HD174" s="72"/>
      <c r="HE174" s="72"/>
      <c r="HF174" s="72"/>
      <c r="HG174" s="72"/>
      <c r="HH174" s="72"/>
      <c r="HI174" s="72"/>
      <c r="HJ174" s="72"/>
      <c r="HK174" s="72"/>
      <c r="HL174" s="72"/>
      <c r="HM174" s="72"/>
      <c r="HN174" s="72"/>
      <c r="HO174" s="72"/>
      <c r="HP174" s="72"/>
      <c r="HQ174" s="72"/>
      <c r="HR174" s="72"/>
      <c r="HS174" s="72"/>
      <c r="HT174" s="72"/>
    </row>
    <row r="175" spans="1:228" s="114" customFormat="1" ht="53.25" customHeight="1" hidden="1" outlineLevel="1" collapsed="1">
      <c r="A175" s="326"/>
      <c r="B175" s="792" t="s">
        <v>545</v>
      </c>
      <c r="C175" s="793" t="s">
        <v>408</v>
      </c>
      <c r="D175" s="326">
        <v>23</v>
      </c>
      <c r="E175" s="326" t="s">
        <v>149</v>
      </c>
      <c r="F175" s="335"/>
      <c r="G175" s="335"/>
      <c r="H175" s="367"/>
      <c r="I175" s="583">
        <v>1</v>
      </c>
      <c r="J175" s="583">
        <v>0</v>
      </c>
      <c r="K175" s="368" t="s">
        <v>8</v>
      </c>
      <c r="L175" s="351" t="s">
        <v>132</v>
      </c>
      <c r="M175" s="332">
        <v>44348</v>
      </c>
      <c r="N175" s="332">
        <v>44805</v>
      </c>
      <c r="O175" s="333" t="s">
        <v>160</v>
      </c>
      <c r="P175" s="369"/>
      <c r="Q175" s="326" t="s">
        <v>632</v>
      </c>
      <c r="R175" s="478"/>
      <c r="S175" s="455">
        <f t="shared" si="7"/>
        <v>0</v>
      </c>
      <c r="T175" s="567"/>
      <c r="V175" s="461"/>
      <c r="W175" s="46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GL175" s="72"/>
      <c r="GM175" s="72"/>
      <c r="GN175" s="72"/>
      <c r="GO175" s="72"/>
      <c r="GP175" s="72"/>
      <c r="GQ175" s="72"/>
      <c r="GR175" s="72"/>
      <c r="GS175" s="72"/>
      <c r="GT175" s="72"/>
      <c r="GU175" s="72"/>
      <c r="GV175" s="72"/>
      <c r="GW175" s="72"/>
      <c r="GX175" s="72"/>
      <c r="GY175" s="72"/>
      <c r="GZ175" s="72"/>
      <c r="HA175" s="72"/>
      <c r="HB175" s="72"/>
      <c r="HC175" s="72"/>
      <c r="HD175" s="72"/>
      <c r="HE175" s="72"/>
      <c r="HF175" s="72"/>
      <c r="HG175" s="72"/>
      <c r="HH175" s="72"/>
      <c r="HI175" s="72"/>
      <c r="HJ175" s="72"/>
      <c r="HK175" s="72"/>
      <c r="HL175" s="72"/>
      <c r="HM175" s="72"/>
      <c r="HN175" s="72"/>
      <c r="HO175" s="72"/>
      <c r="HP175" s="72"/>
      <c r="HQ175" s="72"/>
      <c r="HR175" s="72"/>
      <c r="HS175" s="72"/>
      <c r="HT175" s="72"/>
    </row>
    <row r="176" spans="1:228" s="114" customFormat="1" ht="42.75" customHeight="1" hidden="1" outlineLevel="2">
      <c r="A176" s="326"/>
      <c r="B176" s="786" t="s">
        <v>541</v>
      </c>
      <c r="C176" s="787" t="s">
        <v>445</v>
      </c>
      <c r="D176" s="351">
        <v>24</v>
      </c>
      <c r="E176" s="326" t="s">
        <v>149</v>
      </c>
      <c r="F176" s="413"/>
      <c r="G176" s="413"/>
      <c r="H176" s="367"/>
      <c r="I176" s="583">
        <v>1</v>
      </c>
      <c r="J176" s="583">
        <v>0</v>
      </c>
      <c r="K176" s="368" t="s">
        <v>329</v>
      </c>
      <c r="L176" s="351" t="s">
        <v>132</v>
      </c>
      <c r="M176" s="332">
        <v>44470</v>
      </c>
      <c r="N176" s="332">
        <v>44805</v>
      </c>
      <c r="O176" s="333" t="s">
        <v>160</v>
      </c>
      <c r="P176" s="413"/>
      <c r="Q176" s="326" t="s">
        <v>632</v>
      </c>
      <c r="R176" s="478"/>
      <c r="S176" s="455">
        <f t="shared" si="7"/>
        <v>0</v>
      </c>
      <c r="T176" s="567"/>
      <c r="V176" s="461"/>
      <c r="W176" s="46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GL176" s="72"/>
      <c r="GM176" s="72"/>
      <c r="GN176" s="72"/>
      <c r="GO176" s="72"/>
      <c r="GP176" s="72"/>
      <c r="GQ176" s="72"/>
      <c r="GR176" s="72"/>
      <c r="GS176" s="72"/>
      <c r="GT176" s="72"/>
      <c r="GU176" s="72"/>
      <c r="GV176" s="72"/>
      <c r="GW176" s="72"/>
      <c r="GX176" s="72"/>
      <c r="GY176" s="72"/>
      <c r="GZ176" s="72"/>
      <c r="HA176" s="72"/>
      <c r="HB176" s="72"/>
      <c r="HC176" s="72"/>
      <c r="HD176" s="72"/>
      <c r="HE176" s="72"/>
      <c r="HF176" s="72"/>
      <c r="HG176" s="72"/>
      <c r="HH176" s="72"/>
      <c r="HI176" s="72"/>
      <c r="HJ176" s="72"/>
      <c r="HK176" s="72"/>
      <c r="HL176" s="72"/>
      <c r="HM176" s="72"/>
      <c r="HN176" s="72"/>
      <c r="HO176" s="72"/>
      <c r="HP176" s="72"/>
      <c r="HQ176" s="72"/>
      <c r="HR176" s="72"/>
      <c r="HS176" s="72"/>
      <c r="HT176" s="72"/>
    </row>
    <row r="177" spans="1:228" s="114" customFormat="1" ht="42.75" customHeight="1" hidden="1" outlineLevel="2">
      <c r="A177" s="326"/>
      <c r="B177" s="786" t="s">
        <v>543</v>
      </c>
      <c r="C177" s="787" t="s">
        <v>445</v>
      </c>
      <c r="D177" s="351">
        <v>25</v>
      </c>
      <c r="E177" s="326" t="s">
        <v>307</v>
      </c>
      <c r="F177" s="413"/>
      <c r="G177" s="413"/>
      <c r="H177" s="367"/>
      <c r="I177" s="583">
        <v>1</v>
      </c>
      <c r="J177" s="583">
        <v>0</v>
      </c>
      <c r="K177" s="368" t="s">
        <v>329</v>
      </c>
      <c r="L177" s="351" t="s">
        <v>132</v>
      </c>
      <c r="M177" s="332">
        <v>44470</v>
      </c>
      <c r="N177" s="332">
        <v>44805</v>
      </c>
      <c r="O177" s="333"/>
      <c r="P177" s="413"/>
      <c r="Q177" s="326" t="s">
        <v>632</v>
      </c>
      <c r="R177" s="478"/>
      <c r="S177" s="455">
        <f t="shared" si="7"/>
        <v>0</v>
      </c>
      <c r="T177" s="567"/>
      <c r="V177" s="461"/>
      <c r="W177" s="46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GL177" s="72"/>
      <c r="GM177" s="72"/>
      <c r="GN177" s="72"/>
      <c r="GO177" s="72"/>
      <c r="GP177" s="72"/>
      <c r="GQ177" s="72"/>
      <c r="GR177" s="72"/>
      <c r="GS177" s="72"/>
      <c r="GT177" s="72"/>
      <c r="GU177" s="72"/>
      <c r="GV177" s="72"/>
      <c r="GW177" s="72"/>
      <c r="GX177" s="72"/>
      <c r="GY177" s="72"/>
      <c r="GZ177" s="72"/>
      <c r="HA177" s="72"/>
      <c r="HB177" s="72"/>
      <c r="HC177" s="72"/>
      <c r="HD177" s="72"/>
      <c r="HE177" s="72"/>
      <c r="HF177" s="72"/>
      <c r="HG177" s="72"/>
      <c r="HH177" s="72"/>
      <c r="HI177" s="72"/>
      <c r="HJ177" s="72"/>
      <c r="HK177" s="72"/>
      <c r="HL177" s="72"/>
      <c r="HM177" s="72"/>
      <c r="HN177" s="72"/>
      <c r="HO177" s="72"/>
      <c r="HP177" s="72"/>
      <c r="HQ177" s="72"/>
      <c r="HR177" s="72"/>
      <c r="HS177" s="72"/>
      <c r="HT177" s="72"/>
    </row>
    <row r="178" spans="1:25" s="275" customFormat="1" ht="53.25" customHeight="1">
      <c r="A178" s="344" t="s">
        <v>550</v>
      </c>
      <c r="B178" s="788" t="s">
        <v>408</v>
      </c>
      <c r="C178" s="789" t="s">
        <v>408</v>
      </c>
      <c r="D178" s="344">
        <v>1</v>
      </c>
      <c r="E178" s="344" t="s">
        <v>307</v>
      </c>
      <c r="F178" s="414"/>
      <c r="G178" s="414"/>
      <c r="H178" s="346">
        <v>37501.1</v>
      </c>
      <c r="I178" s="347">
        <v>1</v>
      </c>
      <c r="J178" s="347">
        <v>0</v>
      </c>
      <c r="K178" s="348" t="s">
        <v>329</v>
      </c>
      <c r="L178" s="344" t="s">
        <v>132</v>
      </c>
      <c r="M178" s="349">
        <v>44256</v>
      </c>
      <c r="N178" s="349">
        <v>44531</v>
      </c>
      <c r="O178" s="350" t="s">
        <v>160</v>
      </c>
      <c r="P178" s="414"/>
      <c r="Q178" s="344" t="s">
        <v>612</v>
      </c>
      <c r="R178" s="610"/>
      <c r="S178" s="456">
        <f t="shared" si="7"/>
        <v>187505.5</v>
      </c>
      <c r="T178" s="609"/>
      <c r="U178" s="599"/>
      <c r="V178" s="599"/>
      <c r="W178" s="599"/>
      <c r="Y178" s="599"/>
    </row>
    <row r="179" spans="1:28" s="278" customFormat="1" ht="42.75" customHeight="1" outlineLevel="2">
      <c r="A179" s="344" t="s">
        <v>663</v>
      </c>
      <c r="B179" s="788" t="s">
        <v>660</v>
      </c>
      <c r="C179" s="789" t="s">
        <v>443</v>
      </c>
      <c r="D179" s="414"/>
      <c r="E179" s="344" t="s">
        <v>149</v>
      </c>
      <c r="F179" s="414"/>
      <c r="G179" s="414"/>
      <c r="H179" s="346">
        <v>5000</v>
      </c>
      <c r="I179" s="347">
        <v>1</v>
      </c>
      <c r="J179" s="347">
        <v>0</v>
      </c>
      <c r="K179" s="348" t="s">
        <v>329</v>
      </c>
      <c r="L179" s="344" t="s">
        <v>132</v>
      </c>
      <c r="M179" s="349">
        <v>44896</v>
      </c>
      <c r="N179" s="349">
        <v>45383</v>
      </c>
      <c r="O179" s="350" t="s">
        <v>160</v>
      </c>
      <c r="P179" s="414"/>
      <c r="Q179" s="344" t="s">
        <v>404</v>
      </c>
      <c r="R179" s="475"/>
      <c r="S179" s="456">
        <f>H179*5</f>
        <v>25000</v>
      </c>
      <c r="T179" s="576"/>
      <c r="U179" s="451"/>
      <c r="V179" s="451"/>
      <c r="W179" s="451"/>
      <c r="X179" s="451"/>
      <c r="Y179" s="451"/>
      <c r="AA179" s="451"/>
      <c r="AB179" s="451"/>
    </row>
    <row r="180" spans="1:21" s="467" customFormat="1" ht="53.25" customHeight="1" outlineLevel="1">
      <c r="A180" s="391" t="s">
        <v>105</v>
      </c>
      <c r="B180" s="790" t="s">
        <v>500</v>
      </c>
      <c r="C180" s="791"/>
      <c r="D180" s="392"/>
      <c r="E180" s="391"/>
      <c r="F180" s="391"/>
      <c r="G180" s="393"/>
      <c r="H180" s="392">
        <f>H181</f>
        <v>55500000</v>
      </c>
      <c r="I180" s="394">
        <v>0</v>
      </c>
      <c r="J180" s="394">
        <v>1</v>
      </c>
      <c r="K180" s="432"/>
      <c r="L180" s="391"/>
      <c r="M180" s="395"/>
      <c r="N180" s="395"/>
      <c r="O180" s="393"/>
      <c r="P180" s="396"/>
      <c r="Q180" s="396"/>
      <c r="R180" s="479"/>
      <c r="S180" s="457">
        <f t="shared" si="7"/>
        <v>277500000</v>
      </c>
      <c r="T180" s="549"/>
      <c r="U180" s="468"/>
    </row>
    <row r="181" spans="1:20" s="465" customFormat="1" ht="53.25" customHeight="1">
      <c r="A181" s="370" t="s">
        <v>193</v>
      </c>
      <c r="B181" s="794" t="s">
        <v>500</v>
      </c>
      <c r="C181" s="795"/>
      <c r="D181" s="370"/>
      <c r="E181" s="370" t="s">
        <v>149</v>
      </c>
      <c r="F181" s="370"/>
      <c r="G181" s="370"/>
      <c r="H181" s="371">
        <v>55500000</v>
      </c>
      <c r="I181" s="419">
        <v>0</v>
      </c>
      <c r="J181" s="419">
        <v>1</v>
      </c>
      <c r="K181" s="373" t="s">
        <v>9</v>
      </c>
      <c r="L181" s="370" t="s">
        <v>132</v>
      </c>
      <c r="M181" s="374">
        <v>44166</v>
      </c>
      <c r="N181" s="374">
        <v>44197</v>
      </c>
      <c r="O181" s="375" t="s">
        <v>449</v>
      </c>
      <c r="P181" s="375"/>
      <c r="Q181" s="375" t="s">
        <v>612</v>
      </c>
      <c r="R181" s="480"/>
      <c r="S181" s="481">
        <f t="shared" si="7"/>
        <v>277500000</v>
      </c>
      <c r="T181" s="551"/>
    </row>
    <row r="182" spans="1:228" s="114" customFormat="1" ht="53.25" customHeight="1" hidden="1" outlineLevel="1">
      <c r="A182" s="391"/>
      <c r="B182" s="790" t="s">
        <v>261</v>
      </c>
      <c r="C182" s="791"/>
      <c r="D182" s="392"/>
      <c r="E182" s="391" t="s">
        <v>247</v>
      </c>
      <c r="F182" s="391"/>
      <c r="G182" s="393"/>
      <c r="H182" s="392"/>
      <c r="I182" s="394">
        <v>0</v>
      </c>
      <c r="J182" s="394">
        <f>1-I182</f>
        <v>1</v>
      </c>
      <c r="K182" s="432"/>
      <c r="L182" s="391"/>
      <c r="M182" s="395"/>
      <c r="N182" s="395"/>
      <c r="O182" s="393"/>
      <c r="P182" s="396"/>
      <c r="Q182" s="396"/>
      <c r="R182" s="478"/>
      <c r="S182" s="455"/>
      <c r="T182" s="567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GL182" s="72"/>
      <c r="GM182" s="72"/>
      <c r="GN182" s="72"/>
      <c r="GO182" s="72"/>
      <c r="GP182" s="72"/>
      <c r="GQ182" s="72"/>
      <c r="GR182" s="72"/>
      <c r="GS182" s="72"/>
      <c r="GT182" s="72"/>
      <c r="GU182" s="72"/>
      <c r="GV182" s="72"/>
      <c r="GW182" s="72"/>
      <c r="GX182" s="72"/>
      <c r="GY182" s="72"/>
      <c r="GZ182" s="72"/>
      <c r="HA182" s="72"/>
      <c r="HB182" s="72"/>
      <c r="HC182" s="72"/>
      <c r="HD182" s="72"/>
      <c r="HE182" s="72"/>
      <c r="HF182" s="72"/>
      <c r="HG182" s="72"/>
      <c r="HH182" s="72"/>
      <c r="HI182" s="72"/>
      <c r="HJ182" s="72"/>
      <c r="HK182" s="72"/>
      <c r="HL182" s="72"/>
      <c r="HM182" s="72"/>
      <c r="HN182" s="72"/>
      <c r="HO182" s="72"/>
      <c r="HP182" s="72"/>
      <c r="HQ182" s="72"/>
      <c r="HR182" s="72"/>
      <c r="HS182" s="72"/>
      <c r="HT182" s="72"/>
    </row>
    <row r="183" spans="1:228" s="114" customFormat="1" ht="53.25" customHeight="1" hidden="1" outlineLevel="3">
      <c r="A183" s="370"/>
      <c r="B183" s="794" t="s">
        <v>262</v>
      </c>
      <c r="C183" s="795"/>
      <c r="D183" s="371"/>
      <c r="E183" s="370" t="s">
        <v>149</v>
      </c>
      <c r="F183" s="370"/>
      <c r="G183" s="579"/>
      <c r="H183" s="371"/>
      <c r="I183" s="419">
        <v>0</v>
      </c>
      <c r="J183" s="419">
        <v>1</v>
      </c>
      <c r="K183" s="373" t="s">
        <v>0</v>
      </c>
      <c r="L183" s="370" t="s">
        <v>149</v>
      </c>
      <c r="M183" s="374">
        <v>43983</v>
      </c>
      <c r="N183" s="374">
        <v>44348</v>
      </c>
      <c r="O183" s="375"/>
      <c r="P183" s="375"/>
      <c r="Q183" s="375" t="s">
        <v>6</v>
      </c>
      <c r="R183" s="487"/>
      <c r="S183" s="456"/>
      <c r="T183" s="553"/>
      <c r="U183" s="271"/>
      <c r="V183" s="271"/>
      <c r="W183" s="271"/>
      <c r="X183" s="271"/>
      <c r="Y183" s="271"/>
      <c r="Z183" s="271"/>
      <c r="AA183" s="271"/>
      <c r="AB183" s="271"/>
      <c r="AC183" s="271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GL183" s="72"/>
      <c r="GM183" s="72"/>
      <c r="GN183" s="72"/>
      <c r="GO183" s="72"/>
      <c r="GP183" s="72"/>
      <c r="GQ183" s="72"/>
      <c r="GR183" s="72"/>
      <c r="GS183" s="72"/>
      <c r="GT183" s="72"/>
      <c r="GU183" s="72"/>
      <c r="GV183" s="72"/>
      <c r="GW183" s="72"/>
      <c r="GX183" s="72"/>
      <c r="GY183" s="72"/>
      <c r="GZ183" s="72"/>
      <c r="HA183" s="72"/>
      <c r="HB183" s="72"/>
      <c r="HC183" s="72"/>
      <c r="HD183" s="72"/>
      <c r="HE183" s="72"/>
      <c r="HF183" s="72"/>
      <c r="HG183" s="72"/>
      <c r="HH183" s="72"/>
      <c r="HI183" s="72"/>
      <c r="HJ183" s="72"/>
      <c r="HK183" s="72"/>
      <c r="HL183" s="72"/>
      <c r="HM183" s="72"/>
      <c r="HN183" s="72"/>
      <c r="HO183" s="72"/>
      <c r="HP183" s="72"/>
      <c r="HQ183" s="72"/>
      <c r="HR183" s="72"/>
      <c r="HS183" s="72"/>
      <c r="HT183" s="72"/>
    </row>
    <row r="184" spans="1:228" s="114" customFormat="1" ht="38.25" customHeight="1" hidden="1" outlineLevel="3">
      <c r="A184" s="370"/>
      <c r="B184" s="794" t="s">
        <v>263</v>
      </c>
      <c r="C184" s="795"/>
      <c r="D184" s="371"/>
      <c r="E184" s="370" t="s">
        <v>149</v>
      </c>
      <c r="F184" s="370"/>
      <c r="G184" s="579"/>
      <c r="H184" s="371"/>
      <c r="I184" s="419">
        <v>0</v>
      </c>
      <c r="J184" s="419">
        <v>1</v>
      </c>
      <c r="K184" s="373" t="s">
        <v>8</v>
      </c>
      <c r="L184" s="370" t="s">
        <v>149</v>
      </c>
      <c r="M184" s="374">
        <v>44197</v>
      </c>
      <c r="N184" s="374">
        <v>44318</v>
      </c>
      <c r="O184" s="375" t="s">
        <v>160</v>
      </c>
      <c r="P184" s="375"/>
      <c r="Q184" s="375" t="s">
        <v>6</v>
      </c>
      <c r="R184" s="478"/>
      <c r="S184" s="455"/>
      <c r="T184" s="567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GL184" s="72"/>
      <c r="GM184" s="72"/>
      <c r="GN184" s="72"/>
      <c r="GO184" s="72"/>
      <c r="GP184" s="72"/>
      <c r="GQ184" s="72"/>
      <c r="GR184" s="72"/>
      <c r="GS184" s="72"/>
      <c r="GT184" s="72"/>
      <c r="GU184" s="72"/>
      <c r="GV184" s="72"/>
      <c r="GW184" s="72"/>
      <c r="GX184" s="72"/>
      <c r="GY184" s="72"/>
      <c r="GZ184" s="72"/>
      <c r="HA184" s="72"/>
      <c r="HB184" s="72"/>
      <c r="HC184" s="72"/>
      <c r="HD184" s="72"/>
      <c r="HE184" s="72"/>
      <c r="HF184" s="72"/>
      <c r="HG184" s="72"/>
      <c r="HH184" s="72"/>
      <c r="HI184" s="72"/>
      <c r="HJ184" s="72"/>
      <c r="HK184" s="72"/>
      <c r="HL184" s="72"/>
      <c r="HM184" s="72"/>
      <c r="HN184" s="72"/>
      <c r="HO184" s="72"/>
      <c r="HP184" s="72"/>
      <c r="HQ184" s="72"/>
      <c r="HR184" s="72"/>
      <c r="HS184" s="72"/>
      <c r="HT184" s="72"/>
    </row>
    <row r="185" spans="1:228" s="114" customFormat="1" ht="38.25" customHeight="1" hidden="1" outlineLevel="3">
      <c r="A185" s="391"/>
      <c r="B185" s="790" t="s">
        <v>296</v>
      </c>
      <c r="C185" s="791"/>
      <c r="D185" s="392"/>
      <c r="E185" s="423"/>
      <c r="F185" s="423"/>
      <c r="G185" s="428"/>
      <c r="H185" s="392"/>
      <c r="I185" s="433">
        <v>0</v>
      </c>
      <c r="J185" s="433">
        <v>1</v>
      </c>
      <c r="K185" s="434"/>
      <c r="L185" s="423"/>
      <c r="M185" s="427"/>
      <c r="N185" s="427"/>
      <c r="O185" s="428"/>
      <c r="P185" s="429"/>
      <c r="Q185" s="429"/>
      <c r="R185" s="487"/>
      <c r="S185" s="456"/>
      <c r="T185" s="553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GL185" s="72"/>
      <c r="GM185" s="72"/>
      <c r="GN185" s="72"/>
      <c r="GO185" s="72"/>
      <c r="GP185" s="72"/>
      <c r="GQ185" s="72"/>
      <c r="GR185" s="72"/>
      <c r="GS185" s="72"/>
      <c r="GT185" s="72"/>
      <c r="GU185" s="72"/>
      <c r="GV185" s="72"/>
      <c r="GW185" s="72"/>
      <c r="GX185" s="72"/>
      <c r="GY185" s="72"/>
      <c r="GZ185" s="72"/>
      <c r="HA185" s="72"/>
      <c r="HB185" s="72"/>
      <c r="HC185" s="72"/>
      <c r="HD185" s="72"/>
      <c r="HE185" s="72"/>
      <c r="HF185" s="72"/>
      <c r="HG185" s="72"/>
      <c r="HH185" s="72"/>
      <c r="HI185" s="72"/>
      <c r="HJ185" s="72"/>
      <c r="HK185" s="72"/>
      <c r="HL185" s="72"/>
      <c r="HM185" s="72"/>
      <c r="HN185" s="72"/>
      <c r="HO185" s="72"/>
      <c r="HP185" s="72"/>
      <c r="HQ185" s="72"/>
      <c r="HR185" s="72"/>
      <c r="HS185" s="72"/>
      <c r="HT185" s="72"/>
    </row>
    <row r="186" spans="1:228" s="114" customFormat="1" ht="37.5" customHeight="1" hidden="1" outlineLevel="3">
      <c r="A186" s="370"/>
      <c r="B186" s="794" t="s">
        <v>296</v>
      </c>
      <c r="C186" s="795"/>
      <c r="D186" s="371"/>
      <c r="E186" s="370" t="s">
        <v>149</v>
      </c>
      <c r="F186" s="370"/>
      <c r="G186" s="579"/>
      <c r="H186" s="371"/>
      <c r="I186" s="419">
        <v>0</v>
      </c>
      <c r="J186" s="419">
        <v>1</v>
      </c>
      <c r="K186" s="373" t="s">
        <v>8</v>
      </c>
      <c r="L186" s="370" t="s">
        <v>149</v>
      </c>
      <c r="M186" s="374">
        <v>44105</v>
      </c>
      <c r="N186" s="374">
        <v>44256</v>
      </c>
      <c r="O186" s="375" t="s">
        <v>160</v>
      </c>
      <c r="P186" s="375"/>
      <c r="Q186" s="375" t="s">
        <v>6</v>
      </c>
      <c r="R186" s="478"/>
      <c r="S186" s="455"/>
      <c r="T186" s="567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GL186" s="72"/>
      <c r="GM186" s="72"/>
      <c r="GN186" s="72"/>
      <c r="GO186" s="72"/>
      <c r="GP186" s="72"/>
      <c r="GQ186" s="72"/>
      <c r="GR186" s="72"/>
      <c r="GS186" s="72"/>
      <c r="GT186" s="72"/>
      <c r="GU186" s="72"/>
      <c r="GV186" s="72"/>
      <c r="GW186" s="72"/>
      <c r="GX186" s="72"/>
      <c r="GY186" s="72"/>
      <c r="GZ186" s="72"/>
      <c r="HA186" s="72"/>
      <c r="HB186" s="72"/>
      <c r="HC186" s="72"/>
      <c r="HD186" s="72"/>
      <c r="HE186" s="72"/>
      <c r="HF186" s="72"/>
      <c r="HG186" s="72"/>
      <c r="HH186" s="72"/>
      <c r="HI186" s="72"/>
      <c r="HJ186" s="72"/>
      <c r="HK186" s="72"/>
      <c r="HL186" s="72"/>
      <c r="HM186" s="72"/>
      <c r="HN186" s="72"/>
      <c r="HO186" s="72"/>
      <c r="HP186" s="72"/>
      <c r="HQ186" s="72"/>
      <c r="HR186" s="72"/>
      <c r="HS186" s="72"/>
      <c r="HT186" s="72"/>
    </row>
    <row r="187" spans="1:20" s="467" customFormat="1" ht="37.5" customHeight="1" outlineLevel="2">
      <c r="A187" s="391" t="s">
        <v>152</v>
      </c>
      <c r="B187" s="790" t="s">
        <v>613</v>
      </c>
      <c r="C187" s="791"/>
      <c r="D187" s="391"/>
      <c r="E187" s="423"/>
      <c r="F187" s="423"/>
      <c r="G187" s="428"/>
      <c r="H187" s="603">
        <f>H188+H203+H208+H223</f>
        <v>724040.0643589745</v>
      </c>
      <c r="I187" s="433">
        <v>1</v>
      </c>
      <c r="J187" s="433">
        <v>0</v>
      </c>
      <c r="K187" s="434"/>
      <c r="L187" s="423"/>
      <c r="M187" s="427"/>
      <c r="N187" s="427"/>
      <c r="O187" s="428"/>
      <c r="P187" s="429"/>
      <c r="Q187" s="429"/>
      <c r="R187" s="479"/>
      <c r="S187" s="457">
        <f aca="true" t="shared" si="8" ref="S187:S253">H187*5</f>
        <v>3620200.321794872</v>
      </c>
      <c r="T187" s="549"/>
    </row>
    <row r="188" spans="1:25" s="465" customFormat="1" ht="51.75" customHeight="1" outlineLevel="1">
      <c r="A188" s="370" t="s">
        <v>192</v>
      </c>
      <c r="B188" s="794" t="s">
        <v>614</v>
      </c>
      <c r="C188" s="795"/>
      <c r="D188" s="370"/>
      <c r="E188" s="370"/>
      <c r="F188" s="370"/>
      <c r="G188" s="370"/>
      <c r="H188" s="371">
        <f>H189+H194++H195+H200+H202+H201</f>
        <v>203832.75056153847</v>
      </c>
      <c r="I188" s="419">
        <v>1</v>
      </c>
      <c r="J188" s="419">
        <v>0</v>
      </c>
      <c r="K188" s="373"/>
      <c r="L188" s="370"/>
      <c r="M188" s="374"/>
      <c r="N188" s="374"/>
      <c r="O188" s="375"/>
      <c r="P188" s="375"/>
      <c r="Q188" s="375"/>
      <c r="R188" s="480"/>
      <c r="S188" s="481">
        <f t="shared" si="8"/>
        <v>1019163.7528076924</v>
      </c>
      <c r="T188" s="572"/>
      <c r="U188" s="545"/>
      <c r="V188" s="545"/>
      <c r="W188" s="546"/>
      <c r="X188" s="546"/>
      <c r="Y188" s="546"/>
    </row>
    <row r="189" spans="1:28" s="278" customFormat="1" ht="51.75" customHeight="1" outlineLevel="2">
      <c r="A189" s="344" t="s">
        <v>474</v>
      </c>
      <c r="B189" s="788" t="s">
        <v>337</v>
      </c>
      <c r="C189" s="789"/>
      <c r="D189" s="344"/>
      <c r="E189" s="344" t="s">
        <v>149</v>
      </c>
      <c r="F189" s="344"/>
      <c r="G189" s="344"/>
      <c r="H189" s="346">
        <f>SUM(H190:H192)</f>
        <v>136988.01030000002</v>
      </c>
      <c r="I189" s="347">
        <v>1</v>
      </c>
      <c r="J189" s="347">
        <v>0</v>
      </c>
      <c r="K189" s="348" t="s">
        <v>8</v>
      </c>
      <c r="L189" s="344" t="s">
        <v>132</v>
      </c>
      <c r="M189" s="349">
        <v>44105</v>
      </c>
      <c r="N189" s="349">
        <v>45292</v>
      </c>
      <c r="O189" s="350" t="s">
        <v>160</v>
      </c>
      <c r="P189" s="350"/>
      <c r="Q189" s="350" t="s">
        <v>404</v>
      </c>
      <c r="R189" s="475"/>
      <c r="S189" s="456">
        <f t="shared" si="8"/>
        <v>684940.0515000001</v>
      </c>
      <c r="T189" s="576"/>
      <c r="U189" s="451"/>
      <c r="W189" s="451"/>
      <c r="AA189" s="451"/>
      <c r="AB189" s="451"/>
    </row>
    <row r="190" spans="1:28" s="106" customFormat="1" ht="38.25" customHeight="1" outlineLevel="1">
      <c r="A190" s="326" t="s">
        <v>564</v>
      </c>
      <c r="B190" s="786" t="s">
        <v>559</v>
      </c>
      <c r="C190" s="787"/>
      <c r="D190" s="326"/>
      <c r="E190" s="326" t="s">
        <v>149</v>
      </c>
      <c r="F190" s="326"/>
      <c r="G190" s="326"/>
      <c r="H190" s="329">
        <v>47140.490300000005</v>
      </c>
      <c r="I190" s="330">
        <v>1</v>
      </c>
      <c r="J190" s="330">
        <v>0</v>
      </c>
      <c r="K190" s="331" t="s">
        <v>329</v>
      </c>
      <c r="L190" s="326" t="s">
        <v>132</v>
      </c>
      <c r="M190" s="332">
        <v>44470</v>
      </c>
      <c r="N190" s="332">
        <v>45292</v>
      </c>
      <c r="O190" s="333" t="s">
        <v>160</v>
      </c>
      <c r="P190" s="335"/>
      <c r="Q190" s="326" t="s">
        <v>404</v>
      </c>
      <c r="R190" s="575"/>
      <c r="S190" s="455">
        <f t="shared" si="8"/>
        <v>235702.45150000002</v>
      </c>
      <c r="T190" s="577"/>
      <c r="U190" s="460"/>
      <c r="V190" s="460"/>
      <c r="W190" s="460"/>
      <c r="X190" s="460"/>
      <c r="Y190" s="460"/>
      <c r="AA190" s="460"/>
      <c r="AB190" s="460"/>
    </row>
    <row r="191" spans="1:28" s="133" customFormat="1" ht="38.25" customHeight="1" outlineLevel="1">
      <c r="A191" s="326" t="s">
        <v>565</v>
      </c>
      <c r="B191" s="786" t="s">
        <v>558</v>
      </c>
      <c r="C191" s="787"/>
      <c r="D191" s="326"/>
      <c r="E191" s="326" t="s">
        <v>149</v>
      </c>
      <c r="F191" s="326"/>
      <c r="G191" s="326"/>
      <c r="H191" s="329">
        <v>80847.52</v>
      </c>
      <c r="I191" s="330">
        <v>1</v>
      </c>
      <c r="J191" s="330">
        <v>0</v>
      </c>
      <c r="K191" s="331" t="s">
        <v>329</v>
      </c>
      <c r="L191" s="326" t="s">
        <v>132</v>
      </c>
      <c r="M191" s="332">
        <v>44470</v>
      </c>
      <c r="N191" s="332">
        <v>45170</v>
      </c>
      <c r="O191" s="333" t="s">
        <v>160</v>
      </c>
      <c r="P191" s="335"/>
      <c r="Q191" s="326" t="s">
        <v>63</v>
      </c>
      <c r="R191" s="611"/>
      <c r="S191" s="455">
        <f t="shared" si="8"/>
        <v>404237.60000000003</v>
      </c>
      <c r="T191" s="612"/>
      <c r="U191" s="608"/>
      <c r="V191" s="608"/>
      <c r="W191" s="608"/>
      <c r="X191" s="608"/>
      <c r="Y191" s="608"/>
      <c r="AA191" s="608"/>
      <c r="AB191" s="608"/>
    </row>
    <row r="192" spans="1:228" s="106" customFormat="1" ht="38.25" customHeight="1" outlineLevel="1">
      <c r="A192" s="326" t="s">
        <v>566</v>
      </c>
      <c r="B192" s="786" t="s">
        <v>615</v>
      </c>
      <c r="C192" s="787"/>
      <c r="D192" s="326"/>
      <c r="E192" s="326" t="s">
        <v>149</v>
      </c>
      <c r="F192" s="326"/>
      <c r="G192" s="326"/>
      <c r="H192" s="367">
        <v>9000</v>
      </c>
      <c r="I192" s="330">
        <v>1</v>
      </c>
      <c r="J192" s="330">
        <v>0</v>
      </c>
      <c r="K192" s="331" t="s">
        <v>329</v>
      </c>
      <c r="L192" s="326" t="s">
        <v>132</v>
      </c>
      <c r="M192" s="332">
        <v>44470</v>
      </c>
      <c r="N192" s="332">
        <v>45292</v>
      </c>
      <c r="O192" s="333" t="s">
        <v>160</v>
      </c>
      <c r="P192" s="335"/>
      <c r="Q192" s="326" t="s">
        <v>404</v>
      </c>
      <c r="R192" s="575"/>
      <c r="S192" s="455">
        <f t="shared" si="8"/>
        <v>45000</v>
      </c>
      <c r="T192" s="577"/>
      <c r="U192" s="460"/>
      <c r="V192" s="460"/>
      <c r="W192" s="460"/>
      <c r="X192" s="460"/>
      <c r="Y192" s="460"/>
      <c r="AA192" s="460"/>
      <c r="AB192" s="460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GL192" s="74"/>
      <c r="GM192" s="74"/>
      <c r="GN192" s="74"/>
      <c r="GO192" s="74"/>
      <c r="GP192" s="74"/>
      <c r="GQ192" s="74"/>
      <c r="GR192" s="74"/>
      <c r="GS192" s="74"/>
      <c r="GT192" s="74"/>
      <c r="GU192" s="74"/>
      <c r="GV192" s="74"/>
      <c r="GW192" s="74"/>
      <c r="GX192" s="74"/>
      <c r="GY192" s="74"/>
      <c r="GZ192" s="74"/>
      <c r="HA192" s="74"/>
      <c r="HB192" s="74"/>
      <c r="HC192" s="74"/>
      <c r="HD192" s="74"/>
      <c r="HE192" s="74"/>
      <c r="HF192" s="74"/>
      <c r="HG192" s="74"/>
      <c r="HH192" s="74"/>
      <c r="HI192" s="74"/>
      <c r="HJ192" s="74"/>
      <c r="HK192" s="74"/>
      <c r="HL192" s="74"/>
      <c r="HM192" s="74"/>
      <c r="HN192" s="74"/>
      <c r="HO192" s="74"/>
      <c r="HP192" s="74"/>
      <c r="HQ192" s="74"/>
      <c r="HR192" s="74"/>
      <c r="HS192" s="74"/>
      <c r="HT192" s="74"/>
    </row>
    <row r="193" spans="1:228" s="106" customFormat="1" ht="51.75" customHeight="1" hidden="1" outlineLevel="2">
      <c r="A193" s="344"/>
      <c r="B193" s="788" t="s">
        <v>338</v>
      </c>
      <c r="C193" s="789"/>
      <c r="D193" s="344"/>
      <c r="E193" s="344" t="s">
        <v>149</v>
      </c>
      <c r="F193" s="344"/>
      <c r="G193" s="344"/>
      <c r="H193" s="415">
        <v>0</v>
      </c>
      <c r="I193" s="347">
        <v>1</v>
      </c>
      <c r="J193" s="347">
        <v>0</v>
      </c>
      <c r="K193" s="348" t="s">
        <v>8</v>
      </c>
      <c r="L193" s="344" t="s">
        <v>132</v>
      </c>
      <c r="M193" s="349">
        <v>44136</v>
      </c>
      <c r="N193" s="349">
        <v>45017</v>
      </c>
      <c r="O193" s="350" t="s">
        <v>160</v>
      </c>
      <c r="P193" s="350"/>
      <c r="Q193" s="350" t="s">
        <v>404</v>
      </c>
      <c r="R193" s="575"/>
      <c r="S193" s="455">
        <f t="shared" si="8"/>
        <v>0</v>
      </c>
      <c r="T193" s="577"/>
      <c r="X193" s="460"/>
      <c r="AA193" s="460"/>
      <c r="AB193" s="460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GL193" s="74"/>
      <c r="GM193" s="74"/>
      <c r="GN193" s="74"/>
      <c r="GO193" s="74"/>
      <c r="GP193" s="74"/>
      <c r="GQ193" s="74"/>
      <c r="GR193" s="74"/>
      <c r="GS193" s="74"/>
      <c r="GT193" s="74"/>
      <c r="GU193" s="74"/>
      <c r="GV193" s="74"/>
      <c r="GW193" s="74"/>
      <c r="GX193" s="74"/>
      <c r="GY193" s="74"/>
      <c r="GZ193" s="74"/>
      <c r="HA193" s="74"/>
      <c r="HB193" s="74"/>
      <c r="HC193" s="74"/>
      <c r="HD193" s="74"/>
      <c r="HE193" s="74"/>
      <c r="HF193" s="74"/>
      <c r="HG193" s="74"/>
      <c r="HH193" s="74"/>
      <c r="HI193" s="74"/>
      <c r="HJ193" s="74"/>
      <c r="HK193" s="74"/>
      <c r="HL193" s="74"/>
      <c r="HM193" s="74"/>
      <c r="HN193" s="74"/>
      <c r="HO193" s="74"/>
      <c r="HP193" s="74"/>
      <c r="HQ193" s="74"/>
      <c r="HR193" s="74"/>
      <c r="HS193" s="74"/>
      <c r="HT193" s="74"/>
    </row>
    <row r="194" spans="1:28" s="278" customFormat="1" ht="51.75" customHeight="1" outlineLevel="2">
      <c r="A194" s="344" t="s">
        <v>475</v>
      </c>
      <c r="B194" s="788" t="s">
        <v>339</v>
      </c>
      <c r="C194" s="789"/>
      <c r="D194" s="344"/>
      <c r="E194" s="344" t="s">
        <v>149</v>
      </c>
      <c r="F194" s="344"/>
      <c r="G194" s="344"/>
      <c r="H194" s="346">
        <v>24224.274661538453</v>
      </c>
      <c r="I194" s="347">
        <v>1</v>
      </c>
      <c r="J194" s="347">
        <v>0</v>
      </c>
      <c r="K194" s="348" t="s">
        <v>8</v>
      </c>
      <c r="L194" s="344" t="s">
        <v>132</v>
      </c>
      <c r="M194" s="349">
        <v>44166</v>
      </c>
      <c r="N194" s="349">
        <v>45292</v>
      </c>
      <c r="O194" s="350" t="s">
        <v>160</v>
      </c>
      <c r="P194" s="350"/>
      <c r="Q194" s="350" t="s">
        <v>404</v>
      </c>
      <c r="R194" s="475"/>
      <c r="S194" s="456">
        <f t="shared" si="8"/>
        <v>121121.37330769227</v>
      </c>
      <c r="T194" s="576"/>
      <c r="U194" s="451"/>
      <c r="V194" s="451"/>
      <c r="W194" s="451"/>
      <c r="X194" s="451"/>
      <c r="Y194" s="451"/>
      <c r="AA194" s="451"/>
      <c r="AB194" s="451"/>
    </row>
    <row r="195" spans="1:28" s="278" customFormat="1" ht="42.75" customHeight="1" outlineLevel="2">
      <c r="A195" s="344" t="s">
        <v>476</v>
      </c>
      <c r="B195" s="788" t="s">
        <v>341</v>
      </c>
      <c r="C195" s="789"/>
      <c r="D195" s="344"/>
      <c r="E195" s="344" t="s">
        <v>413</v>
      </c>
      <c r="F195" s="344"/>
      <c r="G195" s="344"/>
      <c r="H195" s="346">
        <f>SUM(H196:H199)</f>
        <v>20931.249999999996</v>
      </c>
      <c r="I195" s="347">
        <v>1</v>
      </c>
      <c r="J195" s="347">
        <v>0</v>
      </c>
      <c r="K195" s="348" t="s">
        <v>8</v>
      </c>
      <c r="L195" s="344" t="s">
        <v>132</v>
      </c>
      <c r="M195" s="349">
        <v>44167</v>
      </c>
      <c r="N195" s="349">
        <v>45292</v>
      </c>
      <c r="O195" s="350" t="s">
        <v>160</v>
      </c>
      <c r="P195" s="350"/>
      <c r="Q195" s="350" t="s">
        <v>404</v>
      </c>
      <c r="R195" s="475"/>
      <c r="S195" s="456">
        <f t="shared" si="8"/>
        <v>104656.24999999999</v>
      </c>
      <c r="T195" s="576"/>
      <c r="U195" s="451"/>
      <c r="X195" s="451"/>
      <c r="AA195" s="451"/>
      <c r="AB195" s="451"/>
    </row>
    <row r="196" spans="1:28" s="106" customFormat="1" ht="42.75" customHeight="1" outlineLevel="2">
      <c r="A196" s="326" t="s">
        <v>574</v>
      </c>
      <c r="B196" s="786" t="s">
        <v>560</v>
      </c>
      <c r="C196" s="787"/>
      <c r="D196" s="326"/>
      <c r="E196" s="326" t="s">
        <v>149</v>
      </c>
      <c r="F196" s="326"/>
      <c r="G196" s="326"/>
      <c r="H196" s="329">
        <v>5168.37</v>
      </c>
      <c r="I196" s="330">
        <v>1</v>
      </c>
      <c r="J196" s="330">
        <v>0</v>
      </c>
      <c r="K196" s="331" t="s">
        <v>329</v>
      </c>
      <c r="L196" s="326" t="s">
        <v>132</v>
      </c>
      <c r="M196" s="332">
        <v>44470</v>
      </c>
      <c r="N196" s="332">
        <v>45292</v>
      </c>
      <c r="O196" s="333" t="s">
        <v>160</v>
      </c>
      <c r="P196" s="335"/>
      <c r="Q196" s="326" t="s">
        <v>404</v>
      </c>
      <c r="R196" s="575"/>
      <c r="S196" s="455">
        <f t="shared" si="8"/>
        <v>25841.85</v>
      </c>
      <c r="T196" s="577"/>
      <c r="U196" s="460"/>
      <c r="V196" s="460"/>
      <c r="W196" s="460"/>
      <c r="X196" s="460"/>
      <c r="Y196" s="459"/>
      <c r="AA196" s="460"/>
      <c r="AB196" s="460"/>
    </row>
    <row r="197" spans="1:28" s="106" customFormat="1" ht="57.75" customHeight="1" outlineLevel="2">
      <c r="A197" s="326" t="s">
        <v>575</v>
      </c>
      <c r="B197" s="786" t="s">
        <v>563</v>
      </c>
      <c r="C197" s="787"/>
      <c r="D197" s="326"/>
      <c r="E197" s="326" t="s">
        <v>149</v>
      </c>
      <c r="F197" s="326"/>
      <c r="G197" s="326"/>
      <c r="H197" s="329">
        <v>15762.879999999997</v>
      </c>
      <c r="I197" s="330">
        <v>1</v>
      </c>
      <c r="J197" s="330">
        <v>0</v>
      </c>
      <c r="K197" s="331" t="s">
        <v>329</v>
      </c>
      <c r="L197" s="326" t="s">
        <v>132</v>
      </c>
      <c r="M197" s="332">
        <v>44470</v>
      </c>
      <c r="N197" s="332">
        <v>45292</v>
      </c>
      <c r="O197" s="333" t="s">
        <v>160</v>
      </c>
      <c r="P197" s="335"/>
      <c r="Q197" s="326" t="s">
        <v>404</v>
      </c>
      <c r="R197" s="494"/>
      <c r="S197" s="455">
        <f t="shared" si="8"/>
        <v>78814.4</v>
      </c>
      <c r="T197" s="577"/>
      <c r="U197" s="460"/>
      <c r="V197" s="460"/>
      <c r="W197" s="460"/>
      <c r="X197" s="460"/>
      <c r="AA197" s="460"/>
      <c r="AB197" s="460"/>
    </row>
    <row r="198" spans="1:228" s="271" customFormat="1" ht="42.75" customHeight="1" hidden="1" outlineLevel="2">
      <c r="A198" s="326"/>
      <c r="B198" s="786" t="s">
        <v>561</v>
      </c>
      <c r="C198" s="787"/>
      <c r="D198" s="326">
        <v>25</v>
      </c>
      <c r="E198" s="351" t="s">
        <v>307</v>
      </c>
      <c r="F198" s="326"/>
      <c r="G198" s="326"/>
      <c r="H198" s="367"/>
      <c r="I198" s="583">
        <v>1</v>
      </c>
      <c r="J198" s="583">
        <v>0</v>
      </c>
      <c r="K198" s="368" t="s">
        <v>329</v>
      </c>
      <c r="L198" s="351" t="s">
        <v>132</v>
      </c>
      <c r="M198" s="332">
        <v>44470</v>
      </c>
      <c r="N198" s="332">
        <v>44805</v>
      </c>
      <c r="O198" s="369"/>
      <c r="P198" s="413"/>
      <c r="Q198" s="326" t="s">
        <v>632</v>
      </c>
      <c r="R198" s="478"/>
      <c r="S198" s="455">
        <f t="shared" si="8"/>
        <v>0</v>
      </c>
      <c r="T198" s="578"/>
      <c r="U198" s="114"/>
      <c r="V198" s="114"/>
      <c r="W198" s="114"/>
      <c r="X198" s="114"/>
      <c r="Y198" s="114"/>
      <c r="Z198" s="114"/>
      <c r="AA198" s="462"/>
      <c r="AB198" s="462"/>
      <c r="AC198" s="114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</row>
    <row r="199" spans="1:228" s="271" customFormat="1" ht="42.75" customHeight="1" hidden="1" outlineLevel="2">
      <c r="A199" s="326"/>
      <c r="B199" s="786" t="s">
        <v>562</v>
      </c>
      <c r="C199" s="787"/>
      <c r="D199" s="326">
        <v>12</v>
      </c>
      <c r="E199" s="351" t="s">
        <v>307</v>
      </c>
      <c r="F199" s="326"/>
      <c r="G199" s="326"/>
      <c r="H199" s="367"/>
      <c r="I199" s="583">
        <v>1</v>
      </c>
      <c r="J199" s="583">
        <v>0</v>
      </c>
      <c r="K199" s="368" t="s">
        <v>329</v>
      </c>
      <c r="L199" s="351" t="s">
        <v>132</v>
      </c>
      <c r="M199" s="332">
        <v>44470</v>
      </c>
      <c r="N199" s="332">
        <v>44805</v>
      </c>
      <c r="O199" s="369"/>
      <c r="P199" s="413"/>
      <c r="Q199" s="326" t="s">
        <v>632</v>
      </c>
      <c r="R199" s="478"/>
      <c r="S199" s="455">
        <f t="shared" si="8"/>
        <v>0</v>
      </c>
      <c r="T199" s="578"/>
      <c r="U199" s="114"/>
      <c r="V199" s="114"/>
      <c r="W199" s="114"/>
      <c r="X199" s="114"/>
      <c r="Y199" s="114"/>
      <c r="Z199" s="114"/>
      <c r="AA199" s="462"/>
      <c r="AB199" s="462"/>
      <c r="AC199" s="114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</row>
    <row r="200" spans="1:28" s="275" customFormat="1" ht="38.25" customHeight="1" outlineLevel="1">
      <c r="A200" s="344" t="s">
        <v>477</v>
      </c>
      <c r="B200" s="788" t="s">
        <v>340</v>
      </c>
      <c r="C200" s="789"/>
      <c r="D200" s="344"/>
      <c r="E200" s="344" t="s">
        <v>149</v>
      </c>
      <c r="F200" s="344"/>
      <c r="G200" s="344"/>
      <c r="H200" s="346">
        <v>1390.6</v>
      </c>
      <c r="I200" s="347">
        <v>1</v>
      </c>
      <c r="J200" s="347">
        <v>0</v>
      </c>
      <c r="K200" s="348" t="s">
        <v>8</v>
      </c>
      <c r="L200" s="344" t="s">
        <v>132</v>
      </c>
      <c r="M200" s="349">
        <v>44105</v>
      </c>
      <c r="N200" s="349">
        <v>45200</v>
      </c>
      <c r="O200" s="350" t="s">
        <v>160</v>
      </c>
      <c r="P200" s="350"/>
      <c r="Q200" s="350" t="s">
        <v>612</v>
      </c>
      <c r="R200" s="610"/>
      <c r="S200" s="456">
        <f t="shared" si="8"/>
        <v>6953</v>
      </c>
      <c r="T200" s="609"/>
      <c r="U200" s="599"/>
      <c r="V200" s="599"/>
      <c r="X200" s="599"/>
      <c r="AA200" s="599"/>
      <c r="AB200" s="599"/>
    </row>
    <row r="201" spans="1:28" s="278" customFormat="1" ht="38.25" customHeight="1" outlineLevel="1">
      <c r="A201" s="344" t="s">
        <v>478</v>
      </c>
      <c r="B201" s="788" t="s">
        <v>557</v>
      </c>
      <c r="C201" s="789"/>
      <c r="D201" s="344"/>
      <c r="E201" s="344" t="s">
        <v>149</v>
      </c>
      <c r="F201" s="344"/>
      <c r="G201" s="344"/>
      <c r="H201" s="346">
        <v>18798.6156</v>
      </c>
      <c r="I201" s="347">
        <v>1</v>
      </c>
      <c r="J201" s="347">
        <v>0</v>
      </c>
      <c r="K201" s="348" t="s">
        <v>329</v>
      </c>
      <c r="L201" s="344" t="s">
        <v>132</v>
      </c>
      <c r="M201" s="349">
        <v>44470</v>
      </c>
      <c r="N201" s="349">
        <v>45292</v>
      </c>
      <c r="O201" s="350" t="s">
        <v>160</v>
      </c>
      <c r="P201" s="414"/>
      <c r="Q201" s="344" t="s">
        <v>404</v>
      </c>
      <c r="R201" s="475"/>
      <c r="S201" s="456">
        <f t="shared" si="8"/>
        <v>93993.07800000001</v>
      </c>
      <c r="T201" s="576"/>
      <c r="U201" s="451"/>
      <c r="V201" s="451"/>
      <c r="W201" s="451"/>
      <c r="X201" s="451"/>
      <c r="AA201" s="451"/>
      <c r="AB201" s="451"/>
    </row>
    <row r="202" spans="1:28" s="278" customFormat="1" ht="38.25" customHeight="1" outlineLevel="1">
      <c r="A202" s="344" t="s">
        <v>665</v>
      </c>
      <c r="B202" s="788" t="s">
        <v>661</v>
      </c>
      <c r="C202" s="789" t="s">
        <v>443</v>
      </c>
      <c r="D202" s="344"/>
      <c r="E202" s="344" t="s">
        <v>149</v>
      </c>
      <c r="F202" s="344"/>
      <c r="G202" s="344"/>
      <c r="H202" s="346">
        <v>1500</v>
      </c>
      <c r="I202" s="347">
        <v>1</v>
      </c>
      <c r="J202" s="347">
        <v>0</v>
      </c>
      <c r="K202" s="348" t="s">
        <v>8</v>
      </c>
      <c r="L202" s="344" t="s">
        <v>132</v>
      </c>
      <c r="M202" s="349">
        <v>44958</v>
      </c>
      <c r="N202" s="349">
        <v>45292</v>
      </c>
      <c r="O202" s="350" t="s">
        <v>160</v>
      </c>
      <c r="P202" s="350"/>
      <c r="Q202" s="350" t="s">
        <v>404</v>
      </c>
      <c r="R202" s="475"/>
      <c r="S202" s="456">
        <f>H202*5</f>
        <v>7500</v>
      </c>
      <c r="T202" s="576"/>
      <c r="U202" s="451"/>
      <c r="V202" s="451"/>
      <c r="X202" s="451"/>
      <c r="AA202" s="451"/>
      <c r="AB202" s="451"/>
    </row>
    <row r="203" spans="1:28" s="183" customFormat="1" ht="38.25" customHeight="1" outlineLevel="1">
      <c r="A203" s="351" t="s">
        <v>422</v>
      </c>
      <c r="B203" s="792" t="s">
        <v>616</v>
      </c>
      <c r="C203" s="793"/>
      <c r="D203" s="351"/>
      <c r="E203" s="351" t="s">
        <v>149</v>
      </c>
      <c r="F203" s="351"/>
      <c r="G203" s="351"/>
      <c r="H203" s="367">
        <v>74440.4835897437</v>
      </c>
      <c r="I203" s="583">
        <v>1</v>
      </c>
      <c r="J203" s="583">
        <v>0</v>
      </c>
      <c r="K203" s="368" t="s">
        <v>8</v>
      </c>
      <c r="L203" s="351" t="s">
        <v>132</v>
      </c>
      <c r="M203" s="366">
        <v>44105</v>
      </c>
      <c r="N203" s="366">
        <v>44291</v>
      </c>
      <c r="O203" s="369" t="s">
        <v>160</v>
      </c>
      <c r="P203" s="369"/>
      <c r="Q203" s="369" t="s">
        <v>612</v>
      </c>
      <c r="R203" s="623"/>
      <c r="S203" s="482">
        <f t="shared" si="8"/>
        <v>372202.41794871853</v>
      </c>
      <c r="T203" s="624"/>
      <c r="U203" s="625"/>
      <c r="V203" s="625"/>
      <c r="X203" s="625"/>
      <c r="AA203" s="625"/>
      <c r="AB203" s="625"/>
    </row>
    <row r="204" spans="1:20" s="165" customFormat="1" ht="38.25" customHeight="1" hidden="1" outlineLevel="2">
      <c r="A204" s="370"/>
      <c r="B204" s="794" t="s">
        <v>345</v>
      </c>
      <c r="C204" s="795"/>
      <c r="D204" s="370"/>
      <c r="E204" s="370" t="s">
        <v>149</v>
      </c>
      <c r="F204" s="370"/>
      <c r="G204" s="370"/>
      <c r="H204" s="371">
        <v>0</v>
      </c>
      <c r="I204" s="419">
        <v>1</v>
      </c>
      <c r="J204" s="419">
        <v>0</v>
      </c>
      <c r="K204" s="373" t="s">
        <v>8</v>
      </c>
      <c r="L204" s="370" t="s">
        <v>149</v>
      </c>
      <c r="M204" s="374">
        <v>44105</v>
      </c>
      <c r="N204" s="374">
        <v>44291</v>
      </c>
      <c r="O204" s="375" t="s">
        <v>160</v>
      </c>
      <c r="P204" s="375"/>
      <c r="Q204" s="375" t="s">
        <v>404</v>
      </c>
      <c r="R204" s="486"/>
      <c r="S204" s="481">
        <f t="shared" si="8"/>
        <v>0</v>
      </c>
      <c r="T204" s="568"/>
    </row>
    <row r="205" spans="1:20" s="165" customFormat="1" ht="38.25" customHeight="1" hidden="1" outlineLevel="2">
      <c r="A205" s="370"/>
      <c r="B205" s="794" t="s">
        <v>342</v>
      </c>
      <c r="C205" s="795"/>
      <c r="D205" s="370"/>
      <c r="E205" s="370" t="s">
        <v>149</v>
      </c>
      <c r="F205" s="370"/>
      <c r="G205" s="370"/>
      <c r="H205" s="371">
        <v>0</v>
      </c>
      <c r="I205" s="419">
        <v>1</v>
      </c>
      <c r="J205" s="419">
        <v>0</v>
      </c>
      <c r="K205" s="373" t="s">
        <v>8</v>
      </c>
      <c r="L205" s="370" t="s">
        <v>149</v>
      </c>
      <c r="M205" s="374">
        <v>44105</v>
      </c>
      <c r="N205" s="374">
        <v>44292</v>
      </c>
      <c r="O205" s="375" t="s">
        <v>160</v>
      </c>
      <c r="P205" s="375"/>
      <c r="Q205" s="375" t="s">
        <v>404</v>
      </c>
      <c r="R205" s="486"/>
      <c r="S205" s="481">
        <f t="shared" si="8"/>
        <v>0</v>
      </c>
      <c r="T205" s="568"/>
    </row>
    <row r="206" spans="1:20" s="165" customFormat="1" ht="38.25" customHeight="1" hidden="1" outlineLevel="2">
      <c r="A206" s="370"/>
      <c r="B206" s="794" t="s">
        <v>343</v>
      </c>
      <c r="C206" s="795"/>
      <c r="D206" s="370"/>
      <c r="E206" s="370" t="s">
        <v>149</v>
      </c>
      <c r="F206" s="370"/>
      <c r="G206" s="370"/>
      <c r="H206" s="371">
        <v>0</v>
      </c>
      <c r="I206" s="419">
        <v>1</v>
      </c>
      <c r="J206" s="419">
        <v>0</v>
      </c>
      <c r="K206" s="373" t="s">
        <v>8</v>
      </c>
      <c r="L206" s="370" t="s">
        <v>149</v>
      </c>
      <c r="M206" s="374">
        <v>44079</v>
      </c>
      <c r="N206" s="374">
        <v>44293</v>
      </c>
      <c r="O206" s="375" t="s">
        <v>160</v>
      </c>
      <c r="P206" s="375"/>
      <c r="Q206" s="375" t="s">
        <v>404</v>
      </c>
      <c r="R206" s="486"/>
      <c r="S206" s="481">
        <f t="shared" si="8"/>
        <v>0</v>
      </c>
      <c r="T206" s="568"/>
    </row>
    <row r="207" spans="1:20" s="165" customFormat="1" ht="38.25" customHeight="1" hidden="1" outlineLevel="2" collapsed="1">
      <c r="A207" s="370"/>
      <c r="B207" s="794" t="s">
        <v>344</v>
      </c>
      <c r="C207" s="795"/>
      <c r="D207" s="370"/>
      <c r="E207" s="370" t="s">
        <v>149</v>
      </c>
      <c r="F207" s="370"/>
      <c r="G207" s="370"/>
      <c r="H207" s="371">
        <v>0</v>
      </c>
      <c r="I207" s="419">
        <v>1</v>
      </c>
      <c r="J207" s="419">
        <v>0</v>
      </c>
      <c r="K207" s="373" t="s">
        <v>8</v>
      </c>
      <c r="L207" s="370" t="s">
        <v>149</v>
      </c>
      <c r="M207" s="374">
        <v>44105</v>
      </c>
      <c r="N207" s="374">
        <v>44294</v>
      </c>
      <c r="O207" s="375" t="s">
        <v>160</v>
      </c>
      <c r="P207" s="375"/>
      <c r="Q207" s="375" t="s">
        <v>404</v>
      </c>
      <c r="R207" s="486"/>
      <c r="S207" s="481">
        <f t="shared" si="8"/>
        <v>0</v>
      </c>
      <c r="T207" s="568"/>
    </row>
    <row r="208" spans="1:22" s="465" customFormat="1" ht="49.5" customHeight="1" outlineLevel="2">
      <c r="A208" s="370" t="s">
        <v>479</v>
      </c>
      <c r="B208" s="794" t="s">
        <v>617</v>
      </c>
      <c r="C208" s="795"/>
      <c r="D208" s="370"/>
      <c r="E208" s="370"/>
      <c r="F208" s="370"/>
      <c r="G208" s="370"/>
      <c r="H208" s="371">
        <f>H209+H215+H216+H220+H221</f>
        <v>254059.41769230767</v>
      </c>
      <c r="I208" s="419">
        <v>1</v>
      </c>
      <c r="J208" s="419">
        <v>0</v>
      </c>
      <c r="K208" s="373"/>
      <c r="L208" s="370"/>
      <c r="M208" s="374"/>
      <c r="N208" s="374"/>
      <c r="O208" s="375"/>
      <c r="P208" s="375"/>
      <c r="Q208" s="375"/>
      <c r="R208" s="480"/>
      <c r="S208" s="481">
        <f t="shared" si="8"/>
        <v>1270297.0884615383</v>
      </c>
      <c r="T208" s="551"/>
      <c r="U208" s="466"/>
      <c r="V208" s="466"/>
    </row>
    <row r="209" spans="1:25" s="278" customFormat="1" ht="38.25" customHeight="1" outlineLevel="1">
      <c r="A209" s="344" t="s">
        <v>480</v>
      </c>
      <c r="B209" s="788" t="s">
        <v>346</v>
      </c>
      <c r="C209" s="789"/>
      <c r="D209" s="344"/>
      <c r="E209" s="344" t="s">
        <v>149</v>
      </c>
      <c r="F209" s="344"/>
      <c r="G209" s="344"/>
      <c r="H209" s="346">
        <f>SUM(H210:H213)</f>
        <v>184097.94999999998</v>
      </c>
      <c r="I209" s="347">
        <v>1</v>
      </c>
      <c r="J209" s="347">
        <v>0</v>
      </c>
      <c r="K209" s="348" t="s">
        <v>8</v>
      </c>
      <c r="L209" s="344" t="s">
        <v>132</v>
      </c>
      <c r="M209" s="349">
        <v>44079</v>
      </c>
      <c r="N209" s="349">
        <v>45292</v>
      </c>
      <c r="O209" s="350" t="s">
        <v>160</v>
      </c>
      <c r="P209" s="350"/>
      <c r="Q209" s="350" t="s">
        <v>404</v>
      </c>
      <c r="R209" s="475"/>
      <c r="S209" s="456">
        <f t="shared" si="8"/>
        <v>920489.7499999999</v>
      </c>
      <c r="T209" s="573"/>
      <c r="U209" s="547"/>
      <c r="V209" s="547"/>
      <c r="W209" s="548"/>
      <c r="X209" s="548"/>
      <c r="Y209" s="548"/>
    </row>
    <row r="210" spans="1:28" s="106" customFormat="1" ht="38.25" customHeight="1" outlineLevel="1">
      <c r="A210" s="326" t="s">
        <v>576</v>
      </c>
      <c r="B210" s="786" t="s">
        <v>571</v>
      </c>
      <c r="C210" s="787"/>
      <c r="D210" s="326"/>
      <c r="E210" s="326" t="s">
        <v>149</v>
      </c>
      <c r="F210" s="326"/>
      <c r="G210" s="326"/>
      <c r="H210" s="329">
        <v>23418</v>
      </c>
      <c r="I210" s="330">
        <v>1</v>
      </c>
      <c r="J210" s="330">
        <v>0</v>
      </c>
      <c r="K210" s="331" t="s">
        <v>329</v>
      </c>
      <c r="L210" s="326" t="s">
        <v>132</v>
      </c>
      <c r="M210" s="332">
        <v>44470</v>
      </c>
      <c r="N210" s="332">
        <v>45170</v>
      </c>
      <c r="O210" s="333" t="s">
        <v>160</v>
      </c>
      <c r="P210" s="335"/>
      <c r="Q210" s="326" t="s">
        <v>404</v>
      </c>
      <c r="R210" s="575"/>
      <c r="S210" s="455">
        <f t="shared" si="8"/>
        <v>117090</v>
      </c>
      <c r="T210" s="577"/>
      <c r="U210" s="460"/>
      <c r="V210" s="460"/>
      <c r="W210" s="460"/>
      <c r="X210" s="460"/>
      <c r="Y210" s="460"/>
      <c r="AA210" s="460"/>
      <c r="AB210" s="460"/>
    </row>
    <row r="211" spans="1:28" s="133" customFormat="1" ht="38.25" customHeight="1" outlineLevel="1">
      <c r="A211" s="326" t="s">
        <v>577</v>
      </c>
      <c r="B211" s="786" t="s">
        <v>570</v>
      </c>
      <c r="C211" s="787"/>
      <c r="D211" s="326"/>
      <c r="E211" s="326" t="s">
        <v>149</v>
      </c>
      <c r="F211" s="326"/>
      <c r="G211" s="326"/>
      <c r="H211" s="655">
        <v>121322.67</v>
      </c>
      <c r="I211" s="330">
        <v>1</v>
      </c>
      <c r="J211" s="330">
        <v>0</v>
      </c>
      <c r="K211" s="331" t="s">
        <v>329</v>
      </c>
      <c r="L211" s="326" t="s">
        <v>132</v>
      </c>
      <c r="M211" s="332">
        <v>44470</v>
      </c>
      <c r="N211" s="332">
        <v>45170</v>
      </c>
      <c r="O211" s="333" t="s">
        <v>160</v>
      </c>
      <c r="P211" s="335"/>
      <c r="Q211" s="326" t="s">
        <v>612</v>
      </c>
      <c r="R211" s="611"/>
      <c r="S211" s="455">
        <f t="shared" si="8"/>
        <v>606613.35</v>
      </c>
      <c r="T211" s="612"/>
      <c r="U211" s="608"/>
      <c r="V211" s="608"/>
      <c r="W211" s="608"/>
      <c r="X211" s="608"/>
      <c r="Y211" s="608"/>
      <c r="AA211" s="608"/>
      <c r="AB211" s="608"/>
    </row>
    <row r="212" spans="1:28" s="106" customFormat="1" ht="38.25" customHeight="1" outlineLevel="1">
      <c r="A212" s="326" t="s">
        <v>578</v>
      </c>
      <c r="B212" s="786" t="s">
        <v>618</v>
      </c>
      <c r="C212" s="787"/>
      <c r="D212" s="326"/>
      <c r="E212" s="326" t="s">
        <v>149</v>
      </c>
      <c r="F212" s="326"/>
      <c r="G212" s="326"/>
      <c r="H212" s="329">
        <v>12500</v>
      </c>
      <c r="I212" s="330">
        <v>1</v>
      </c>
      <c r="J212" s="330">
        <v>0</v>
      </c>
      <c r="K212" s="331" t="s">
        <v>329</v>
      </c>
      <c r="L212" s="326" t="s">
        <v>132</v>
      </c>
      <c r="M212" s="332">
        <v>44470</v>
      </c>
      <c r="N212" s="332">
        <v>45292</v>
      </c>
      <c r="O212" s="333" t="s">
        <v>160</v>
      </c>
      <c r="P212" s="335"/>
      <c r="Q212" s="326" t="s">
        <v>404</v>
      </c>
      <c r="R212" s="575"/>
      <c r="S212" s="455">
        <f t="shared" si="8"/>
        <v>62500</v>
      </c>
      <c r="T212" s="577"/>
      <c r="U212" s="460"/>
      <c r="V212" s="460"/>
      <c r="W212" s="460"/>
      <c r="X212" s="460"/>
      <c r="Y212" s="460"/>
      <c r="AA212" s="460"/>
      <c r="AB212" s="460"/>
    </row>
    <row r="213" spans="1:28" s="133" customFormat="1" ht="38.25" customHeight="1" outlineLevel="1">
      <c r="A213" s="326" t="s">
        <v>579</v>
      </c>
      <c r="B213" s="786" t="s">
        <v>619</v>
      </c>
      <c r="C213" s="787"/>
      <c r="D213" s="326"/>
      <c r="E213" s="326" t="s">
        <v>149</v>
      </c>
      <c r="F213" s="326"/>
      <c r="G213" s="326"/>
      <c r="H213" s="329">
        <v>26857.28</v>
      </c>
      <c r="I213" s="330">
        <v>1</v>
      </c>
      <c r="J213" s="330">
        <v>0</v>
      </c>
      <c r="K213" s="331" t="s">
        <v>329</v>
      </c>
      <c r="L213" s="326" t="s">
        <v>132</v>
      </c>
      <c r="M213" s="332">
        <v>44470</v>
      </c>
      <c r="N213" s="332">
        <v>45170</v>
      </c>
      <c r="O213" s="333" t="s">
        <v>160</v>
      </c>
      <c r="P213" s="335"/>
      <c r="Q213" s="326" t="s">
        <v>612</v>
      </c>
      <c r="R213" s="611"/>
      <c r="S213" s="455">
        <f t="shared" si="8"/>
        <v>134286.4</v>
      </c>
      <c r="T213" s="612"/>
      <c r="U213" s="608"/>
      <c r="V213" s="608"/>
      <c r="W213" s="608"/>
      <c r="X213" s="608"/>
      <c r="Y213" s="608"/>
      <c r="AA213" s="608"/>
      <c r="AB213" s="608"/>
    </row>
    <row r="214" spans="1:228" s="106" customFormat="1" ht="54" customHeight="1" hidden="1" outlineLevel="2">
      <c r="A214" s="344"/>
      <c r="B214" s="788" t="s">
        <v>330</v>
      </c>
      <c r="C214" s="789"/>
      <c r="D214" s="344"/>
      <c r="E214" s="344" t="s">
        <v>149</v>
      </c>
      <c r="F214" s="344"/>
      <c r="G214" s="344"/>
      <c r="H214" s="415">
        <v>0</v>
      </c>
      <c r="I214" s="347">
        <v>1</v>
      </c>
      <c r="J214" s="347">
        <v>0</v>
      </c>
      <c r="K214" s="348" t="s">
        <v>8</v>
      </c>
      <c r="L214" s="344" t="s">
        <v>132</v>
      </c>
      <c r="M214" s="349">
        <v>44105</v>
      </c>
      <c r="N214" s="349">
        <v>45170</v>
      </c>
      <c r="O214" s="350" t="s">
        <v>160</v>
      </c>
      <c r="P214" s="350"/>
      <c r="Q214" s="350" t="s">
        <v>404</v>
      </c>
      <c r="R214" s="575"/>
      <c r="S214" s="455">
        <f t="shared" si="8"/>
        <v>0</v>
      </c>
      <c r="T214" s="577"/>
      <c r="V214" s="460"/>
      <c r="AA214" s="460"/>
      <c r="AB214" s="460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GL214" s="74"/>
      <c r="GM214" s="74"/>
      <c r="GN214" s="74"/>
      <c r="GO214" s="74"/>
      <c r="GP214" s="74"/>
      <c r="GQ214" s="74"/>
      <c r="GR214" s="74"/>
      <c r="GS214" s="74"/>
      <c r="GT214" s="74"/>
      <c r="GU214" s="74"/>
      <c r="GV214" s="74"/>
      <c r="GW214" s="74"/>
      <c r="GX214" s="74"/>
      <c r="GY214" s="74"/>
      <c r="GZ214" s="74"/>
      <c r="HA214" s="74"/>
      <c r="HB214" s="74"/>
      <c r="HC214" s="74"/>
      <c r="HD214" s="74"/>
      <c r="HE214" s="74"/>
      <c r="HF214" s="74"/>
      <c r="HG214" s="74"/>
      <c r="HH214" s="74"/>
      <c r="HI214" s="74"/>
      <c r="HJ214" s="74"/>
      <c r="HK214" s="74"/>
      <c r="HL214" s="74"/>
      <c r="HM214" s="74"/>
      <c r="HN214" s="74"/>
      <c r="HO214" s="74"/>
      <c r="HP214" s="74"/>
      <c r="HQ214" s="74"/>
      <c r="HR214" s="74"/>
      <c r="HS214" s="74"/>
      <c r="HT214" s="74"/>
    </row>
    <row r="215" spans="1:28" s="278" customFormat="1" ht="39" customHeight="1" outlineLevel="2">
      <c r="A215" s="344" t="s">
        <v>481</v>
      </c>
      <c r="B215" s="788" t="s">
        <v>331</v>
      </c>
      <c r="C215" s="789"/>
      <c r="D215" s="344"/>
      <c r="E215" s="344" t="s">
        <v>149</v>
      </c>
      <c r="F215" s="344"/>
      <c r="G215" s="344"/>
      <c r="H215" s="346">
        <v>41530.5676923077</v>
      </c>
      <c r="I215" s="347">
        <v>1</v>
      </c>
      <c r="J215" s="347">
        <v>0</v>
      </c>
      <c r="K215" s="348" t="s">
        <v>8</v>
      </c>
      <c r="L215" s="344" t="s">
        <v>132</v>
      </c>
      <c r="M215" s="349">
        <v>44105</v>
      </c>
      <c r="N215" s="349">
        <v>45292</v>
      </c>
      <c r="O215" s="350" t="s">
        <v>160</v>
      </c>
      <c r="P215" s="350"/>
      <c r="Q215" s="350" t="s">
        <v>404</v>
      </c>
      <c r="R215" s="475"/>
      <c r="S215" s="456">
        <f t="shared" si="8"/>
        <v>207652.8384615385</v>
      </c>
      <c r="T215" s="576"/>
      <c r="U215" s="451"/>
      <c r="V215" s="451"/>
      <c r="W215" s="451"/>
      <c r="X215" s="451"/>
      <c r="Y215" s="451"/>
      <c r="AA215" s="451"/>
      <c r="AB215" s="451"/>
    </row>
    <row r="216" spans="1:228" s="106" customFormat="1" ht="39" customHeight="1" outlineLevel="2">
      <c r="A216" s="344" t="s">
        <v>482</v>
      </c>
      <c r="B216" s="788" t="s">
        <v>332</v>
      </c>
      <c r="C216" s="789"/>
      <c r="D216" s="344"/>
      <c r="E216" s="344" t="s">
        <v>149</v>
      </c>
      <c r="F216" s="344"/>
      <c r="G216" s="344"/>
      <c r="H216" s="346">
        <f>SUM(H217:H219)</f>
        <v>26540.3</v>
      </c>
      <c r="I216" s="347">
        <v>1</v>
      </c>
      <c r="J216" s="347">
        <v>0</v>
      </c>
      <c r="K216" s="348" t="s">
        <v>8</v>
      </c>
      <c r="L216" s="344" t="s">
        <v>132</v>
      </c>
      <c r="M216" s="349">
        <v>44105</v>
      </c>
      <c r="N216" s="349">
        <v>45292</v>
      </c>
      <c r="O216" s="350" t="s">
        <v>160</v>
      </c>
      <c r="P216" s="350"/>
      <c r="Q216" s="350" t="s">
        <v>404</v>
      </c>
      <c r="R216" s="613"/>
      <c r="S216" s="456">
        <f t="shared" si="8"/>
        <v>132701.5</v>
      </c>
      <c r="T216" s="576"/>
      <c r="U216" s="451"/>
      <c r="V216" s="451"/>
      <c r="W216" s="278"/>
      <c r="X216" s="278"/>
      <c r="Y216" s="278"/>
      <c r="Z216" s="278"/>
      <c r="AA216" s="451"/>
      <c r="AB216" s="451"/>
      <c r="AC216" s="278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GL216" s="74"/>
      <c r="GM216" s="74"/>
      <c r="GN216" s="74"/>
      <c r="GO216" s="74"/>
      <c r="GP216" s="74"/>
      <c r="GQ216" s="74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4"/>
      <c r="HE216" s="74"/>
      <c r="HF216" s="74"/>
      <c r="HG216" s="74"/>
      <c r="HH216" s="74"/>
      <c r="HI216" s="74"/>
      <c r="HJ216" s="74"/>
      <c r="HK216" s="74"/>
      <c r="HL216" s="74"/>
      <c r="HM216" s="74"/>
      <c r="HN216" s="74"/>
      <c r="HO216" s="74"/>
      <c r="HP216" s="74"/>
      <c r="HQ216" s="74"/>
      <c r="HR216" s="74"/>
      <c r="HS216" s="74"/>
      <c r="HT216" s="74"/>
    </row>
    <row r="217" spans="1:28" s="106" customFormat="1" ht="39" customHeight="1" outlineLevel="2">
      <c r="A217" s="326" t="s">
        <v>572</v>
      </c>
      <c r="B217" s="786" t="s">
        <v>569</v>
      </c>
      <c r="C217" s="787"/>
      <c r="D217" s="326"/>
      <c r="E217" s="326" t="s">
        <v>149</v>
      </c>
      <c r="F217" s="326"/>
      <c r="G217" s="326"/>
      <c r="H217" s="329">
        <v>20000</v>
      </c>
      <c r="I217" s="330">
        <v>1</v>
      </c>
      <c r="J217" s="330">
        <v>0</v>
      </c>
      <c r="K217" s="331" t="s">
        <v>329</v>
      </c>
      <c r="L217" s="326" t="s">
        <v>132</v>
      </c>
      <c r="M217" s="332">
        <v>44470</v>
      </c>
      <c r="N217" s="332">
        <v>45292</v>
      </c>
      <c r="O217" s="333" t="s">
        <v>160</v>
      </c>
      <c r="P217" s="335"/>
      <c r="Q217" s="326" t="s">
        <v>404</v>
      </c>
      <c r="R217" s="575"/>
      <c r="S217" s="455">
        <f t="shared" si="8"/>
        <v>100000</v>
      </c>
      <c r="T217" s="577"/>
      <c r="U217" s="460"/>
      <c r="V217" s="460"/>
      <c r="W217" s="460"/>
      <c r="X217" s="460"/>
      <c r="Y217" s="460"/>
      <c r="AA217" s="460"/>
      <c r="AB217" s="460"/>
    </row>
    <row r="218" spans="1:28" s="133" customFormat="1" ht="39" customHeight="1" outlineLevel="2">
      <c r="A218" s="326" t="s">
        <v>573</v>
      </c>
      <c r="B218" s="786" t="s">
        <v>568</v>
      </c>
      <c r="C218" s="787"/>
      <c r="D218" s="326"/>
      <c r="E218" s="326" t="s">
        <v>149</v>
      </c>
      <c r="F218" s="326"/>
      <c r="G218" s="326"/>
      <c r="H218" s="329">
        <v>6540.299999999999</v>
      </c>
      <c r="I218" s="330">
        <v>1</v>
      </c>
      <c r="J218" s="330">
        <v>0</v>
      </c>
      <c r="K218" s="331" t="s">
        <v>329</v>
      </c>
      <c r="L218" s="326" t="s">
        <v>132</v>
      </c>
      <c r="M218" s="332">
        <v>44470</v>
      </c>
      <c r="N218" s="332">
        <v>45170</v>
      </c>
      <c r="O218" s="333" t="s">
        <v>160</v>
      </c>
      <c r="P218" s="335"/>
      <c r="Q218" s="326" t="s">
        <v>612</v>
      </c>
      <c r="R218" s="611"/>
      <c r="S218" s="455">
        <f t="shared" si="8"/>
        <v>32701.499999999996</v>
      </c>
      <c r="T218" s="612"/>
      <c r="U218" s="608"/>
      <c r="V218" s="608"/>
      <c r="W218" s="608"/>
      <c r="X218" s="608"/>
      <c r="Y218" s="608"/>
      <c r="AA218" s="608"/>
      <c r="AB218" s="608"/>
    </row>
    <row r="219" spans="1:228" s="278" customFormat="1" ht="75" customHeight="1" hidden="1">
      <c r="A219" s="326"/>
      <c r="B219" s="786" t="s">
        <v>567</v>
      </c>
      <c r="C219" s="787"/>
      <c r="D219" s="326">
        <v>25</v>
      </c>
      <c r="E219" s="351" t="s">
        <v>307</v>
      </c>
      <c r="F219" s="326"/>
      <c r="G219" s="326"/>
      <c r="H219" s="367"/>
      <c r="I219" s="583">
        <v>1</v>
      </c>
      <c r="J219" s="583">
        <v>0</v>
      </c>
      <c r="K219" s="368" t="s">
        <v>329</v>
      </c>
      <c r="L219" s="351" t="s">
        <v>132</v>
      </c>
      <c r="M219" s="332">
        <v>44470</v>
      </c>
      <c r="N219" s="332">
        <v>45170</v>
      </c>
      <c r="O219" s="369"/>
      <c r="P219" s="413"/>
      <c r="Q219" s="326" t="s">
        <v>632</v>
      </c>
      <c r="R219" s="575"/>
      <c r="S219" s="455">
        <f t="shared" si="8"/>
        <v>0</v>
      </c>
      <c r="T219" s="577"/>
      <c r="U219" s="106"/>
      <c r="V219" s="106"/>
      <c r="W219" s="106"/>
      <c r="X219" s="106"/>
      <c r="Y219" s="106"/>
      <c r="Z219" s="106"/>
      <c r="AA219" s="460"/>
      <c r="AB219" s="460"/>
      <c r="AC219" s="106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GL219" s="74"/>
      <c r="GM219" s="74"/>
      <c r="GN219" s="74"/>
      <c r="GO219" s="74"/>
      <c r="GP219" s="74"/>
      <c r="GQ219" s="74"/>
      <c r="GR219" s="74"/>
      <c r="GS219" s="74"/>
      <c r="GT219" s="74"/>
      <c r="GU219" s="74"/>
      <c r="GV219" s="74"/>
      <c r="GW219" s="74"/>
      <c r="GX219" s="74"/>
      <c r="GY219" s="74"/>
      <c r="GZ219" s="74"/>
      <c r="HA219" s="74"/>
      <c r="HB219" s="74"/>
      <c r="HC219" s="74"/>
      <c r="HD219" s="74"/>
      <c r="HE219" s="74"/>
      <c r="HF219" s="74"/>
      <c r="HG219" s="74"/>
      <c r="HH219" s="74"/>
      <c r="HI219" s="74"/>
      <c r="HJ219" s="74"/>
      <c r="HK219" s="74"/>
      <c r="HL219" s="74"/>
      <c r="HM219" s="74"/>
      <c r="HN219" s="74"/>
      <c r="HO219" s="74"/>
      <c r="HP219" s="74"/>
      <c r="HQ219" s="74"/>
      <c r="HR219" s="74"/>
      <c r="HS219" s="74"/>
      <c r="HT219" s="74"/>
    </row>
    <row r="220" spans="1:28" s="275" customFormat="1" ht="54" customHeight="1" outlineLevel="1">
      <c r="A220" s="344" t="s">
        <v>483</v>
      </c>
      <c r="B220" s="788" t="s">
        <v>333</v>
      </c>
      <c r="C220" s="789"/>
      <c r="D220" s="344"/>
      <c r="E220" s="344" t="s">
        <v>149</v>
      </c>
      <c r="F220" s="344"/>
      <c r="G220" s="344"/>
      <c r="H220" s="346">
        <v>1390.6</v>
      </c>
      <c r="I220" s="347">
        <v>1</v>
      </c>
      <c r="J220" s="347">
        <v>0</v>
      </c>
      <c r="K220" s="348" t="s">
        <v>8</v>
      </c>
      <c r="L220" s="344" t="s">
        <v>132</v>
      </c>
      <c r="M220" s="349">
        <v>44105</v>
      </c>
      <c r="N220" s="349">
        <v>45170</v>
      </c>
      <c r="O220" s="350" t="s">
        <v>160</v>
      </c>
      <c r="P220" s="350"/>
      <c r="Q220" s="350" t="s">
        <v>612</v>
      </c>
      <c r="R220" s="610"/>
      <c r="S220" s="456">
        <f t="shared" si="8"/>
        <v>6953</v>
      </c>
      <c r="T220" s="609"/>
      <c r="U220" s="599"/>
      <c r="V220" s="599"/>
      <c r="W220" s="599"/>
      <c r="X220" s="599"/>
      <c r="Y220" s="599"/>
      <c r="AA220" s="599"/>
      <c r="AB220" s="599"/>
    </row>
    <row r="221" spans="1:28" s="278" customFormat="1" ht="54" customHeight="1" outlineLevel="1">
      <c r="A221" s="344" t="s">
        <v>664</v>
      </c>
      <c r="B221" s="788" t="s">
        <v>662</v>
      </c>
      <c r="C221" s="789" t="s">
        <v>443</v>
      </c>
      <c r="D221" s="344"/>
      <c r="E221" s="344" t="s">
        <v>149</v>
      </c>
      <c r="F221" s="344"/>
      <c r="G221" s="344"/>
      <c r="H221" s="346">
        <v>500</v>
      </c>
      <c r="I221" s="347">
        <v>1</v>
      </c>
      <c r="J221" s="347">
        <v>0</v>
      </c>
      <c r="K221" s="348" t="s">
        <v>8</v>
      </c>
      <c r="L221" s="344" t="s">
        <v>132</v>
      </c>
      <c r="M221" s="349">
        <v>44958</v>
      </c>
      <c r="N221" s="349">
        <v>45292</v>
      </c>
      <c r="O221" s="350" t="s">
        <v>160</v>
      </c>
      <c r="P221" s="350"/>
      <c r="Q221" s="350" t="s">
        <v>404</v>
      </c>
      <c r="R221" s="475"/>
      <c r="S221" s="456">
        <f>H221*5</f>
        <v>2500</v>
      </c>
      <c r="T221" s="576"/>
      <c r="U221" s="451"/>
      <c r="V221" s="451"/>
      <c r="W221" s="451"/>
      <c r="X221" s="451"/>
      <c r="Y221" s="451"/>
      <c r="AA221" s="451"/>
      <c r="AB221" s="451"/>
    </row>
    <row r="222" spans="1:228" s="114" customFormat="1" ht="54" customHeight="1" hidden="1" outlineLevel="1">
      <c r="A222" s="344"/>
      <c r="B222" s="788" t="s">
        <v>397</v>
      </c>
      <c r="C222" s="789"/>
      <c r="D222" s="344"/>
      <c r="E222" s="344" t="s">
        <v>182</v>
      </c>
      <c r="F222" s="344"/>
      <c r="G222" s="344"/>
      <c r="H222" s="415">
        <v>0</v>
      </c>
      <c r="I222" s="347">
        <v>1</v>
      </c>
      <c r="J222" s="347">
        <v>0</v>
      </c>
      <c r="K222" s="348" t="s">
        <v>9</v>
      </c>
      <c r="L222" s="344" t="s">
        <v>148</v>
      </c>
      <c r="M222" s="349">
        <v>44136</v>
      </c>
      <c r="N222" s="349">
        <v>44296</v>
      </c>
      <c r="O222" s="350"/>
      <c r="P222" s="350"/>
      <c r="Q222" s="350" t="s">
        <v>1</v>
      </c>
      <c r="R222" s="478"/>
      <c r="S222" s="456">
        <f t="shared" si="8"/>
        <v>0</v>
      </c>
      <c r="T222" s="553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GL222" s="72"/>
      <c r="GM222" s="72"/>
      <c r="GN222" s="72"/>
      <c r="GO222" s="72"/>
      <c r="GP222" s="72"/>
      <c r="GQ222" s="72"/>
      <c r="GR222" s="72"/>
      <c r="GS222" s="72"/>
      <c r="GT222" s="72"/>
      <c r="GU222" s="72"/>
      <c r="GV222" s="72"/>
      <c r="GW222" s="72"/>
      <c r="GX222" s="72"/>
      <c r="GY222" s="72"/>
      <c r="GZ222" s="72"/>
      <c r="HA222" s="72"/>
      <c r="HB222" s="72"/>
      <c r="HC222" s="72"/>
      <c r="HD222" s="72"/>
      <c r="HE222" s="72"/>
      <c r="HF222" s="72"/>
      <c r="HG222" s="72"/>
      <c r="HH222" s="72"/>
      <c r="HI222" s="72"/>
      <c r="HJ222" s="72"/>
      <c r="HK222" s="72"/>
      <c r="HL222" s="72"/>
      <c r="HM222" s="72"/>
      <c r="HN222" s="72"/>
      <c r="HO222" s="72"/>
      <c r="HP222" s="72"/>
      <c r="HQ222" s="72"/>
      <c r="HR222" s="72"/>
      <c r="HS222" s="72"/>
      <c r="HT222" s="72"/>
    </row>
    <row r="223" spans="1:23" s="465" customFormat="1" ht="39.75" customHeight="1">
      <c r="A223" s="370" t="s">
        <v>485</v>
      </c>
      <c r="B223" s="794" t="s">
        <v>620</v>
      </c>
      <c r="C223" s="795"/>
      <c r="D223" s="370"/>
      <c r="E223" s="370"/>
      <c r="F223" s="370"/>
      <c r="G223" s="370"/>
      <c r="H223" s="371">
        <f>H224+H229+H230+H235+H236</f>
        <v>191707.4125153846</v>
      </c>
      <c r="I223" s="419">
        <v>1</v>
      </c>
      <c r="J223" s="419">
        <v>0</v>
      </c>
      <c r="K223" s="373"/>
      <c r="L223" s="370"/>
      <c r="M223" s="374"/>
      <c r="N223" s="374"/>
      <c r="O223" s="375"/>
      <c r="P223" s="375"/>
      <c r="Q223" s="375"/>
      <c r="R223" s="480"/>
      <c r="S223" s="481">
        <f t="shared" si="8"/>
        <v>958537.062576923</v>
      </c>
      <c r="T223" s="551"/>
      <c r="U223" s="466"/>
      <c r="V223" s="466"/>
      <c r="W223" s="466"/>
    </row>
    <row r="224" spans="1:25" s="278" customFormat="1" ht="39.75" customHeight="1" outlineLevel="1">
      <c r="A224" s="435" t="s">
        <v>486</v>
      </c>
      <c r="B224" s="788" t="s">
        <v>347</v>
      </c>
      <c r="C224" s="789"/>
      <c r="D224" s="435"/>
      <c r="E224" s="435" t="s">
        <v>149</v>
      </c>
      <c r="F224" s="435"/>
      <c r="G224" s="435"/>
      <c r="H224" s="440">
        <f>SUM(H225:H228)</f>
        <v>132486.72999999998</v>
      </c>
      <c r="I224" s="436">
        <v>1</v>
      </c>
      <c r="J224" s="436">
        <v>0</v>
      </c>
      <c r="K224" s="437" t="s">
        <v>8</v>
      </c>
      <c r="L224" s="435" t="s">
        <v>132</v>
      </c>
      <c r="M224" s="349">
        <v>44105</v>
      </c>
      <c r="N224" s="349">
        <v>45292</v>
      </c>
      <c r="O224" s="350" t="s">
        <v>160</v>
      </c>
      <c r="P224" s="438"/>
      <c r="Q224" s="350" t="s">
        <v>404</v>
      </c>
      <c r="R224" s="475"/>
      <c r="S224" s="456">
        <f t="shared" si="8"/>
        <v>662433.6499999999</v>
      </c>
      <c r="T224" s="573"/>
      <c r="U224" s="547"/>
      <c r="V224" s="547"/>
      <c r="W224" s="548"/>
      <c r="X224" s="548"/>
      <c r="Y224" s="548"/>
    </row>
    <row r="225" spans="1:228" s="106" customFormat="1" ht="38.25" customHeight="1" outlineLevel="1">
      <c r="A225" s="439" t="s">
        <v>584</v>
      </c>
      <c r="B225" s="786" t="s">
        <v>582</v>
      </c>
      <c r="C225" s="787"/>
      <c r="D225" s="326"/>
      <c r="E225" s="326" t="s">
        <v>149</v>
      </c>
      <c r="F225" s="326"/>
      <c r="G225" s="326"/>
      <c r="H225" s="367">
        <v>30000</v>
      </c>
      <c r="I225" s="330">
        <v>1</v>
      </c>
      <c r="J225" s="330">
        <v>0</v>
      </c>
      <c r="K225" s="331" t="s">
        <v>329</v>
      </c>
      <c r="L225" s="326" t="s">
        <v>132</v>
      </c>
      <c r="M225" s="332">
        <v>44470</v>
      </c>
      <c r="N225" s="332">
        <v>45292</v>
      </c>
      <c r="O225" s="333" t="s">
        <v>160</v>
      </c>
      <c r="P225" s="335"/>
      <c r="Q225" s="326" t="s">
        <v>404</v>
      </c>
      <c r="R225" s="575"/>
      <c r="S225" s="455">
        <f t="shared" si="8"/>
        <v>150000</v>
      </c>
      <c r="T225" s="577"/>
      <c r="U225" s="460"/>
      <c r="V225" s="460"/>
      <c r="X225" s="460"/>
      <c r="Y225" s="460"/>
      <c r="AA225" s="460"/>
      <c r="AB225" s="460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GL225" s="74"/>
      <c r="GM225" s="74"/>
      <c r="GN225" s="74"/>
      <c r="GO225" s="74"/>
      <c r="GP225" s="74"/>
      <c r="GQ225" s="74"/>
      <c r="GR225" s="74"/>
      <c r="GS225" s="74"/>
      <c r="GT225" s="74"/>
      <c r="GU225" s="74"/>
      <c r="GV225" s="74"/>
      <c r="GW225" s="74"/>
      <c r="GX225" s="74"/>
      <c r="GY225" s="74"/>
      <c r="GZ225" s="74"/>
      <c r="HA225" s="74"/>
      <c r="HB225" s="74"/>
      <c r="HC225" s="74"/>
      <c r="HD225" s="74"/>
      <c r="HE225" s="74"/>
      <c r="HF225" s="74"/>
      <c r="HG225" s="74"/>
      <c r="HH225" s="74"/>
      <c r="HI225" s="74"/>
      <c r="HJ225" s="74"/>
      <c r="HK225" s="74"/>
      <c r="HL225" s="74"/>
      <c r="HM225" s="74"/>
      <c r="HN225" s="74"/>
      <c r="HO225" s="74"/>
      <c r="HP225" s="74"/>
      <c r="HQ225" s="74"/>
      <c r="HR225" s="74"/>
      <c r="HS225" s="74"/>
      <c r="HT225" s="74"/>
    </row>
    <row r="226" spans="1:28" s="133" customFormat="1" ht="38.25" customHeight="1" outlineLevel="1">
      <c r="A226" s="439" t="s">
        <v>585</v>
      </c>
      <c r="B226" s="786" t="s">
        <v>583</v>
      </c>
      <c r="C226" s="787"/>
      <c r="D226" s="326"/>
      <c r="E226" s="326" t="s">
        <v>149</v>
      </c>
      <c r="F226" s="326"/>
      <c r="G226" s="326"/>
      <c r="H226" s="655">
        <v>55629.45</v>
      </c>
      <c r="I226" s="330">
        <v>1</v>
      </c>
      <c r="J226" s="330">
        <v>0</v>
      </c>
      <c r="K226" s="331" t="s">
        <v>329</v>
      </c>
      <c r="L226" s="326" t="s">
        <v>132</v>
      </c>
      <c r="M226" s="332">
        <v>44470</v>
      </c>
      <c r="N226" s="332">
        <v>45170</v>
      </c>
      <c r="O226" s="333" t="s">
        <v>160</v>
      </c>
      <c r="P226" s="335"/>
      <c r="Q226" s="333" t="s">
        <v>612</v>
      </c>
      <c r="R226" s="611"/>
      <c r="S226" s="455">
        <f t="shared" si="8"/>
        <v>278147.25</v>
      </c>
      <c r="T226" s="612"/>
      <c r="U226" s="608"/>
      <c r="V226" s="608"/>
      <c r="W226" s="608"/>
      <c r="X226" s="608"/>
      <c r="Y226" s="608"/>
      <c r="AA226" s="608"/>
      <c r="AB226" s="608"/>
    </row>
    <row r="227" spans="1:228" s="106" customFormat="1" ht="38.25" customHeight="1" outlineLevel="1">
      <c r="A227" s="439" t="s">
        <v>586</v>
      </c>
      <c r="B227" s="786" t="s">
        <v>621</v>
      </c>
      <c r="C227" s="787"/>
      <c r="D227" s="326"/>
      <c r="E227" s="326" t="s">
        <v>149</v>
      </c>
      <c r="F227" s="326"/>
      <c r="G227" s="326"/>
      <c r="H227" s="367">
        <v>20000</v>
      </c>
      <c r="I227" s="330">
        <v>1</v>
      </c>
      <c r="J227" s="330">
        <v>0</v>
      </c>
      <c r="K227" s="331" t="s">
        <v>329</v>
      </c>
      <c r="L227" s="326" t="s">
        <v>132</v>
      </c>
      <c r="M227" s="332">
        <v>44470</v>
      </c>
      <c r="N227" s="332">
        <v>45292</v>
      </c>
      <c r="O227" s="333" t="s">
        <v>160</v>
      </c>
      <c r="P227" s="335"/>
      <c r="Q227" s="326" t="s">
        <v>404</v>
      </c>
      <c r="R227" s="575"/>
      <c r="S227" s="455">
        <f t="shared" si="8"/>
        <v>100000</v>
      </c>
      <c r="T227" s="577"/>
      <c r="U227" s="460"/>
      <c r="V227" s="460"/>
      <c r="W227" s="460"/>
      <c r="X227" s="460"/>
      <c r="Y227" s="460"/>
      <c r="AA227" s="460"/>
      <c r="AB227" s="460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GL227" s="74"/>
      <c r="GM227" s="74"/>
      <c r="GN227" s="74"/>
      <c r="GO227" s="74"/>
      <c r="GP227" s="74"/>
      <c r="GQ227" s="74"/>
      <c r="GR227" s="74"/>
      <c r="GS227" s="74"/>
      <c r="GT227" s="74"/>
      <c r="GU227" s="74"/>
      <c r="GV227" s="74"/>
      <c r="GW227" s="74"/>
      <c r="GX227" s="74"/>
      <c r="GY227" s="74"/>
      <c r="GZ227" s="74"/>
      <c r="HA227" s="74"/>
      <c r="HB227" s="74"/>
      <c r="HC227" s="74"/>
      <c r="HD227" s="74"/>
      <c r="HE227" s="74"/>
      <c r="HF227" s="74"/>
      <c r="HG227" s="74"/>
      <c r="HH227" s="74"/>
      <c r="HI227" s="74"/>
      <c r="HJ227" s="74"/>
      <c r="HK227" s="74"/>
      <c r="HL227" s="74"/>
      <c r="HM227" s="74"/>
      <c r="HN227" s="74"/>
      <c r="HO227" s="74"/>
      <c r="HP227" s="74"/>
      <c r="HQ227" s="74"/>
      <c r="HR227" s="74"/>
      <c r="HS227" s="74"/>
      <c r="HT227" s="74"/>
    </row>
    <row r="228" spans="1:28" s="133" customFormat="1" ht="38.25" customHeight="1" outlineLevel="1">
      <c r="A228" s="439" t="s">
        <v>587</v>
      </c>
      <c r="B228" s="786" t="s">
        <v>622</v>
      </c>
      <c r="C228" s="787"/>
      <c r="D228" s="326"/>
      <c r="E228" s="326" t="s">
        <v>149</v>
      </c>
      <c r="F228" s="326"/>
      <c r="G228" s="326"/>
      <c r="H228" s="329">
        <v>26857.28</v>
      </c>
      <c r="I228" s="330">
        <v>1</v>
      </c>
      <c r="J228" s="330">
        <v>0</v>
      </c>
      <c r="K228" s="331" t="s">
        <v>329</v>
      </c>
      <c r="L228" s="326" t="s">
        <v>132</v>
      </c>
      <c r="M228" s="332">
        <v>44470</v>
      </c>
      <c r="N228" s="332">
        <v>45170</v>
      </c>
      <c r="O228" s="333" t="s">
        <v>160</v>
      </c>
      <c r="P228" s="335"/>
      <c r="Q228" s="333" t="s">
        <v>612</v>
      </c>
      <c r="R228" s="611"/>
      <c r="S228" s="455">
        <f t="shared" si="8"/>
        <v>134286.4</v>
      </c>
      <c r="T228" s="612"/>
      <c r="U228" s="608"/>
      <c r="V228" s="608"/>
      <c r="W228" s="608"/>
      <c r="X228" s="608"/>
      <c r="Y228" s="608"/>
      <c r="AA228" s="608"/>
      <c r="AB228" s="608"/>
    </row>
    <row r="229" spans="1:28" s="278" customFormat="1" ht="39.75" customHeight="1" outlineLevel="2">
      <c r="A229" s="435" t="s">
        <v>487</v>
      </c>
      <c r="B229" s="788" t="s">
        <v>334</v>
      </c>
      <c r="C229" s="789"/>
      <c r="D229" s="435"/>
      <c r="E229" s="435" t="s">
        <v>149</v>
      </c>
      <c r="F229" s="435"/>
      <c r="G229" s="435"/>
      <c r="H229" s="440">
        <v>45288.082515384616</v>
      </c>
      <c r="I229" s="436">
        <v>1</v>
      </c>
      <c r="J229" s="436">
        <v>0</v>
      </c>
      <c r="K229" s="437" t="s">
        <v>8</v>
      </c>
      <c r="L229" s="435" t="s">
        <v>132</v>
      </c>
      <c r="M229" s="349">
        <v>44105</v>
      </c>
      <c r="N229" s="349">
        <v>45292</v>
      </c>
      <c r="O229" s="350" t="s">
        <v>160</v>
      </c>
      <c r="P229" s="438"/>
      <c r="Q229" s="350" t="s">
        <v>404</v>
      </c>
      <c r="R229" s="475"/>
      <c r="S229" s="456">
        <f t="shared" si="8"/>
        <v>226440.4125769231</v>
      </c>
      <c r="T229" s="576"/>
      <c r="U229" s="451"/>
      <c r="V229" s="451"/>
      <c r="W229" s="451"/>
      <c r="X229" s="451"/>
      <c r="Y229" s="451"/>
      <c r="AA229" s="451"/>
      <c r="AB229" s="451"/>
    </row>
    <row r="230" spans="1:29" ht="39.75" customHeight="1" outlineLevel="1">
      <c r="A230" s="435" t="s">
        <v>488</v>
      </c>
      <c r="B230" s="788" t="s">
        <v>335</v>
      </c>
      <c r="C230" s="789"/>
      <c r="D230" s="435"/>
      <c r="E230" s="435" t="s">
        <v>149</v>
      </c>
      <c r="F230" s="435"/>
      <c r="G230" s="435"/>
      <c r="H230" s="440">
        <f>SUM(H231:H234)</f>
        <v>11542</v>
      </c>
      <c r="I230" s="436">
        <v>1</v>
      </c>
      <c r="J230" s="436">
        <v>0</v>
      </c>
      <c r="K230" s="437" t="s">
        <v>8</v>
      </c>
      <c r="L230" s="435" t="s">
        <v>132</v>
      </c>
      <c r="M230" s="349">
        <v>44105</v>
      </c>
      <c r="N230" s="349">
        <v>45292</v>
      </c>
      <c r="O230" s="350" t="s">
        <v>160</v>
      </c>
      <c r="P230" s="438"/>
      <c r="Q230" s="350" t="s">
        <v>404</v>
      </c>
      <c r="R230" s="475"/>
      <c r="S230" s="456">
        <f t="shared" si="8"/>
        <v>57710</v>
      </c>
      <c r="T230" s="576"/>
      <c r="U230" s="451"/>
      <c r="V230" s="451"/>
      <c r="W230" s="278"/>
      <c r="X230" s="278"/>
      <c r="Y230" s="278"/>
      <c r="Z230" s="278"/>
      <c r="AA230" s="451"/>
      <c r="AB230" s="451"/>
      <c r="AC230" s="278"/>
    </row>
    <row r="231" spans="1:28" s="106" customFormat="1" ht="39" customHeight="1" outlineLevel="2">
      <c r="A231" s="326" t="s">
        <v>591</v>
      </c>
      <c r="B231" s="786" t="s">
        <v>588</v>
      </c>
      <c r="C231" s="787"/>
      <c r="D231" s="326"/>
      <c r="E231" s="326" t="s">
        <v>149</v>
      </c>
      <c r="F231" s="326"/>
      <c r="G231" s="326"/>
      <c r="H231" s="329">
        <v>4000</v>
      </c>
      <c r="I231" s="330">
        <v>1</v>
      </c>
      <c r="J231" s="330">
        <v>0</v>
      </c>
      <c r="K231" s="331" t="s">
        <v>329</v>
      </c>
      <c r="L231" s="326" t="s">
        <v>132</v>
      </c>
      <c r="M231" s="332">
        <v>44470</v>
      </c>
      <c r="N231" s="332">
        <v>45292</v>
      </c>
      <c r="O231" s="333" t="s">
        <v>160</v>
      </c>
      <c r="P231" s="335"/>
      <c r="Q231" s="326" t="s">
        <v>404</v>
      </c>
      <c r="R231" s="575"/>
      <c r="S231" s="455">
        <f t="shared" si="8"/>
        <v>20000</v>
      </c>
      <c r="T231" s="577"/>
      <c r="U231" s="460"/>
      <c r="V231" s="460"/>
      <c r="W231" s="460"/>
      <c r="X231" s="460"/>
      <c r="Y231" s="460"/>
      <c r="AA231" s="460"/>
      <c r="AB231" s="460"/>
    </row>
    <row r="232" spans="1:28" s="106" customFormat="1" ht="39" customHeight="1" outlineLevel="2">
      <c r="A232" s="326" t="s">
        <v>592</v>
      </c>
      <c r="B232" s="786" t="s">
        <v>589</v>
      </c>
      <c r="C232" s="787"/>
      <c r="D232" s="326"/>
      <c r="E232" s="326" t="s">
        <v>149</v>
      </c>
      <c r="F232" s="326"/>
      <c r="G232" s="326"/>
      <c r="H232" s="329">
        <v>7542</v>
      </c>
      <c r="I232" s="330">
        <v>1</v>
      </c>
      <c r="J232" s="330">
        <v>0</v>
      </c>
      <c r="K232" s="331" t="s">
        <v>329</v>
      </c>
      <c r="L232" s="326" t="s">
        <v>132</v>
      </c>
      <c r="M232" s="332">
        <v>44470</v>
      </c>
      <c r="N232" s="332">
        <v>45292</v>
      </c>
      <c r="O232" s="333" t="s">
        <v>160</v>
      </c>
      <c r="P232" s="335"/>
      <c r="Q232" s="326" t="s">
        <v>404</v>
      </c>
      <c r="R232" s="575"/>
      <c r="S232" s="455">
        <f t="shared" si="8"/>
        <v>37710</v>
      </c>
      <c r="T232" s="577"/>
      <c r="U232" s="460"/>
      <c r="V232" s="460"/>
      <c r="W232" s="460"/>
      <c r="X232" s="460"/>
      <c r="Y232" s="460"/>
      <c r="AA232" s="460"/>
      <c r="AB232" s="460"/>
    </row>
    <row r="233" spans="1:228" s="106" customFormat="1" ht="39" customHeight="1" hidden="1" outlineLevel="2">
      <c r="A233" s="326"/>
      <c r="B233" s="786" t="s">
        <v>593</v>
      </c>
      <c r="C233" s="787"/>
      <c r="D233" s="326">
        <v>12</v>
      </c>
      <c r="E233" s="351" t="s">
        <v>307</v>
      </c>
      <c r="F233" s="326"/>
      <c r="G233" s="326"/>
      <c r="H233" s="367"/>
      <c r="I233" s="583">
        <v>1</v>
      </c>
      <c r="J233" s="583">
        <v>0</v>
      </c>
      <c r="K233" s="368" t="s">
        <v>329</v>
      </c>
      <c r="L233" s="351" t="s">
        <v>132</v>
      </c>
      <c r="M233" s="332">
        <v>44470</v>
      </c>
      <c r="N233" s="332">
        <v>45170</v>
      </c>
      <c r="O233" s="369"/>
      <c r="P233" s="413"/>
      <c r="Q233" s="326" t="s">
        <v>632</v>
      </c>
      <c r="R233" s="575"/>
      <c r="S233" s="455">
        <f t="shared" si="8"/>
        <v>0</v>
      </c>
      <c r="T233" s="577"/>
      <c r="AA233" s="460"/>
      <c r="AB233" s="460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GL233" s="74"/>
      <c r="GM233" s="74"/>
      <c r="GN233" s="74"/>
      <c r="GO233" s="74"/>
      <c r="GP233" s="74"/>
      <c r="GQ233" s="74"/>
      <c r="GR233" s="74"/>
      <c r="GS233" s="74"/>
      <c r="GT233" s="74"/>
      <c r="GU233" s="74"/>
      <c r="GV233" s="74"/>
      <c r="GW233" s="74"/>
      <c r="GX233" s="74"/>
      <c r="GY233" s="74"/>
      <c r="GZ233" s="74"/>
      <c r="HA233" s="74"/>
      <c r="HB233" s="74"/>
      <c r="HC233" s="74"/>
      <c r="HD233" s="74"/>
      <c r="HE233" s="74"/>
      <c r="HF233" s="74"/>
      <c r="HG233" s="74"/>
      <c r="HH233" s="74"/>
      <c r="HI233" s="74"/>
      <c r="HJ233" s="74"/>
      <c r="HK233" s="74"/>
      <c r="HL233" s="74"/>
      <c r="HM233" s="74"/>
      <c r="HN233" s="74"/>
      <c r="HO233" s="74"/>
      <c r="HP233" s="74"/>
      <c r="HQ233" s="74"/>
      <c r="HR233" s="74"/>
      <c r="HS233" s="74"/>
      <c r="HT233" s="74"/>
    </row>
    <row r="234" spans="1:228" s="278" customFormat="1" ht="41.25" customHeight="1" hidden="1">
      <c r="A234" s="326"/>
      <c r="B234" s="786" t="s">
        <v>590</v>
      </c>
      <c r="C234" s="787"/>
      <c r="D234" s="326">
        <v>25</v>
      </c>
      <c r="E234" s="351" t="s">
        <v>307</v>
      </c>
      <c r="F234" s="326"/>
      <c r="G234" s="326"/>
      <c r="H234" s="367"/>
      <c r="I234" s="583">
        <v>1</v>
      </c>
      <c r="J234" s="583">
        <v>0</v>
      </c>
      <c r="K234" s="368" t="s">
        <v>329</v>
      </c>
      <c r="L234" s="351" t="s">
        <v>132</v>
      </c>
      <c r="M234" s="332">
        <v>44470</v>
      </c>
      <c r="N234" s="332">
        <v>45170</v>
      </c>
      <c r="O234" s="369"/>
      <c r="P234" s="413"/>
      <c r="Q234" s="326" t="s">
        <v>632</v>
      </c>
      <c r="R234" s="575"/>
      <c r="S234" s="455">
        <f t="shared" si="8"/>
        <v>0</v>
      </c>
      <c r="T234" s="577"/>
      <c r="U234" s="106"/>
      <c r="V234" s="106"/>
      <c r="W234" s="106"/>
      <c r="X234" s="106"/>
      <c r="Y234" s="106"/>
      <c r="Z234" s="106"/>
      <c r="AA234" s="460"/>
      <c r="AB234" s="460"/>
      <c r="AC234" s="106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GL234" s="74"/>
      <c r="GM234" s="74"/>
      <c r="GN234" s="74"/>
      <c r="GO234" s="74"/>
      <c r="GP234" s="74"/>
      <c r="GQ234" s="74"/>
      <c r="GR234" s="74"/>
      <c r="GS234" s="74"/>
      <c r="GT234" s="74"/>
      <c r="GU234" s="74"/>
      <c r="GV234" s="74"/>
      <c r="GW234" s="74"/>
      <c r="GX234" s="74"/>
      <c r="GY234" s="74"/>
      <c r="GZ234" s="74"/>
      <c r="HA234" s="74"/>
      <c r="HB234" s="74"/>
      <c r="HC234" s="74"/>
      <c r="HD234" s="74"/>
      <c r="HE234" s="74"/>
      <c r="HF234" s="74"/>
      <c r="HG234" s="74"/>
      <c r="HH234" s="74"/>
      <c r="HI234" s="74"/>
      <c r="HJ234" s="74"/>
      <c r="HK234" s="74"/>
      <c r="HL234" s="74"/>
      <c r="HM234" s="74"/>
      <c r="HN234" s="74"/>
      <c r="HO234" s="74"/>
      <c r="HP234" s="74"/>
      <c r="HQ234" s="74"/>
      <c r="HR234" s="74"/>
      <c r="HS234" s="74"/>
      <c r="HT234" s="74"/>
    </row>
    <row r="235" spans="1:29" ht="48.75" customHeight="1" outlineLevel="1">
      <c r="A235" s="435" t="s">
        <v>489</v>
      </c>
      <c r="B235" s="788" t="s">
        <v>336</v>
      </c>
      <c r="C235" s="789"/>
      <c r="D235" s="435"/>
      <c r="E235" s="435" t="s">
        <v>149</v>
      </c>
      <c r="F235" s="435"/>
      <c r="G235" s="435"/>
      <c r="H235" s="440">
        <v>1390.6000000000004</v>
      </c>
      <c r="I235" s="436">
        <v>1</v>
      </c>
      <c r="J235" s="436">
        <v>0</v>
      </c>
      <c r="K235" s="437" t="s">
        <v>8</v>
      </c>
      <c r="L235" s="435" t="s">
        <v>132</v>
      </c>
      <c r="M235" s="349">
        <v>44105</v>
      </c>
      <c r="N235" s="349">
        <v>45292</v>
      </c>
      <c r="O235" s="350" t="s">
        <v>160</v>
      </c>
      <c r="P235" s="438"/>
      <c r="Q235" s="350" t="s">
        <v>612</v>
      </c>
      <c r="R235" s="475"/>
      <c r="S235" s="456">
        <f t="shared" si="8"/>
        <v>6953.000000000002</v>
      </c>
      <c r="T235" s="576"/>
      <c r="U235" s="451"/>
      <c r="V235" s="451"/>
      <c r="W235" s="451"/>
      <c r="X235" s="451"/>
      <c r="Y235" s="451"/>
      <c r="Z235" s="278"/>
      <c r="AA235" s="451"/>
      <c r="AB235" s="451"/>
      <c r="AC235" s="278"/>
    </row>
    <row r="236" spans="1:28" s="278" customFormat="1" ht="38.25" customHeight="1" outlineLevel="1">
      <c r="A236" s="435" t="s">
        <v>580</v>
      </c>
      <c r="B236" s="788" t="s">
        <v>581</v>
      </c>
      <c r="C236" s="789"/>
      <c r="D236" s="344"/>
      <c r="E236" s="344" t="s">
        <v>149</v>
      </c>
      <c r="F236" s="344"/>
      <c r="G236" s="344"/>
      <c r="H236" s="346">
        <v>1000</v>
      </c>
      <c r="I236" s="347">
        <v>1</v>
      </c>
      <c r="J236" s="347">
        <v>0</v>
      </c>
      <c r="K236" s="348" t="s">
        <v>329</v>
      </c>
      <c r="L236" s="344" t="s">
        <v>132</v>
      </c>
      <c r="M236" s="349">
        <v>44470</v>
      </c>
      <c r="N236" s="349">
        <v>45292</v>
      </c>
      <c r="O236" s="350" t="s">
        <v>160</v>
      </c>
      <c r="P236" s="414"/>
      <c r="Q236" s="344" t="s">
        <v>404</v>
      </c>
      <c r="R236" s="475"/>
      <c r="S236" s="456">
        <f t="shared" si="8"/>
        <v>5000</v>
      </c>
      <c r="T236" s="576"/>
      <c r="U236" s="451"/>
      <c r="V236" s="451"/>
      <c r="W236" s="451"/>
      <c r="X236" s="451"/>
      <c r="Y236" s="451"/>
      <c r="AA236" s="451"/>
      <c r="AB236" s="451"/>
    </row>
    <row r="237" spans="1:23" s="467" customFormat="1" ht="48.75" customHeight="1" outlineLevel="1">
      <c r="A237" s="391" t="s">
        <v>106</v>
      </c>
      <c r="B237" s="790" t="s">
        <v>448</v>
      </c>
      <c r="C237" s="791"/>
      <c r="D237" s="391"/>
      <c r="E237" s="391"/>
      <c r="F237" s="391"/>
      <c r="G237" s="393"/>
      <c r="H237" s="392">
        <f>H238+H242+H247</f>
        <v>51918008.3894624</v>
      </c>
      <c r="I237" s="394">
        <v>1</v>
      </c>
      <c r="J237" s="394">
        <v>0</v>
      </c>
      <c r="K237" s="400"/>
      <c r="L237" s="391"/>
      <c r="M237" s="395"/>
      <c r="N237" s="395"/>
      <c r="O237" s="393"/>
      <c r="P237" s="396"/>
      <c r="Q237" s="396"/>
      <c r="R237" s="479"/>
      <c r="S237" s="457">
        <f t="shared" si="8"/>
        <v>259590041.947312</v>
      </c>
      <c r="T237" s="549"/>
      <c r="W237" s="468"/>
    </row>
    <row r="238" spans="1:20" s="465" customFormat="1" ht="48.75" customHeight="1" hidden="1" outlineLevel="1">
      <c r="A238" s="370"/>
      <c r="B238" s="794" t="s">
        <v>450</v>
      </c>
      <c r="C238" s="795"/>
      <c r="D238" s="371"/>
      <c r="E238" s="370"/>
      <c r="F238" s="370"/>
      <c r="G238" s="376"/>
      <c r="H238" s="371">
        <f>H239+H240</f>
        <v>0</v>
      </c>
      <c r="I238" s="372"/>
      <c r="J238" s="372"/>
      <c r="K238" s="373"/>
      <c r="L238" s="370"/>
      <c r="M238" s="374"/>
      <c r="N238" s="374"/>
      <c r="O238" s="376"/>
      <c r="P238" s="375"/>
      <c r="Q238" s="375"/>
      <c r="R238" s="480"/>
      <c r="S238" s="481">
        <f t="shared" si="8"/>
        <v>0</v>
      </c>
      <c r="T238" s="551"/>
    </row>
    <row r="239" spans="1:29" ht="56.25" customHeight="1" hidden="1" outlineLevel="1" collapsed="1">
      <c r="A239" s="344"/>
      <c r="B239" s="788" t="s">
        <v>402</v>
      </c>
      <c r="C239" s="789"/>
      <c r="D239" s="344"/>
      <c r="E239" s="344" t="s">
        <v>149</v>
      </c>
      <c r="F239" s="344"/>
      <c r="G239" s="344"/>
      <c r="H239" s="346"/>
      <c r="I239" s="347">
        <v>1</v>
      </c>
      <c r="J239" s="347">
        <v>0</v>
      </c>
      <c r="K239" s="348" t="s">
        <v>9</v>
      </c>
      <c r="L239" s="344" t="s">
        <v>132</v>
      </c>
      <c r="M239" s="349">
        <v>44136</v>
      </c>
      <c r="N239" s="349">
        <v>44805</v>
      </c>
      <c r="O239" s="350" t="s">
        <v>160</v>
      </c>
      <c r="P239" s="350"/>
      <c r="Q239" s="350" t="s">
        <v>55</v>
      </c>
      <c r="R239" s="344"/>
      <c r="S239" s="456">
        <f t="shared" si="8"/>
        <v>0</v>
      </c>
      <c r="T239" s="554"/>
      <c r="U239" s="463"/>
      <c r="V239" s="278"/>
      <c r="W239" s="278"/>
      <c r="X239" s="278"/>
      <c r="Y239" s="278"/>
      <c r="Z239" s="278"/>
      <c r="AA239" s="106"/>
      <c r="AB239" s="106"/>
      <c r="AC239" s="106"/>
    </row>
    <row r="240" spans="1:228" s="106" customFormat="1" ht="53.25" customHeight="1" hidden="1" outlineLevel="2">
      <c r="A240" s="344"/>
      <c r="B240" s="788" t="s">
        <v>401</v>
      </c>
      <c r="C240" s="789"/>
      <c r="D240" s="344"/>
      <c r="E240" s="344" t="s">
        <v>307</v>
      </c>
      <c r="F240" s="344"/>
      <c r="G240" s="344"/>
      <c r="H240" s="415">
        <v>0</v>
      </c>
      <c r="I240" s="347">
        <v>1</v>
      </c>
      <c r="J240" s="347">
        <v>0</v>
      </c>
      <c r="K240" s="348" t="s">
        <v>0</v>
      </c>
      <c r="L240" s="344" t="s">
        <v>132</v>
      </c>
      <c r="M240" s="349">
        <v>44287</v>
      </c>
      <c r="N240" s="349">
        <v>44348</v>
      </c>
      <c r="O240" s="350"/>
      <c r="P240" s="350"/>
      <c r="Q240" s="585" t="s">
        <v>1</v>
      </c>
      <c r="R240" s="475"/>
      <c r="S240" s="456">
        <f t="shared" si="8"/>
        <v>0</v>
      </c>
      <c r="T240" s="554"/>
      <c r="U240" s="278"/>
      <c r="V240" s="278"/>
      <c r="W240" s="278"/>
      <c r="X240" s="278"/>
      <c r="Y240" s="278"/>
      <c r="Z240" s="278"/>
      <c r="AA240" s="278"/>
      <c r="AB240" s="278"/>
      <c r="AC240" s="278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  <c r="HE240" s="74"/>
      <c r="HF240" s="74"/>
      <c r="HG240" s="74"/>
      <c r="HH240" s="74"/>
      <c r="HI240" s="74"/>
      <c r="HJ240" s="74"/>
      <c r="HK240" s="74"/>
      <c r="HL240" s="74"/>
      <c r="HM240" s="74"/>
      <c r="HN240" s="74"/>
      <c r="HO240" s="74"/>
      <c r="HP240" s="74"/>
      <c r="HQ240" s="74"/>
      <c r="HR240" s="74"/>
      <c r="HS240" s="74"/>
      <c r="HT240" s="74"/>
    </row>
    <row r="241" spans="1:228" s="106" customFormat="1" ht="42.75" customHeight="1" hidden="1">
      <c r="A241" s="370"/>
      <c r="B241" s="794" t="s">
        <v>400</v>
      </c>
      <c r="C241" s="795"/>
      <c r="D241" s="371"/>
      <c r="E241" s="370" t="s">
        <v>307</v>
      </c>
      <c r="F241" s="370"/>
      <c r="G241" s="370"/>
      <c r="H241" s="371"/>
      <c r="I241" s="419">
        <v>1</v>
      </c>
      <c r="J241" s="419">
        <v>0</v>
      </c>
      <c r="K241" s="373" t="s">
        <v>0</v>
      </c>
      <c r="L241" s="370" t="s">
        <v>132</v>
      </c>
      <c r="M241" s="374">
        <v>44288</v>
      </c>
      <c r="N241" s="374">
        <v>44349</v>
      </c>
      <c r="O241" s="375"/>
      <c r="P241" s="375"/>
      <c r="Q241" s="375" t="s">
        <v>6</v>
      </c>
      <c r="R241" s="477"/>
      <c r="S241" s="482">
        <f t="shared" si="8"/>
        <v>0</v>
      </c>
      <c r="T241" s="569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GL241" s="74"/>
      <c r="GM241" s="74"/>
      <c r="GN241" s="74"/>
      <c r="GO241" s="74"/>
      <c r="GP241" s="74"/>
      <c r="GQ241" s="74"/>
      <c r="GR241" s="74"/>
      <c r="GS241" s="74"/>
      <c r="GT241" s="74"/>
      <c r="GU241" s="74"/>
      <c r="GV241" s="74"/>
      <c r="GW241" s="74"/>
      <c r="GX241" s="74"/>
      <c r="GY241" s="74"/>
      <c r="GZ241" s="74"/>
      <c r="HA241" s="74"/>
      <c r="HB241" s="74"/>
      <c r="HC241" s="74"/>
      <c r="HD241" s="74"/>
      <c r="HE241" s="74"/>
      <c r="HF241" s="74"/>
      <c r="HG241" s="74"/>
      <c r="HH241" s="74"/>
      <c r="HI241" s="74"/>
      <c r="HJ241" s="74"/>
      <c r="HK241" s="74"/>
      <c r="HL241" s="74"/>
      <c r="HM241" s="74"/>
      <c r="HN241" s="74"/>
      <c r="HO241" s="74"/>
      <c r="HP241" s="74"/>
      <c r="HQ241" s="74"/>
      <c r="HR241" s="74"/>
      <c r="HS241" s="74"/>
      <c r="HT241" s="74"/>
    </row>
    <row r="242" spans="1:20" s="465" customFormat="1" ht="48" customHeight="1">
      <c r="A242" s="370" t="s">
        <v>194</v>
      </c>
      <c r="B242" s="794" t="s">
        <v>395</v>
      </c>
      <c r="C242" s="795"/>
      <c r="D242" s="370"/>
      <c r="E242" s="371"/>
      <c r="F242" s="370"/>
      <c r="G242" s="376"/>
      <c r="H242" s="371">
        <f>(H243+H245)</f>
        <v>36032478.019999996</v>
      </c>
      <c r="I242" s="372">
        <v>1</v>
      </c>
      <c r="J242" s="372">
        <v>0</v>
      </c>
      <c r="K242" s="373"/>
      <c r="L242" s="370"/>
      <c r="M242" s="374"/>
      <c r="N242" s="374"/>
      <c r="O242" s="376"/>
      <c r="P242" s="375"/>
      <c r="Q242" s="375"/>
      <c r="R242" s="480"/>
      <c r="S242" s="481">
        <f t="shared" si="8"/>
        <v>180162390.09999996</v>
      </c>
      <c r="T242" s="551"/>
    </row>
    <row r="243" spans="1:20" s="278" customFormat="1" ht="33" customHeight="1">
      <c r="A243" s="344" t="s">
        <v>490</v>
      </c>
      <c r="B243" s="788" t="s">
        <v>381</v>
      </c>
      <c r="C243" s="789"/>
      <c r="D243" s="346"/>
      <c r="E243" s="344"/>
      <c r="F243" s="344"/>
      <c r="G243" s="344"/>
      <c r="H243" s="346">
        <f>H244</f>
        <v>15985615.57</v>
      </c>
      <c r="I243" s="347">
        <v>1</v>
      </c>
      <c r="J243" s="347">
        <v>0</v>
      </c>
      <c r="K243" s="348"/>
      <c r="L243" s="344"/>
      <c r="M243" s="349"/>
      <c r="N243" s="349"/>
      <c r="O243" s="350"/>
      <c r="P243" s="350"/>
      <c r="Q243" s="350"/>
      <c r="R243" s="475"/>
      <c r="S243" s="456">
        <f t="shared" si="8"/>
        <v>79928077.85</v>
      </c>
      <c r="T243" s="554"/>
    </row>
    <row r="244" spans="1:20" ht="43.5" customHeight="1">
      <c r="A244" s="326" t="s">
        <v>655</v>
      </c>
      <c r="B244" s="786" t="s">
        <v>394</v>
      </c>
      <c r="C244" s="787"/>
      <c r="D244" s="367"/>
      <c r="E244" s="326" t="s">
        <v>182</v>
      </c>
      <c r="F244" s="326"/>
      <c r="G244" s="441"/>
      <c r="H244" s="329">
        <v>15985615.57</v>
      </c>
      <c r="I244" s="330">
        <v>1</v>
      </c>
      <c r="J244" s="330">
        <v>0</v>
      </c>
      <c r="K244" s="331" t="s">
        <v>8</v>
      </c>
      <c r="L244" s="326" t="s">
        <v>148</v>
      </c>
      <c r="M244" s="332">
        <v>43891</v>
      </c>
      <c r="N244" s="332">
        <v>43891</v>
      </c>
      <c r="O244" s="333"/>
      <c r="P244" s="333" t="s">
        <v>405</v>
      </c>
      <c r="Q244" s="333" t="s">
        <v>612</v>
      </c>
      <c r="R244" s="477"/>
      <c r="S244" s="482">
        <f t="shared" si="8"/>
        <v>79928077.85</v>
      </c>
      <c r="T244" s="569"/>
    </row>
    <row r="245" spans="1:20" s="278" customFormat="1" ht="47.25" customHeight="1">
      <c r="A245" s="344" t="s">
        <v>491</v>
      </c>
      <c r="B245" s="788" t="s">
        <v>380</v>
      </c>
      <c r="C245" s="789"/>
      <c r="D245" s="346"/>
      <c r="E245" s="344"/>
      <c r="F245" s="344"/>
      <c r="G245" s="344"/>
      <c r="H245" s="346">
        <f>SUM(H246)</f>
        <v>20046862.45</v>
      </c>
      <c r="I245" s="347">
        <v>1</v>
      </c>
      <c r="J245" s="347">
        <v>0</v>
      </c>
      <c r="K245" s="348"/>
      <c r="L245" s="344"/>
      <c r="M245" s="349"/>
      <c r="N245" s="349"/>
      <c r="O245" s="350"/>
      <c r="P245" s="350"/>
      <c r="Q245" s="350"/>
      <c r="R245" s="475"/>
      <c r="S245" s="456">
        <f t="shared" si="8"/>
        <v>100234312.25</v>
      </c>
      <c r="T245" s="554"/>
    </row>
    <row r="246" spans="1:21" ht="63" customHeight="1">
      <c r="A246" s="326" t="s">
        <v>656</v>
      </c>
      <c r="B246" s="786" t="s">
        <v>385</v>
      </c>
      <c r="C246" s="787"/>
      <c r="D246" s="367"/>
      <c r="E246" s="326" t="s">
        <v>182</v>
      </c>
      <c r="F246" s="326"/>
      <c r="G246" s="441"/>
      <c r="H246" s="329">
        <v>20046862.45</v>
      </c>
      <c r="I246" s="330">
        <v>1</v>
      </c>
      <c r="J246" s="330">
        <v>0</v>
      </c>
      <c r="K246" s="331" t="s">
        <v>8</v>
      </c>
      <c r="L246" s="326" t="s">
        <v>148</v>
      </c>
      <c r="M246" s="332">
        <v>43891</v>
      </c>
      <c r="N246" s="332">
        <v>43922</v>
      </c>
      <c r="O246" s="333"/>
      <c r="P246" s="333" t="s">
        <v>406</v>
      </c>
      <c r="Q246" s="333" t="s">
        <v>612</v>
      </c>
      <c r="R246" s="477"/>
      <c r="S246" s="482">
        <f t="shared" si="8"/>
        <v>100234312.25</v>
      </c>
      <c r="T246" s="569"/>
      <c r="U246" s="574"/>
    </row>
    <row r="247" spans="1:26" s="465" customFormat="1" ht="36.75" customHeight="1">
      <c r="A247" s="370" t="s">
        <v>492</v>
      </c>
      <c r="B247" s="794" t="s">
        <v>451</v>
      </c>
      <c r="C247" s="795"/>
      <c r="D247" s="370"/>
      <c r="E247" s="370" t="s">
        <v>149</v>
      </c>
      <c r="F247" s="370"/>
      <c r="G247" s="579"/>
      <c r="H247" s="371">
        <f>SUM(H248:H253)</f>
        <v>15885530.369462399</v>
      </c>
      <c r="I247" s="419">
        <v>1</v>
      </c>
      <c r="J247" s="419">
        <v>0</v>
      </c>
      <c r="K247" s="373" t="s">
        <v>8</v>
      </c>
      <c r="L247" s="370" t="s">
        <v>132</v>
      </c>
      <c r="M247" s="374">
        <v>44317</v>
      </c>
      <c r="N247" s="374">
        <v>45292</v>
      </c>
      <c r="O247" s="375"/>
      <c r="P247" s="375"/>
      <c r="Q247" s="375" t="s">
        <v>404</v>
      </c>
      <c r="R247" s="480"/>
      <c r="S247" s="481">
        <f t="shared" si="8"/>
        <v>79427651.84731199</v>
      </c>
      <c r="T247" s="580"/>
      <c r="U247" s="581"/>
      <c r="V247" s="581"/>
      <c r="W247" s="582"/>
      <c r="X247" s="582"/>
      <c r="Y247" s="582"/>
      <c r="Z247" s="582"/>
    </row>
    <row r="248" spans="1:29" s="641" customFormat="1" ht="37.5" customHeight="1">
      <c r="A248" s="344" t="s">
        <v>493</v>
      </c>
      <c r="B248" s="788" t="s">
        <v>501</v>
      </c>
      <c r="C248" s="789"/>
      <c r="D248" s="344"/>
      <c r="E248" s="344" t="s">
        <v>149</v>
      </c>
      <c r="F248" s="344"/>
      <c r="G248" s="656"/>
      <c r="H248" s="346">
        <v>2185788.6</v>
      </c>
      <c r="I248" s="347">
        <v>1</v>
      </c>
      <c r="J248" s="347">
        <v>0</v>
      </c>
      <c r="K248" s="348" t="s">
        <v>8</v>
      </c>
      <c r="L248" s="344" t="s">
        <v>132</v>
      </c>
      <c r="M248" s="349">
        <v>44317</v>
      </c>
      <c r="N248" s="349">
        <v>45292</v>
      </c>
      <c r="O248" s="350" t="s">
        <v>160</v>
      </c>
      <c r="P248" s="350"/>
      <c r="Q248" s="350" t="s">
        <v>404</v>
      </c>
      <c r="R248" s="610"/>
      <c r="S248" s="456">
        <f t="shared" si="8"/>
        <v>10928943</v>
      </c>
      <c r="T248" s="609"/>
      <c r="U248" s="599"/>
      <c r="V248" s="599"/>
      <c r="W248" s="599"/>
      <c r="X248" s="599"/>
      <c r="Y248" s="599"/>
      <c r="Z248" s="275"/>
      <c r="AA248" s="599"/>
      <c r="AB248" s="275"/>
      <c r="AC248" s="275"/>
    </row>
    <row r="249" spans="1:27" s="275" customFormat="1" ht="41.25" customHeight="1">
      <c r="A249" s="344" t="s">
        <v>494</v>
      </c>
      <c r="B249" s="788" t="s">
        <v>502</v>
      </c>
      <c r="C249" s="789" t="s">
        <v>452</v>
      </c>
      <c r="D249" s="344"/>
      <c r="E249" s="344" t="s">
        <v>149</v>
      </c>
      <c r="F249" s="344"/>
      <c r="G249" s="656"/>
      <c r="H249" s="346">
        <v>4530000</v>
      </c>
      <c r="I249" s="347">
        <v>1</v>
      </c>
      <c r="J249" s="347">
        <v>0</v>
      </c>
      <c r="K249" s="348" t="s">
        <v>8</v>
      </c>
      <c r="L249" s="344" t="s">
        <v>132</v>
      </c>
      <c r="M249" s="349">
        <v>44317</v>
      </c>
      <c r="N249" s="349">
        <v>45292</v>
      </c>
      <c r="O249" s="350" t="s">
        <v>160</v>
      </c>
      <c r="P249" s="350"/>
      <c r="Q249" s="350" t="s">
        <v>404</v>
      </c>
      <c r="R249" s="610"/>
      <c r="S249" s="456">
        <f t="shared" si="8"/>
        <v>22650000</v>
      </c>
      <c r="T249" s="609"/>
      <c r="U249" s="599"/>
      <c r="V249" s="599"/>
      <c r="W249" s="599"/>
      <c r="X249" s="599"/>
      <c r="Y249" s="599"/>
      <c r="Z249" s="599"/>
      <c r="AA249" s="645"/>
    </row>
    <row r="250" spans="1:28" s="275" customFormat="1" ht="41.25" customHeight="1">
      <c r="A250" s="344" t="s">
        <v>657</v>
      </c>
      <c r="B250" s="788" t="s">
        <v>607</v>
      </c>
      <c r="C250" s="789" t="s">
        <v>453</v>
      </c>
      <c r="D250" s="344"/>
      <c r="E250" s="344" t="s">
        <v>149</v>
      </c>
      <c r="F250" s="344"/>
      <c r="G250" s="656"/>
      <c r="H250" s="346">
        <v>2456248.3014624</v>
      </c>
      <c r="I250" s="347">
        <v>1</v>
      </c>
      <c r="J250" s="347">
        <v>0</v>
      </c>
      <c r="K250" s="348" t="s">
        <v>8</v>
      </c>
      <c r="L250" s="344" t="s">
        <v>132</v>
      </c>
      <c r="M250" s="349">
        <v>44317</v>
      </c>
      <c r="N250" s="349">
        <v>45292</v>
      </c>
      <c r="O250" s="350" t="s">
        <v>160</v>
      </c>
      <c r="P250" s="350"/>
      <c r="Q250" s="350" t="s">
        <v>404</v>
      </c>
      <c r="R250" s="610"/>
      <c r="S250" s="456">
        <f>H250*5</f>
        <v>12281241.507312</v>
      </c>
      <c r="T250" s="599"/>
      <c r="U250" s="599"/>
      <c r="V250" s="599"/>
      <c r="W250" s="599"/>
      <c r="X250" s="599"/>
      <c r="Y250" s="599"/>
      <c r="Z250" s="609"/>
      <c r="AA250" s="599"/>
      <c r="AB250" s="599"/>
    </row>
    <row r="251" spans="1:29" s="275" customFormat="1" ht="41.25" customHeight="1">
      <c r="A251" s="344" t="s">
        <v>658</v>
      </c>
      <c r="B251" s="788" t="s">
        <v>631</v>
      </c>
      <c r="C251" s="789" t="s">
        <v>453</v>
      </c>
      <c r="D251" s="344"/>
      <c r="E251" s="344" t="s">
        <v>149</v>
      </c>
      <c r="F251" s="344"/>
      <c r="G251" s="656"/>
      <c r="H251" s="346">
        <v>1750000</v>
      </c>
      <c r="I251" s="347">
        <v>1</v>
      </c>
      <c r="J251" s="347">
        <v>0</v>
      </c>
      <c r="K251" s="348" t="s">
        <v>8</v>
      </c>
      <c r="L251" s="344" t="s">
        <v>132</v>
      </c>
      <c r="M251" s="349">
        <v>44317</v>
      </c>
      <c r="N251" s="349">
        <v>45292</v>
      </c>
      <c r="O251" s="350" t="s">
        <v>160</v>
      </c>
      <c r="P251" s="350"/>
      <c r="Q251" s="350" t="s">
        <v>404</v>
      </c>
      <c r="R251" s="610"/>
      <c r="S251" s="456">
        <f t="shared" si="8"/>
        <v>8750000</v>
      </c>
      <c r="T251" s="599"/>
      <c r="U251" s="599"/>
      <c r="V251" s="599"/>
      <c r="W251" s="599"/>
      <c r="X251" s="599"/>
      <c r="Y251" s="599"/>
      <c r="Z251" s="609"/>
      <c r="AA251" s="599"/>
      <c r="AB251" s="599"/>
      <c r="AC251" s="599"/>
    </row>
    <row r="252" spans="1:29" s="641" customFormat="1" ht="37.5" customHeight="1">
      <c r="A252" s="344" t="s">
        <v>659</v>
      </c>
      <c r="B252" s="788" t="s">
        <v>630</v>
      </c>
      <c r="C252" s="789" t="s">
        <v>453</v>
      </c>
      <c r="D252" s="344"/>
      <c r="E252" s="344" t="s">
        <v>149</v>
      </c>
      <c r="F252" s="344"/>
      <c r="G252" s="656"/>
      <c r="H252" s="346">
        <v>4800000</v>
      </c>
      <c r="I252" s="347">
        <v>1</v>
      </c>
      <c r="J252" s="347">
        <v>0</v>
      </c>
      <c r="K252" s="348" t="s">
        <v>8</v>
      </c>
      <c r="L252" s="344" t="s">
        <v>132</v>
      </c>
      <c r="M252" s="349">
        <v>44317</v>
      </c>
      <c r="N252" s="349">
        <v>45292</v>
      </c>
      <c r="O252" s="350" t="s">
        <v>160</v>
      </c>
      <c r="P252" s="350"/>
      <c r="Q252" s="350" t="s">
        <v>404</v>
      </c>
      <c r="R252" s="610"/>
      <c r="S252" s="692">
        <f t="shared" si="8"/>
        <v>24000000</v>
      </c>
      <c r="T252" s="599"/>
      <c r="U252" s="599"/>
      <c r="V252" s="599"/>
      <c r="W252" s="643"/>
      <c r="X252" s="599"/>
      <c r="Y252" s="599"/>
      <c r="Z252" s="275"/>
      <c r="AA252" s="275"/>
      <c r="AB252" s="275"/>
      <c r="AC252" s="275"/>
    </row>
    <row r="253" spans="1:29" s="641" customFormat="1" ht="75.75" customHeight="1">
      <c r="A253" s="703" t="s">
        <v>677</v>
      </c>
      <c r="B253" s="838" t="s">
        <v>678</v>
      </c>
      <c r="C253" s="839"/>
      <c r="D253" s="703"/>
      <c r="E253" s="266" t="s">
        <v>149</v>
      </c>
      <c r="F253" s="703"/>
      <c r="G253" s="704"/>
      <c r="H253" s="705">
        <v>163493.468</v>
      </c>
      <c r="I253" s="706">
        <v>1</v>
      </c>
      <c r="J253" s="706">
        <v>0</v>
      </c>
      <c r="K253" s="707" t="s">
        <v>8</v>
      </c>
      <c r="L253" s="703" t="s">
        <v>132</v>
      </c>
      <c r="M253" s="708">
        <v>44317</v>
      </c>
      <c r="N253" s="708">
        <v>45292</v>
      </c>
      <c r="O253" s="709" t="s">
        <v>160</v>
      </c>
      <c r="P253" s="709"/>
      <c r="Q253" s="266" t="s">
        <v>55</v>
      </c>
      <c r="R253" s="266" t="s">
        <v>685</v>
      </c>
      <c r="S253" s="642">
        <f t="shared" si="8"/>
        <v>817467.34</v>
      </c>
      <c r="T253" s="599"/>
      <c r="U253" s="599"/>
      <c r="V253" s="599"/>
      <c r="W253" s="643"/>
      <c r="X253" s="599"/>
      <c r="Y253" s="599"/>
      <c r="Z253" s="599"/>
      <c r="AA253" s="599"/>
      <c r="AB253" s="599"/>
      <c r="AC253" s="599"/>
    </row>
    <row r="254" spans="1:228" s="291" customFormat="1" ht="31.5" customHeight="1" hidden="1">
      <c r="A254" s="657"/>
      <c r="B254" s="786" t="s">
        <v>228</v>
      </c>
      <c r="C254" s="787"/>
      <c r="D254" s="657"/>
      <c r="E254" s="326" t="s">
        <v>149</v>
      </c>
      <c r="F254" s="657"/>
      <c r="G254" s="658"/>
      <c r="H254" s="659"/>
      <c r="I254" s="660"/>
      <c r="J254" s="660"/>
      <c r="K254" s="661" t="s">
        <v>495</v>
      </c>
      <c r="L254" s="657"/>
      <c r="M254" s="662"/>
      <c r="N254" s="662"/>
      <c r="O254" s="658"/>
      <c r="P254" s="663"/>
      <c r="Q254" s="657"/>
      <c r="R254" s="91"/>
      <c r="S254" s="91"/>
      <c r="T254" s="91"/>
      <c r="U254" s="74"/>
      <c r="V254" s="451"/>
      <c r="W254" s="318"/>
      <c r="X254" s="318"/>
      <c r="Y254" s="318"/>
      <c r="Z254" s="74"/>
      <c r="AA254" s="106"/>
      <c r="AB254" s="106"/>
      <c r="AC254" s="74"/>
      <c r="AD254" s="319"/>
      <c r="AE254" s="319"/>
      <c r="AF254" s="319"/>
      <c r="AG254" s="319"/>
      <c r="AH254" s="319"/>
      <c r="AI254" s="319"/>
      <c r="AJ254" s="319"/>
      <c r="AK254" s="319"/>
      <c r="AL254" s="319"/>
      <c r="AM254" s="319"/>
      <c r="AN254" s="319"/>
      <c r="AO254" s="319"/>
      <c r="AP254" s="319"/>
      <c r="AQ254" s="319"/>
      <c r="AR254" s="319"/>
      <c r="AS254" s="319"/>
      <c r="AT254" s="319"/>
      <c r="AU254" s="319"/>
      <c r="AV254" s="319"/>
      <c r="AW254" s="319"/>
      <c r="AX254" s="319"/>
      <c r="AY254" s="319"/>
      <c r="AZ254" s="319"/>
      <c r="BA254" s="319"/>
      <c r="BB254" s="319"/>
      <c r="BC254" s="319"/>
      <c r="BD254" s="319"/>
      <c r="BE254" s="319"/>
      <c r="BF254" s="319"/>
      <c r="BG254" s="319"/>
      <c r="BH254" s="319"/>
      <c r="BI254" s="319"/>
      <c r="BJ254" s="319"/>
      <c r="BK254" s="319"/>
      <c r="GL254" s="319"/>
      <c r="GM254" s="319"/>
      <c r="GN254" s="319"/>
      <c r="GO254" s="319"/>
      <c r="GP254" s="319"/>
      <c r="GQ254" s="319"/>
      <c r="GR254" s="319"/>
      <c r="GS254" s="319"/>
      <c r="GT254" s="319"/>
      <c r="GU254" s="319"/>
      <c r="GV254" s="319"/>
      <c r="GW254" s="319"/>
      <c r="GX254" s="319"/>
      <c r="GY254" s="319"/>
      <c r="GZ254" s="319"/>
      <c r="HA254" s="319"/>
      <c r="HB254" s="319"/>
      <c r="HC254" s="319"/>
      <c r="HD254" s="319"/>
      <c r="HE254" s="319"/>
      <c r="HF254" s="319"/>
      <c r="HG254" s="319"/>
      <c r="HH254" s="319"/>
      <c r="HI254" s="319"/>
      <c r="HJ254" s="319"/>
      <c r="HK254" s="319"/>
      <c r="HL254" s="319"/>
      <c r="HM254" s="319"/>
      <c r="HN254" s="319"/>
      <c r="HO254" s="319"/>
      <c r="HP254" s="319"/>
      <c r="HQ254" s="319"/>
      <c r="HR254" s="319"/>
      <c r="HS254" s="319"/>
      <c r="HT254" s="319"/>
    </row>
    <row r="255" spans="1:228" s="290" customFormat="1" ht="31.5" customHeight="1" hidden="1">
      <c r="A255" s="326"/>
      <c r="B255" s="786" t="s">
        <v>227</v>
      </c>
      <c r="C255" s="787"/>
      <c r="D255" s="326"/>
      <c r="E255" s="326" t="s">
        <v>149</v>
      </c>
      <c r="F255" s="326"/>
      <c r="G255" s="328"/>
      <c r="H255" s="336"/>
      <c r="I255" s="651"/>
      <c r="J255" s="651"/>
      <c r="K255" s="661" t="s">
        <v>495</v>
      </c>
      <c r="L255" s="326"/>
      <c r="M255" s="332"/>
      <c r="N255" s="332"/>
      <c r="O255" s="328"/>
      <c r="P255" s="333"/>
      <c r="Q255" s="326"/>
      <c r="R255" s="755"/>
      <c r="S255" s="91"/>
      <c r="T255" s="91"/>
      <c r="U255" s="74"/>
      <c r="V255" s="451"/>
      <c r="W255" s="318"/>
      <c r="X255" s="318"/>
      <c r="Y255" s="318"/>
      <c r="Z255" s="74"/>
      <c r="AA255" s="106"/>
      <c r="AB255" s="106"/>
      <c r="AC255" s="74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7"/>
      <c r="AR255" s="187"/>
      <c r="AS255" s="187"/>
      <c r="AT255" s="187"/>
      <c r="AU255" s="187"/>
      <c r="AV255" s="187"/>
      <c r="AW255" s="187"/>
      <c r="AX255" s="187"/>
      <c r="AY255" s="187"/>
      <c r="AZ255" s="187"/>
      <c r="BA255" s="187"/>
      <c r="BB255" s="187"/>
      <c r="BC255" s="187"/>
      <c r="BD255" s="187"/>
      <c r="BE255" s="187"/>
      <c r="BF255" s="187"/>
      <c r="BG255" s="187"/>
      <c r="BH255" s="187"/>
      <c r="BI255" s="187"/>
      <c r="BJ255" s="187"/>
      <c r="BK255" s="187"/>
      <c r="GL255" s="187"/>
      <c r="GM255" s="187"/>
      <c r="GN255" s="187"/>
      <c r="GO255" s="187"/>
      <c r="GP255" s="187"/>
      <c r="GQ255" s="187"/>
      <c r="GR255" s="187"/>
      <c r="GS255" s="187"/>
      <c r="GT255" s="187"/>
      <c r="GU255" s="187"/>
      <c r="GV255" s="187"/>
      <c r="GW255" s="187"/>
      <c r="GX255" s="187"/>
      <c r="GY255" s="187"/>
      <c r="GZ255" s="187"/>
      <c r="HA255" s="187"/>
      <c r="HB255" s="187"/>
      <c r="HC255" s="187"/>
      <c r="HD255" s="187"/>
      <c r="HE255" s="187"/>
      <c r="HF255" s="187"/>
      <c r="HG255" s="187"/>
      <c r="HH255" s="187"/>
      <c r="HI255" s="187"/>
      <c r="HJ255" s="187"/>
      <c r="HK255" s="187"/>
      <c r="HL255" s="187"/>
      <c r="HM255" s="187"/>
      <c r="HN255" s="187"/>
      <c r="HO255" s="187"/>
      <c r="HP255" s="187"/>
      <c r="HQ255" s="187"/>
      <c r="HR255" s="187"/>
      <c r="HS255" s="187"/>
      <c r="HT255" s="187"/>
    </row>
    <row r="256" spans="1:29" s="206" customFormat="1" ht="37.5" customHeight="1" hidden="1">
      <c r="A256" s="326"/>
      <c r="B256" s="786" t="s">
        <v>227</v>
      </c>
      <c r="C256" s="787"/>
      <c r="D256" s="326"/>
      <c r="E256" s="326" t="s">
        <v>149</v>
      </c>
      <c r="F256" s="326"/>
      <c r="G256" s="328"/>
      <c r="H256" s="336"/>
      <c r="I256" s="651"/>
      <c r="J256" s="651"/>
      <c r="K256" s="661" t="s">
        <v>495</v>
      </c>
      <c r="L256" s="326"/>
      <c r="M256" s="332"/>
      <c r="N256" s="332"/>
      <c r="O256" s="328"/>
      <c r="P256" s="333"/>
      <c r="Q256" s="326"/>
      <c r="R256" s="755"/>
      <c r="S256" s="91"/>
      <c r="T256" s="91"/>
      <c r="U256" s="74"/>
      <c r="V256" s="451"/>
      <c r="W256" s="318"/>
      <c r="X256" s="318"/>
      <c r="Y256" s="318"/>
      <c r="Z256" s="74"/>
      <c r="AA256" s="106"/>
      <c r="AB256" s="106"/>
      <c r="AC256" s="74"/>
    </row>
    <row r="257" spans="1:228" s="275" customFormat="1" ht="31.5" customHeight="1" hidden="1">
      <c r="A257" s="326"/>
      <c r="B257" s="786" t="s">
        <v>203</v>
      </c>
      <c r="C257" s="787"/>
      <c r="D257" s="326"/>
      <c r="E257" s="326" t="s">
        <v>149</v>
      </c>
      <c r="F257" s="326"/>
      <c r="G257" s="664"/>
      <c r="H257" s="336"/>
      <c r="I257" s="651"/>
      <c r="J257" s="651"/>
      <c r="K257" s="661" t="s">
        <v>495</v>
      </c>
      <c r="L257" s="326"/>
      <c r="M257" s="332"/>
      <c r="N257" s="332"/>
      <c r="O257" s="328"/>
      <c r="P257" s="333"/>
      <c r="Q257" s="326"/>
      <c r="R257" s="101"/>
      <c r="S257" s="399"/>
      <c r="T257" s="310"/>
      <c r="U257" s="74"/>
      <c r="V257" s="451"/>
      <c r="W257" s="318"/>
      <c r="X257" s="318"/>
      <c r="Y257" s="318"/>
      <c r="Z257" s="74"/>
      <c r="AA257" s="106"/>
      <c r="AB257" s="106"/>
      <c r="AC257" s="74"/>
      <c r="AD257" s="318"/>
      <c r="AE257" s="318"/>
      <c r="AF257" s="318"/>
      <c r="AG257" s="318"/>
      <c r="AH257" s="318"/>
      <c r="AI257" s="318"/>
      <c r="AJ257" s="318"/>
      <c r="AK257" s="318"/>
      <c r="AL257" s="318"/>
      <c r="AM257" s="318"/>
      <c r="AN257" s="318"/>
      <c r="AO257" s="318"/>
      <c r="AP257" s="318"/>
      <c r="AQ257" s="318"/>
      <c r="AR257" s="318"/>
      <c r="AS257" s="318"/>
      <c r="AT257" s="318"/>
      <c r="AU257" s="318"/>
      <c r="AV257" s="318"/>
      <c r="AW257" s="318"/>
      <c r="AX257" s="318"/>
      <c r="AY257" s="318"/>
      <c r="AZ257" s="318"/>
      <c r="BA257" s="318"/>
      <c r="BB257" s="318"/>
      <c r="BC257" s="318"/>
      <c r="BD257" s="318"/>
      <c r="BE257" s="318"/>
      <c r="BF257" s="318"/>
      <c r="BG257" s="318"/>
      <c r="BH257" s="318"/>
      <c r="BI257" s="318"/>
      <c r="BJ257" s="318"/>
      <c r="BK257" s="318"/>
      <c r="GL257" s="318"/>
      <c r="GM257" s="318"/>
      <c r="GN257" s="318"/>
      <c r="GO257" s="318"/>
      <c r="GP257" s="318"/>
      <c r="GQ257" s="318"/>
      <c r="GR257" s="318"/>
      <c r="GS257" s="318"/>
      <c r="GT257" s="318"/>
      <c r="GU257" s="318"/>
      <c r="GV257" s="318"/>
      <c r="GW257" s="318"/>
      <c r="GX257" s="318"/>
      <c r="GY257" s="318"/>
      <c r="GZ257" s="318"/>
      <c r="HA257" s="318"/>
      <c r="HB257" s="318"/>
      <c r="HC257" s="318"/>
      <c r="HD257" s="318"/>
      <c r="HE257" s="318"/>
      <c r="HF257" s="318"/>
      <c r="HG257" s="318"/>
      <c r="HH257" s="318"/>
      <c r="HI257" s="318"/>
      <c r="HJ257" s="318"/>
      <c r="HK257" s="318"/>
      <c r="HL257" s="318"/>
      <c r="HM257" s="318"/>
      <c r="HN257" s="318"/>
      <c r="HO257" s="318"/>
      <c r="HP257" s="318"/>
      <c r="HQ257" s="318"/>
      <c r="HR257" s="318"/>
      <c r="HS257" s="318"/>
      <c r="HT257" s="318"/>
    </row>
    <row r="258" spans="1:228" s="203" customFormat="1" ht="37.5" customHeight="1" hidden="1">
      <c r="A258" s="326"/>
      <c r="B258" s="786" t="s">
        <v>203</v>
      </c>
      <c r="C258" s="787"/>
      <c r="D258" s="326"/>
      <c r="E258" s="326" t="s">
        <v>149</v>
      </c>
      <c r="F258" s="326"/>
      <c r="G258" s="328"/>
      <c r="H258" s="336"/>
      <c r="I258" s="651"/>
      <c r="J258" s="651"/>
      <c r="K258" s="661" t="s">
        <v>495</v>
      </c>
      <c r="L258" s="326"/>
      <c r="M258" s="332"/>
      <c r="N258" s="332"/>
      <c r="O258" s="328"/>
      <c r="P258" s="333"/>
      <c r="Q258" s="326"/>
      <c r="R258" s="93"/>
      <c r="S258" s="399"/>
      <c r="T258" s="310"/>
      <c r="U258" s="66"/>
      <c r="V258" s="451"/>
      <c r="W258" s="133"/>
      <c r="X258" s="133"/>
      <c r="Y258" s="133"/>
      <c r="Z258" s="66"/>
      <c r="AA258" s="66"/>
      <c r="AB258" s="184"/>
      <c r="AC258" s="6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06"/>
      <c r="AU258" s="206"/>
      <c r="AV258" s="206"/>
      <c r="AW258" s="206"/>
      <c r="AX258" s="206"/>
      <c r="AY258" s="206"/>
      <c r="AZ258" s="206"/>
      <c r="BA258" s="206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GL258" s="206"/>
      <c r="GM258" s="206"/>
      <c r="GN258" s="206"/>
      <c r="GO258" s="206"/>
      <c r="GP258" s="206"/>
      <c r="GQ258" s="206"/>
      <c r="GR258" s="206"/>
      <c r="GS258" s="206"/>
      <c r="GT258" s="206"/>
      <c r="GU258" s="206"/>
      <c r="GV258" s="206"/>
      <c r="GW258" s="206"/>
      <c r="GX258" s="206"/>
      <c r="GY258" s="206"/>
      <c r="GZ258" s="206"/>
      <c r="HA258" s="206"/>
      <c r="HB258" s="206"/>
      <c r="HC258" s="206"/>
      <c r="HD258" s="206"/>
      <c r="HE258" s="206"/>
      <c r="HF258" s="206"/>
      <c r="HG258" s="206"/>
      <c r="HH258" s="206"/>
      <c r="HI258" s="206"/>
      <c r="HJ258" s="206"/>
      <c r="HK258" s="206"/>
      <c r="HL258" s="206"/>
      <c r="HM258" s="206"/>
      <c r="HN258" s="206"/>
      <c r="HO258" s="206"/>
      <c r="HP258" s="206"/>
      <c r="HQ258" s="206"/>
      <c r="HR258" s="206"/>
      <c r="HS258" s="206"/>
      <c r="HT258" s="206"/>
    </row>
    <row r="259" spans="1:228" s="275" customFormat="1" ht="31.5" customHeight="1" hidden="1">
      <c r="A259" s="326"/>
      <c r="B259" s="786" t="s">
        <v>229</v>
      </c>
      <c r="C259" s="787"/>
      <c r="D259" s="326"/>
      <c r="E259" s="326" t="s">
        <v>149</v>
      </c>
      <c r="F259" s="326"/>
      <c r="G259" s="328"/>
      <c r="H259" s="336"/>
      <c r="I259" s="651"/>
      <c r="J259" s="651"/>
      <c r="K259" s="661" t="s">
        <v>495</v>
      </c>
      <c r="L259" s="326"/>
      <c r="M259" s="332"/>
      <c r="N259" s="332"/>
      <c r="O259" s="328"/>
      <c r="P259" s="333"/>
      <c r="Q259" s="326"/>
      <c r="R259" s="197"/>
      <c r="S259" s="688">
        <v>539000</v>
      </c>
      <c r="T259" s="559"/>
      <c r="U259" s="208"/>
      <c r="V259" s="451"/>
      <c r="W259" s="541"/>
      <c r="X259" s="541"/>
      <c r="Y259" s="541"/>
      <c r="Z259" s="208"/>
      <c r="AA259" s="200"/>
      <c r="AB259" s="200"/>
      <c r="AC259" s="208"/>
      <c r="AD259" s="318"/>
      <c r="AE259" s="318"/>
      <c r="AF259" s="318"/>
      <c r="AG259" s="318"/>
      <c r="AH259" s="318"/>
      <c r="AI259" s="318"/>
      <c r="AJ259" s="318"/>
      <c r="AK259" s="318"/>
      <c r="AL259" s="318"/>
      <c r="AM259" s="318"/>
      <c r="AN259" s="318"/>
      <c r="AO259" s="318"/>
      <c r="AP259" s="318"/>
      <c r="AQ259" s="318"/>
      <c r="AR259" s="318"/>
      <c r="AS259" s="318"/>
      <c r="AT259" s="318"/>
      <c r="AU259" s="318"/>
      <c r="AV259" s="318"/>
      <c r="AW259" s="318"/>
      <c r="AX259" s="318"/>
      <c r="AY259" s="318"/>
      <c r="AZ259" s="318"/>
      <c r="BA259" s="318"/>
      <c r="BB259" s="318"/>
      <c r="BC259" s="318"/>
      <c r="BD259" s="318"/>
      <c r="BE259" s="318"/>
      <c r="BF259" s="318"/>
      <c r="BG259" s="318"/>
      <c r="BH259" s="318"/>
      <c r="BI259" s="318"/>
      <c r="BJ259" s="318"/>
      <c r="BK259" s="318"/>
      <c r="GL259" s="318"/>
      <c r="GM259" s="318"/>
      <c r="GN259" s="318"/>
      <c r="GO259" s="318"/>
      <c r="GP259" s="318"/>
      <c r="GQ259" s="318"/>
      <c r="GR259" s="318"/>
      <c r="GS259" s="318"/>
      <c r="GT259" s="318"/>
      <c r="GU259" s="318"/>
      <c r="GV259" s="318"/>
      <c r="GW259" s="318"/>
      <c r="GX259" s="318"/>
      <c r="GY259" s="318"/>
      <c r="GZ259" s="318"/>
      <c r="HA259" s="318"/>
      <c r="HB259" s="318"/>
      <c r="HC259" s="318"/>
      <c r="HD259" s="318"/>
      <c r="HE259" s="318"/>
      <c r="HF259" s="318"/>
      <c r="HG259" s="318"/>
      <c r="HH259" s="318"/>
      <c r="HI259" s="318"/>
      <c r="HJ259" s="318"/>
      <c r="HK259" s="318"/>
      <c r="HL259" s="318"/>
      <c r="HM259" s="318"/>
      <c r="HN259" s="318"/>
      <c r="HO259" s="318"/>
      <c r="HP259" s="318"/>
      <c r="HQ259" s="318"/>
      <c r="HR259" s="318"/>
      <c r="HS259" s="318"/>
      <c r="HT259" s="318"/>
    </row>
    <row r="260" spans="1:228" s="271" customFormat="1" ht="31.5" customHeight="1" hidden="1">
      <c r="A260" s="326"/>
      <c r="B260" s="786" t="s">
        <v>229</v>
      </c>
      <c r="C260" s="787"/>
      <c r="D260" s="326"/>
      <c r="E260" s="326" t="s">
        <v>149</v>
      </c>
      <c r="F260" s="326"/>
      <c r="G260" s="328"/>
      <c r="H260" s="336"/>
      <c r="I260" s="651"/>
      <c r="J260" s="651"/>
      <c r="K260" s="661" t="s">
        <v>495</v>
      </c>
      <c r="L260" s="326"/>
      <c r="M260" s="332"/>
      <c r="N260" s="332"/>
      <c r="O260" s="328"/>
      <c r="P260" s="333"/>
      <c r="Q260" s="326"/>
      <c r="R260" s="270"/>
      <c r="S260" s="686"/>
      <c r="T260" s="555"/>
      <c r="U260" s="269"/>
      <c r="V260" s="451"/>
      <c r="W260" s="275"/>
      <c r="X260" s="275"/>
      <c r="Y260" s="275"/>
      <c r="Z260" s="269"/>
      <c r="AA260" s="278"/>
      <c r="AB260" s="278"/>
      <c r="AC260" s="269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GL260" s="72"/>
      <c r="GM260" s="72"/>
      <c r="GN260" s="72"/>
      <c r="GO260" s="72"/>
      <c r="GP260" s="72"/>
      <c r="GQ260" s="72"/>
      <c r="GR260" s="72"/>
      <c r="GS260" s="72"/>
      <c r="GT260" s="72"/>
      <c r="GU260" s="72"/>
      <c r="GV260" s="72"/>
      <c r="GW260" s="72"/>
      <c r="GX260" s="72"/>
      <c r="GY260" s="72"/>
      <c r="GZ260" s="72"/>
      <c r="HA260" s="72"/>
      <c r="HB260" s="72"/>
      <c r="HC260" s="72"/>
      <c r="HD260" s="72"/>
      <c r="HE260" s="72"/>
      <c r="HF260" s="72"/>
      <c r="HG260" s="72"/>
      <c r="HH260" s="72"/>
      <c r="HI260" s="72"/>
      <c r="HJ260" s="72"/>
      <c r="HK260" s="72"/>
      <c r="HL260" s="72"/>
      <c r="HM260" s="72"/>
      <c r="HN260" s="72"/>
      <c r="HO260" s="72"/>
      <c r="HP260" s="72"/>
      <c r="HQ260" s="72"/>
      <c r="HR260" s="72"/>
      <c r="HS260" s="72"/>
      <c r="HT260" s="72"/>
    </row>
    <row r="261" spans="1:228" s="271" customFormat="1" ht="31.5" customHeight="1" hidden="1">
      <c r="A261" s="326"/>
      <c r="B261" s="786" t="s">
        <v>230</v>
      </c>
      <c r="C261" s="787"/>
      <c r="D261" s="326"/>
      <c r="E261" s="326" t="s">
        <v>149</v>
      </c>
      <c r="F261" s="326"/>
      <c r="G261" s="328"/>
      <c r="H261" s="336"/>
      <c r="I261" s="651"/>
      <c r="J261" s="651"/>
      <c r="K261" s="661" t="s">
        <v>495</v>
      </c>
      <c r="L261" s="326"/>
      <c r="M261" s="332"/>
      <c r="N261" s="332"/>
      <c r="O261" s="328"/>
      <c r="P261" s="333"/>
      <c r="Q261" s="326"/>
      <c r="R261" s="283"/>
      <c r="S261" s="691">
        <v>244550.48</v>
      </c>
      <c r="T261" s="559"/>
      <c r="U261" s="207"/>
      <c r="V261" s="451"/>
      <c r="W261" s="541"/>
      <c r="X261" s="541"/>
      <c r="Y261" s="541"/>
      <c r="Z261" s="208"/>
      <c r="AA261" s="200"/>
      <c r="AB261" s="200"/>
      <c r="AC261" s="208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GL261" s="72"/>
      <c r="GM261" s="72"/>
      <c r="GN261" s="72"/>
      <c r="GO261" s="72"/>
      <c r="GP261" s="72"/>
      <c r="GQ261" s="72"/>
      <c r="GR261" s="72"/>
      <c r="GS261" s="72"/>
      <c r="GT261" s="72"/>
      <c r="GU261" s="72"/>
      <c r="GV261" s="72"/>
      <c r="GW261" s="72"/>
      <c r="GX261" s="72"/>
      <c r="GY261" s="72"/>
      <c r="GZ261" s="72"/>
      <c r="HA261" s="72"/>
      <c r="HB261" s="72"/>
      <c r="HC261" s="72"/>
      <c r="HD261" s="72"/>
      <c r="HE261" s="72"/>
      <c r="HF261" s="72"/>
      <c r="HG261" s="72"/>
      <c r="HH261" s="72"/>
      <c r="HI261" s="72"/>
      <c r="HJ261" s="72"/>
      <c r="HK261" s="72"/>
      <c r="HL261" s="72"/>
      <c r="HM261" s="72"/>
      <c r="HN261" s="72"/>
      <c r="HO261" s="72"/>
      <c r="HP261" s="72"/>
      <c r="HQ261" s="72"/>
      <c r="HR261" s="72"/>
      <c r="HS261" s="72"/>
      <c r="HT261" s="72"/>
    </row>
    <row r="262" spans="1:29" s="205" customFormat="1" ht="37.5" customHeight="1" hidden="1">
      <c r="A262" s="326"/>
      <c r="B262" s="786" t="s">
        <v>230</v>
      </c>
      <c r="C262" s="787"/>
      <c r="D262" s="326"/>
      <c r="E262" s="326" t="s">
        <v>149</v>
      </c>
      <c r="F262" s="326"/>
      <c r="G262" s="328"/>
      <c r="H262" s="336"/>
      <c r="I262" s="651"/>
      <c r="J262" s="651"/>
      <c r="K262" s="661" t="s">
        <v>495</v>
      </c>
      <c r="L262" s="326"/>
      <c r="M262" s="332"/>
      <c r="N262" s="332"/>
      <c r="O262" s="328"/>
      <c r="P262" s="333"/>
      <c r="Q262" s="326"/>
      <c r="R262" s="266"/>
      <c r="S262" s="686">
        <v>120000</v>
      </c>
      <c r="T262" s="276"/>
      <c r="U262" s="291"/>
      <c r="V262" s="451"/>
      <c r="W262" s="291"/>
      <c r="X262" s="291"/>
      <c r="Y262" s="291"/>
      <c r="Z262" s="291"/>
      <c r="AA262" s="291"/>
      <c r="AB262" s="291"/>
      <c r="AC262" s="291"/>
    </row>
    <row r="263" spans="1:228" s="278" customFormat="1" ht="31.5" customHeight="1" hidden="1">
      <c r="A263" s="326"/>
      <c r="B263" s="786" t="s">
        <v>623</v>
      </c>
      <c r="C263" s="787"/>
      <c r="D263" s="326"/>
      <c r="E263" s="326" t="s">
        <v>149</v>
      </c>
      <c r="F263" s="326"/>
      <c r="G263" s="328"/>
      <c r="H263" s="336"/>
      <c r="I263" s="651"/>
      <c r="J263" s="651"/>
      <c r="K263" s="661" t="s">
        <v>495</v>
      </c>
      <c r="L263" s="326"/>
      <c r="M263" s="332"/>
      <c r="N263" s="332"/>
      <c r="O263" s="328"/>
      <c r="P263" s="333"/>
      <c r="Q263" s="326"/>
      <c r="R263" s="264"/>
      <c r="S263" s="686">
        <v>120000</v>
      </c>
      <c r="T263" s="277"/>
      <c r="U263" s="290"/>
      <c r="V263" s="451"/>
      <c r="W263" s="291"/>
      <c r="X263" s="291"/>
      <c r="Y263" s="291"/>
      <c r="Z263" s="290"/>
      <c r="AA263" s="290"/>
      <c r="AB263" s="290"/>
      <c r="AC263" s="290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GL263" s="74"/>
      <c r="GM263" s="74"/>
      <c r="GN263" s="74"/>
      <c r="GO263" s="74"/>
      <c r="GP263" s="74"/>
      <c r="GQ263" s="74"/>
      <c r="GR263" s="74"/>
      <c r="GS263" s="74"/>
      <c r="GT263" s="74"/>
      <c r="GU263" s="74"/>
      <c r="GV263" s="74"/>
      <c r="GW263" s="74"/>
      <c r="GX263" s="74"/>
      <c r="GY263" s="74"/>
      <c r="GZ263" s="74"/>
      <c r="HA263" s="74"/>
      <c r="HB263" s="74"/>
      <c r="HC263" s="74"/>
      <c r="HD263" s="74"/>
      <c r="HE263" s="74"/>
      <c r="HF263" s="74"/>
      <c r="HG263" s="74"/>
      <c r="HH263" s="74"/>
      <c r="HI263" s="74"/>
      <c r="HJ263" s="74"/>
      <c r="HK263" s="74"/>
      <c r="HL263" s="74"/>
      <c r="HM263" s="74"/>
      <c r="HN263" s="74"/>
      <c r="HO263" s="74"/>
      <c r="HP263" s="74"/>
      <c r="HQ263" s="74"/>
      <c r="HR263" s="74"/>
      <c r="HS263" s="74"/>
      <c r="HT263" s="74"/>
    </row>
    <row r="264" spans="1:29" ht="15" customHeight="1" hidden="1">
      <c r="A264" s="326"/>
      <c r="B264" s="786" t="s">
        <v>623</v>
      </c>
      <c r="C264" s="787"/>
      <c r="D264" s="326"/>
      <c r="E264" s="326" t="s">
        <v>149</v>
      </c>
      <c r="F264" s="326"/>
      <c r="G264" s="328"/>
      <c r="H264" s="336"/>
      <c r="I264" s="651"/>
      <c r="J264" s="651"/>
      <c r="K264" s="661" t="s">
        <v>495</v>
      </c>
      <c r="L264" s="326"/>
      <c r="M264" s="332"/>
      <c r="N264" s="332"/>
      <c r="O264" s="328"/>
      <c r="P264" s="333"/>
      <c r="Q264" s="326"/>
      <c r="R264" s="284"/>
      <c r="S264" s="693"/>
      <c r="T264" s="559"/>
      <c r="U264" s="206"/>
      <c r="V264" s="451"/>
      <c r="W264" s="541"/>
      <c r="X264" s="541"/>
      <c r="Y264" s="541"/>
      <c r="Z264" s="206"/>
      <c r="AA264" s="200"/>
      <c r="AB264" s="200"/>
      <c r="AC264" s="206"/>
    </row>
    <row r="265" spans="1:29" ht="18.75" customHeight="1" hidden="1">
      <c r="A265" s="326"/>
      <c r="B265" s="786" t="s">
        <v>219</v>
      </c>
      <c r="C265" s="787"/>
      <c r="D265" s="326"/>
      <c r="E265" s="326" t="s">
        <v>149</v>
      </c>
      <c r="F265" s="326"/>
      <c r="G265" s="328"/>
      <c r="H265" s="336"/>
      <c r="I265" s="651"/>
      <c r="J265" s="651"/>
      <c r="K265" s="661" t="s">
        <v>495</v>
      </c>
      <c r="L265" s="326"/>
      <c r="M265" s="332"/>
      <c r="N265" s="332"/>
      <c r="O265" s="328"/>
      <c r="P265" s="333"/>
      <c r="Q265" s="326"/>
      <c r="R265" s="267"/>
      <c r="S265" s="686"/>
      <c r="T265" s="560"/>
      <c r="U265" s="275"/>
      <c r="V265" s="451"/>
      <c r="W265" s="275"/>
      <c r="X265" s="275"/>
      <c r="Y265" s="275"/>
      <c r="Z265" s="275"/>
      <c r="AA265" s="275"/>
      <c r="AB265" s="275"/>
      <c r="AC265" s="275"/>
    </row>
    <row r="266" spans="1:29" ht="18.75" customHeight="1" hidden="1">
      <c r="A266" s="326"/>
      <c r="B266" s="786" t="s">
        <v>219</v>
      </c>
      <c r="C266" s="787"/>
      <c r="D266" s="326"/>
      <c r="E266" s="326" t="s">
        <v>149</v>
      </c>
      <c r="F266" s="326"/>
      <c r="G266" s="328"/>
      <c r="H266" s="336"/>
      <c r="I266" s="651"/>
      <c r="J266" s="651"/>
      <c r="K266" s="661" t="s">
        <v>495</v>
      </c>
      <c r="L266" s="326"/>
      <c r="M266" s="332"/>
      <c r="N266" s="332"/>
      <c r="O266" s="328"/>
      <c r="P266" s="333"/>
      <c r="Q266" s="326"/>
      <c r="R266" s="198"/>
      <c r="S266" s="688"/>
      <c r="T266" s="559"/>
      <c r="U266" s="203"/>
      <c r="V266" s="451"/>
      <c r="W266" s="542"/>
      <c r="X266" s="542"/>
      <c r="Y266" s="542"/>
      <c r="Z266" s="203"/>
      <c r="AA266" s="200"/>
      <c r="AB266" s="200"/>
      <c r="AC266" s="203"/>
    </row>
    <row r="267" spans="1:29" ht="18.75" customHeight="1" hidden="1">
      <c r="A267" s="326"/>
      <c r="B267" s="786" t="s">
        <v>624</v>
      </c>
      <c r="C267" s="787"/>
      <c r="D267" s="326"/>
      <c r="E267" s="326" t="s">
        <v>149</v>
      </c>
      <c r="F267" s="326"/>
      <c r="G267" s="328"/>
      <c r="H267" s="336"/>
      <c r="I267" s="651"/>
      <c r="J267" s="651"/>
      <c r="K267" s="661" t="s">
        <v>495</v>
      </c>
      <c r="L267" s="326"/>
      <c r="M267" s="332"/>
      <c r="N267" s="332"/>
      <c r="O267" s="328"/>
      <c r="P267" s="333"/>
      <c r="Q267" s="326"/>
      <c r="R267" s="266"/>
      <c r="S267" s="686"/>
      <c r="T267" s="560"/>
      <c r="U267" s="275"/>
      <c r="V267" s="451"/>
      <c r="W267" s="275"/>
      <c r="X267" s="275"/>
      <c r="Y267" s="275"/>
      <c r="Z267" s="275"/>
      <c r="AA267" s="275"/>
      <c r="AB267" s="275"/>
      <c r="AC267" s="275"/>
    </row>
    <row r="268" spans="1:29" ht="18.75" customHeight="1" hidden="1">
      <c r="A268" s="326"/>
      <c r="B268" s="786" t="s">
        <v>624</v>
      </c>
      <c r="C268" s="787"/>
      <c r="D268" s="326"/>
      <c r="E268" s="326" t="s">
        <v>149</v>
      </c>
      <c r="F268" s="326"/>
      <c r="G268" s="328"/>
      <c r="H268" s="336"/>
      <c r="I268" s="651"/>
      <c r="J268" s="651"/>
      <c r="K268" s="661" t="s">
        <v>495</v>
      </c>
      <c r="L268" s="326"/>
      <c r="M268" s="332"/>
      <c r="N268" s="332"/>
      <c r="O268" s="328"/>
      <c r="P268" s="333"/>
      <c r="Q268" s="326"/>
      <c r="R268" s="268"/>
      <c r="S268" s="686"/>
      <c r="T268" s="555"/>
      <c r="U268" s="271"/>
      <c r="V268" s="451"/>
      <c r="W268" s="275"/>
      <c r="X268" s="275"/>
      <c r="Y268" s="275"/>
      <c r="Z268" s="271"/>
      <c r="AA268" s="278"/>
      <c r="AB268" s="278"/>
      <c r="AC268" s="271"/>
    </row>
    <row r="269" spans="1:29" ht="18.75" hidden="1">
      <c r="A269" s="326"/>
      <c r="B269" s="786" t="s">
        <v>625</v>
      </c>
      <c r="C269" s="787"/>
      <c r="D269" s="326"/>
      <c r="E269" s="326" t="s">
        <v>149</v>
      </c>
      <c r="F269" s="326"/>
      <c r="G269" s="328"/>
      <c r="H269" s="336"/>
      <c r="I269" s="651"/>
      <c r="J269" s="651"/>
      <c r="K269" s="661" t="s">
        <v>495</v>
      </c>
      <c r="L269" s="326"/>
      <c r="M269" s="332"/>
      <c r="N269" s="332"/>
      <c r="O269" s="328"/>
      <c r="P269" s="333"/>
      <c r="Q269" s="326"/>
      <c r="R269" s="268"/>
      <c r="S269" s="686"/>
      <c r="T269" s="555"/>
      <c r="U269" s="271"/>
      <c r="V269" s="451"/>
      <c r="W269" s="275"/>
      <c r="X269" s="275"/>
      <c r="Y269" s="275"/>
      <c r="Z269" s="271"/>
      <c r="AA269" s="278"/>
      <c r="AB269" s="278"/>
      <c r="AC269" s="271"/>
    </row>
    <row r="270" spans="1:29" ht="18.75" hidden="1">
      <c r="A270" s="326"/>
      <c r="B270" s="786" t="s">
        <v>626</v>
      </c>
      <c r="C270" s="787"/>
      <c r="D270" s="326"/>
      <c r="E270" s="326" t="s">
        <v>149</v>
      </c>
      <c r="F270" s="326"/>
      <c r="G270" s="328"/>
      <c r="H270" s="336"/>
      <c r="I270" s="651"/>
      <c r="J270" s="651"/>
      <c r="K270" s="661" t="s">
        <v>495</v>
      </c>
      <c r="L270" s="326"/>
      <c r="M270" s="332"/>
      <c r="N270" s="332"/>
      <c r="O270" s="328"/>
      <c r="P270" s="333"/>
      <c r="Q270" s="326"/>
      <c r="R270" s="204"/>
      <c r="S270" s="62"/>
      <c r="T270" s="204"/>
      <c r="U270" s="205"/>
      <c r="V270" s="451"/>
      <c r="W270" s="541"/>
      <c r="X270" s="541"/>
      <c r="Y270" s="541"/>
      <c r="Z270" s="205"/>
      <c r="AA270" s="205"/>
      <c r="AB270" s="205"/>
      <c r="AC270" s="205"/>
    </row>
    <row r="271" spans="1:228" s="278" customFormat="1" ht="18.75" hidden="1">
      <c r="A271" s="326"/>
      <c r="B271" s="786" t="s">
        <v>231</v>
      </c>
      <c r="C271" s="787"/>
      <c r="D271" s="326"/>
      <c r="E271" s="326" t="s">
        <v>149</v>
      </c>
      <c r="F271" s="326"/>
      <c r="G271" s="328"/>
      <c r="H271" s="336"/>
      <c r="I271" s="651"/>
      <c r="J271" s="651"/>
      <c r="K271" s="661" t="s">
        <v>495</v>
      </c>
      <c r="L271" s="326"/>
      <c r="M271" s="332"/>
      <c r="N271" s="332"/>
      <c r="O271" s="328"/>
      <c r="P271" s="333"/>
      <c r="Q271" s="326"/>
      <c r="R271" s="285"/>
      <c r="S271" s="285"/>
      <c r="T271" s="285"/>
      <c r="V271" s="451"/>
      <c r="W271" s="275"/>
      <c r="X271" s="275"/>
      <c r="Y271" s="275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GL271" s="74"/>
      <c r="GM271" s="74"/>
      <c r="GN271" s="74"/>
      <c r="GO271" s="74"/>
      <c r="GP271" s="74"/>
      <c r="GQ271" s="74"/>
      <c r="GR271" s="74"/>
      <c r="GS271" s="74"/>
      <c r="GT271" s="74"/>
      <c r="GU271" s="74"/>
      <c r="GV271" s="74"/>
      <c r="GW271" s="74"/>
      <c r="GX271" s="74"/>
      <c r="GY271" s="74"/>
      <c r="GZ271" s="74"/>
      <c r="HA271" s="74"/>
      <c r="HB271" s="74"/>
      <c r="HC271" s="74"/>
      <c r="HD271" s="74"/>
      <c r="HE271" s="74"/>
      <c r="HF271" s="74"/>
      <c r="HG271" s="74"/>
      <c r="HH271" s="74"/>
      <c r="HI271" s="74"/>
      <c r="HJ271" s="74"/>
      <c r="HK271" s="74"/>
      <c r="HL271" s="74"/>
      <c r="HM271" s="74"/>
      <c r="HN271" s="74"/>
      <c r="HO271" s="74"/>
      <c r="HP271" s="74"/>
      <c r="HQ271" s="74"/>
      <c r="HR271" s="74"/>
      <c r="HS271" s="74"/>
      <c r="HT271" s="74"/>
    </row>
    <row r="272" spans="1:228" s="269" customFormat="1" ht="39.75" customHeight="1" hidden="1" collapsed="1">
      <c r="A272" s="326"/>
      <c r="B272" s="786" t="s">
        <v>231</v>
      </c>
      <c r="C272" s="787"/>
      <c r="D272" s="326"/>
      <c r="E272" s="326" t="s">
        <v>149</v>
      </c>
      <c r="F272" s="326"/>
      <c r="G272" s="328"/>
      <c r="H272" s="336"/>
      <c r="I272" s="651"/>
      <c r="J272" s="651"/>
      <c r="K272" s="661" t="s">
        <v>495</v>
      </c>
      <c r="L272" s="326"/>
      <c r="M272" s="332"/>
      <c r="N272" s="332"/>
      <c r="O272" s="328"/>
      <c r="P272" s="333"/>
      <c r="Q272" s="326"/>
      <c r="R272" s="91"/>
      <c r="S272" s="91"/>
      <c r="T272" s="91"/>
      <c r="U272" s="74"/>
      <c r="V272" s="451"/>
      <c r="W272" s="318"/>
      <c r="X272" s="318"/>
      <c r="Y272" s="318"/>
      <c r="Z272" s="74"/>
      <c r="AA272" s="74"/>
      <c r="AB272" s="74"/>
      <c r="AC272" s="74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83"/>
      <c r="BB272" s="183"/>
      <c r="BC272" s="183"/>
      <c r="BD272" s="183"/>
      <c r="BE272" s="183"/>
      <c r="BF272" s="183"/>
      <c r="BG272" s="183"/>
      <c r="BH272" s="183"/>
      <c r="BI272" s="183"/>
      <c r="BJ272" s="183"/>
      <c r="BK272" s="183"/>
      <c r="GL272" s="183"/>
      <c r="GM272" s="183"/>
      <c r="GN272" s="183"/>
      <c r="GO272" s="183"/>
      <c r="GP272" s="183"/>
      <c r="GQ272" s="183"/>
      <c r="GR272" s="183"/>
      <c r="GS272" s="183"/>
      <c r="GT272" s="183"/>
      <c r="GU272" s="183"/>
      <c r="GV272" s="183"/>
      <c r="GW272" s="183"/>
      <c r="GX272" s="183"/>
      <c r="GY272" s="183"/>
      <c r="GZ272" s="183"/>
      <c r="HA272" s="183"/>
      <c r="HB272" s="183"/>
      <c r="HC272" s="183"/>
      <c r="HD272" s="183"/>
      <c r="HE272" s="183"/>
      <c r="HF272" s="183"/>
      <c r="HG272" s="183"/>
      <c r="HH272" s="183"/>
      <c r="HI272" s="183"/>
      <c r="HJ272" s="183"/>
      <c r="HK272" s="183"/>
      <c r="HL272" s="183"/>
      <c r="HM272" s="183"/>
      <c r="HN272" s="183"/>
      <c r="HO272" s="183"/>
      <c r="HP272" s="183"/>
      <c r="HQ272" s="183"/>
      <c r="HR272" s="183"/>
      <c r="HS272" s="183"/>
      <c r="HT272" s="183"/>
    </row>
    <row r="273" spans="1:29" s="183" customFormat="1" ht="39.75" customHeight="1" hidden="1" outlineLevel="1">
      <c r="A273" s="326"/>
      <c r="B273" s="786" t="s">
        <v>232</v>
      </c>
      <c r="C273" s="787"/>
      <c r="D273" s="326"/>
      <c r="E273" s="326" t="s">
        <v>149</v>
      </c>
      <c r="F273" s="326"/>
      <c r="G273" s="328"/>
      <c r="H273" s="336"/>
      <c r="I273" s="651"/>
      <c r="J273" s="651"/>
      <c r="K273" s="661" t="s">
        <v>495</v>
      </c>
      <c r="L273" s="326"/>
      <c r="M273" s="332"/>
      <c r="N273" s="332"/>
      <c r="O273" s="328"/>
      <c r="P273" s="333"/>
      <c r="Q273" s="326"/>
      <c r="R273" s="91"/>
      <c r="S273" s="91"/>
      <c r="T273" s="91"/>
      <c r="U273" s="74"/>
      <c r="V273" s="451"/>
      <c r="W273" s="318"/>
      <c r="X273" s="318"/>
      <c r="Y273" s="318"/>
      <c r="Z273" s="74"/>
      <c r="AA273" s="74"/>
      <c r="AB273" s="74"/>
      <c r="AC273" s="74"/>
    </row>
    <row r="274" spans="1:228" s="269" customFormat="1" ht="39.75" customHeight="1" hidden="1">
      <c r="A274" s="326"/>
      <c r="B274" s="786" t="s">
        <v>232</v>
      </c>
      <c r="C274" s="787"/>
      <c r="D274" s="326"/>
      <c r="E274" s="326" t="s">
        <v>149</v>
      </c>
      <c r="F274" s="326"/>
      <c r="G274" s="328"/>
      <c r="H274" s="336"/>
      <c r="I274" s="651"/>
      <c r="J274" s="651"/>
      <c r="K274" s="661" t="s">
        <v>495</v>
      </c>
      <c r="L274" s="326"/>
      <c r="M274" s="332"/>
      <c r="N274" s="332"/>
      <c r="O274" s="328"/>
      <c r="P274" s="333"/>
      <c r="Q274" s="326"/>
      <c r="R274" s="91"/>
      <c r="S274" s="91"/>
      <c r="T274" s="91"/>
      <c r="U274" s="74"/>
      <c r="V274" s="451"/>
      <c r="W274" s="318"/>
      <c r="X274" s="318"/>
      <c r="Y274" s="318"/>
      <c r="Z274" s="74"/>
      <c r="AA274" s="74"/>
      <c r="AB274" s="74"/>
      <c r="AC274" s="74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3"/>
      <c r="AR274" s="183"/>
      <c r="AS274" s="183"/>
      <c r="AT274" s="183"/>
      <c r="AU274" s="183"/>
      <c r="AV274" s="183"/>
      <c r="AW274" s="183"/>
      <c r="AX274" s="183"/>
      <c r="AY274" s="183"/>
      <c r="AZ274" s="183"/>
      <c r="BA274" s="183"/>
      <c r="BB274" s="183"/>
      <c r="BC274" s="183"/>
      <c r="BD274" s="183"/>
      <c r="BE274" s="183"/>
      <c r="BF274" s="183"/>
      <c r="BG274" s="183"/>
      <c r="BH274" s="183"/>
      <c r="BI274" s="183"/>
      <c r="BJ274" s="183"/>
      <c r="BK274" s="183"/>
      <c r="GL274" s="183"/>
      <c r="GM274" s="183"/>
      <c r="GN274" s="183"/>
      <c r="GO274" s="183"/>
      <c r="GP274" s="183"/>
      <c r="GQ274" s="183"/>
      <c r="GR274" s="183"/>
      <c r="GS274" s="183"/>
      <c r="GT274" s="183"/>
      <c r="GU274" s="183"/>
      <c r="GV274" s="183"/>
      <c r="GW274" s="183"/>
      <c r="GX274" s="183"/>
      <c r="GY274" s="183"/>
      <c r="GZ274" s="183"/>
      <c r="HA274" s="183"/>
      <c r="HB274" s="183"/>
      <c r="HC274" s="183"/>
      <c r="HD274" s="183"/>
      <c r="HE274" s="183"/>
      <c r="HF274" s="183"/>
      <c r="HG274" s="183"/>
      <c r="HH274" s="183"/>
      <c r="HI274" s="183"/>
      <c r="HJ274" s="183"/>
      <c r="HK274" s="183"/>
      <c r="HL274" s="183"/>
      <c r="HM274" s="183"/>
      <c r="HN274" s="183"/>
      <c r="HO274" s="183"/>
      <c r="HP274" s="183"/>
      <c r="HQ274" s="183"/>
      <c r="HR274" s="183"/>
      <c r="HS274" s="183"/>
      <c r="HT274" s="183"/>
    </row>
    <row r="275" spans="1:228" s="269" customFormat="1" ht="2.25" customHeight="1" hidden="1" outlineLevel="1">
      <c r="A275" s="326"/>
      <c r="B275" s="786" t="s">
        <v>169</v>
      </c>
      <c r="C275" s="787"/>
      <c r="D275" s="326"/>
      <c r="E275" s="326" t="s">
        <v>149</v>
      </c>
      <c r="F275" s="326"/>
      <c r="G275" s="328"/>
      <c r="H275" s="336"/>
      <c r="I275" s="651"/>
      <c r="J275" s="651"/>
      <c r="K275" s="661" t="s">
        <v>495</v>
      </c>
      <c r="L275" s="326"/>
      <c r="M275" s="332"/>
      <c r="N275" s="332"/>
      <c r="O275" s="328"/>
      <c r="P275" s="333"/>
      <c r="Q275" s="326"/>
      <c r="R275" s="91"/>
      <c r="S275" s="91"/>
      <c r="T275" s="91"/>
      <c r="U275" s="74"/>
      <c r="V275" s="451"/>
      <c r="W275" s="318"/>
      <c r="X275" s="318"/>
      <c r="Y275" s="318"/>
      <c r="Z275" s="74"/>
      <c r="AA275" s="74"/>
      <c r="AB275" s="74"/>
      <c r="AC275" s="74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3"/>
      <c r="AR275" s="183"/>
      <c r="AS275" s="183"/>
      <c r="AT275" s="183"/>
      <c r="AU275" s="183"/>
      <c r="AV275" s="183"/>
      <c r="AW275" s="183"/>
      <c r="AX275" s="183"/>
      <c r="AY275" s="183"/>
      <c r="AZ275" s="183"/>
      <c r="BA275" s="183"/>
      <c r="BB275" s="183"/>
      <c r="BC275" s="183"/>
      <c r="BD275" s="183"/>
      <c r="BE275" s="183"/>
      <c r="BF275" s="183"/>
      <c r="BG275" s="183"/>
      <c r="BH275" s="183"/>
      <c r="BI275" s="183"/>
      <c r="BJ275" s="183"/>
      <c r="BK275" s="183"/>
      <c r="GL275" s="183"/>
      <c r="GM275" s="183"/>
      <c r="GN275" s="183"/>
      <c r="GO275" s="183"/>
      <c r="GP275" s="183"/>
      <c r="GQ275" s="183"/>
      <c r="GR275" s="183"/>
      <c r="GS275" s="183"/>
      <c r="GT275" s="183"/>
      <c r="GU275" s="183"/>
      <c r="GV275" s="183"/>
      <c r="GW275" s="183"/>
      <c r="GX275" s="183"/>
      <c r="GY275" s="183"/>
      <c r="GZ275" s="183"/>
      <c r="HA275" s="183"/>
      <c r="HB275" s="183"/>
      <c r="HC275" s="183"/>
      <c r="HD275" s="183"/>
      <c r="HE275" s="183"/>
      <c r="HF275" s="183"/>
      <c r="HG275" s="183"/>
      <c r="HH275" s="183"/>
      <c r="HI275" s="183"/>
      <c r="HJ275" s="183"/>
      <c r="HK275" s="183"/>
      <c r="HL275" s="183"/>
      <c r="HM275" s="183"/>
      <c r="HN275" s="183"/>
      <c r="HO275" s="183"/>
      <c r="HP275" s="183"/>
      <c r="HQ275" s="183"/>
      <c r="HR275" s="183"/>
      <c r="HS275" s="183"/>
      <c r="HT275" s="183"/>
    </row>
    <row r="276" spans="1:29" s="183" customFormat="1" ht="39.75" customHeight="1" outlineLevel="1">
      <c r="A276" s="646"/>
      <c r="B276" s="665"/>
      <c r="C276" s="665"/>
      <c r="D276" s="665"/>
      <c r="E276" s="665"/>
      <c r="F276" s="665"/>
      <c r="G276" s="666" t="s">
        <v>94</v>
      </c>
      <c r="H276" s="667">
        <f>+H122+H180+H187+H237</f>
        <v>155650246.2658214</v>
      </c>
      <c r="I276" s="668">
        <f>(H122+H187+H237)/H276</f>
        <v>0.6434313383274932</v>
      </c>
      <c r="J276" s="668">
        <f>1-I276</f>
        <v>0.3565686616725068</v>
      </c>
      <c r="K276" s="669"/>
      <c r="L276" s="665"/>
      <c r="M276" s="665"/>
      <c r="N276" s="665"/>
      <c r="O276" s="665"/>
      <c r="P276" s="669"/>
      <c r="Q276" s="669"/>
      <c r="R276" s="91"/>
      <c r="S276" s="91"/>
      <c r="T276" s="501"/>
      <c r="U276" s="543"/>
      <c r="V276" s="543"/>
      <c r="W276" s="574"/>
      <c r="X276" s="318"/>
      <c r="Y276" s="543"/>
      <c r="Z276" s="639"/>
      <c r="AA276" s="640"/>
      <c r="AB276" s="640"/>
      <c r="AC276" s="74"/>
    </row>
    <row r="277" spans="1:228" s="269" customFormat="1" ht="39.75" customHeight="1">
      <c r="A277" s="115"/>
      <c r="B277" s="3"/>
      <c r="C277" s="3"/>
      <c r="D277" s="3"/>
      <c r="E277" s="3"/>
      <c r="F277" s="3"/>
      <c r="G277" s="57"/>
      <c r="H277" s="220"/>
      <c r="I277" s="211">
        <f>H276*I276</f>
        <v>100150246.26582137</v>
      </c>
      <c r="J277" s="211">
        <f>H276*J276</f>
        <v>55500000.00000003</v>
      </c>
      <c r="K277" s="420"/>
      <c r="L277" s="3"/>
      <c r="M277" s="3"/>
      <c r="N277" s="3"/>
      <c r="O277" s="3"/>
      <c r="P277" s="25"/>
      <c r="Q277" s="25"/>
      <c r="R277" s="91"/>
      <c r="S277" s="501"/>
      <c r="T277" s="501"/>
      <c r="U277" s="502"/>
      <c r="V277" s="544"/>
      <c r="W277" s="543"/>
      <c r="X277" s="318"/>
      <c r="Y277" s="543"/>
      <c r="Z277" s="74"/>
      <c r="AA277" s="74"/>
      <c r="AB277" s="74"/>
      <c r="AC277" s="74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3"/>
      <c r="AR277" s="183"/>
      <c r="AS277" s="183"/>
      <c r="AT277" s="183"/>
      <c r="AU277" s="183"/>
      <c r="AV277" s="183"/>
      <c r="AW277" s="183"/>
      <c r="AX277" s="183"/>
      <c r="AY277" s="183"/>
      <c r="AZ277" s="183"/>
      <c r="BA277" s="183"/>
      <c r="BB277" s="183"/>
      <c r="BC277" s="183"/>
      <c r="BD277" s="183"/>
      <c r="BE277" s="183"/>
      <c r="BF277" s="183"/>
      <c r="BG277" s="183"/>
      <c r="BH277" s="183"/>
      <c r="BI277" s="183"/>
      <c r="BJ277" s="183"/>
      <c r="BK277" s="183"/>
      <c r="GL277" s="183"/>
      <c r="GM277" s="183"/>
      <c r="GN277" s="183"/>
      <c r="GO277" s="183"/>
      <c r="GP277" s="183"/>
      <c r="GQ277" s="183"/>
      <c r="GR277" s="183"/>
      <c r="GS277" s="183"/>
      <c r="GT277" s="183"/>
      <c r="GU277" s="183"/>
      <c r="GV277" s="183"/>
      <c r="GW277" s="183"/>
      <c r="GX277" s="183"/>
      <c r="GY277" s="183"/>
      <c r="GZ277" s="183"/>
      <c r="HA277" s="183"/>
      <c r="HB277" s="183"/>
      <c r="HC277" s="183"/>
      <c r="HD277" s="183"/>
      <c r="HE277" s="183"/>
      <c r="HF277" s="183"/>
      <c r="HG277" s="183"/>
      <c r="HH277" s="183"/>
      <c r="HI277" s="183"/>
      <c r="HJ277" s="183"/>
      <c r="HK277" s="183"/>
      <c r="HL277" s="183"/>
      <c r="HM277" s="183"/>
      <c r="HN277" s="183"/>
      <c r="HO277" s="183"/>
      <c r="HP277" s="183"/>
      <c r="HQ277" s="183"/>
      <c r="HR277" s="183"/>
      <c r="HS277" s="183"/>
      <c r="HT277" s="183"/>
    </row>
    <row r="278" spans="1:29" s="183" customFormat="1" ht="39.75" customHeight="1" outlineLevel="1">
      <c r="A278" s="103"/>
      <c r="B278" s="3"/>
      <c r="C278" s="3"/>
      <c r="D278" s="3"/>
      <c r="E278" s="3"/>
      <c r="F278" s="3"/>
      <c r="G278" s="57"/>
      <c r="H278" s="221"/>
      <c r="I278" s="240"/>
      <c r="J278" s="240"/>
      <c r="K278" s="25"/>
      <c r="L278" s="3"/>
      <c r="M278" s="3"/>
      <c r="N278" s="3"/>
      <c r="O278" s="3"/>
      <c r="P278" s="25"/>
      <c r="Q278" s="25"/>
      <c r="R278" s="91"/>
      <c r="S278" s="91"/>
      <c r="T278" s="91"/>
      <c r="U278" s="74"/>
      <c r="V278" s="74"/>
      <c r="W278" s="74"/>
      <c r="X278" s="74"/>
      <c r="Y278" s="74"/>
      <c r="Z278" s="74"/>
      <c r="AA278" s="74"/>
      <c r="AB278" s="74"/>
      <c r="AC278" s="74"/>
    </row>
    <row r="279" spans="1:29" s="72" customFormat="1" ht="39.75" customHeight="1" outlineLevel="1">
      <c r="A279" s="751">
        <v>3</v>
      </c>
      <c r="B279" s="822" t="s">
        <v>499</v>
      </c>
      <c r="C279" s="823"/>
      <c r="D279" s="823"/>
      <c r="E279" s="823"/>
      <c r="F279" s="823"/>
      <c r="G279" s="823"/>
      <c r="H279" s="823"/>
      <c r="I279" s="823"/>
      <c r="J279" s="823"/>
      <c r="K279" s="823"/>
      <c r="L279" s="823"/>
      <c r="M279" s="823"/>
      <c r="N279" s="823"/>
      <c r="O279" s="823"/>
      <c r="P279" s="823"/>
      <c r="Q279" s="824"/>
      <c r="R279" s="285"/>
      <c r="S279" s="285"/>
      <c r="T279" s="285"/>
      <c r="U279" s="278"/>
      <c r="V279" s="278"/>
      <c r="W279" s="278"/>
      <c r="X279" s="278"/>
      <c r="Y279" s="278"/>
      <c r="Z279" s="278"/>
      <c r="AA279" s="278"/>
      <c r="AB279" s="278"/>
      <c r="AC279" s="278"/>
    </row>
    <row r="280" spans="1:228" s="269" customFormat="1" ht="39.75" customHeight="1">
      <c r="A280" s="752"/>
      <c r="B280" s="800" t="s">
        <v>21</v>
      </c>
      <c r="C280" s="805"/>
      <c r="D280" s="755" t="s">
        <v>42</v>
      </c>
      <c r="E280" s="755" t="s">
        <v>93</v>
      </c>
      <c r="F280" s="755" t="s">
        <v>41</v>
      </c>
      <c r="G280" s="755" t="s">
        <v>43</v>
      </c>
      <c r="H280" s="755"/>
      <c r="I280" s="755"/>
      <c r="J280" s="755"/>
      <c r="K280" s="756" t="s">
        <v>49</v>
      </c>
      <c r="L280" s="755" t="s">
        <v>46</v>
      </c>
      <c r="M280" s="755" t="s">
        <v>24</v>
      </c>
      <c r="N280" s="755"/>
      <c r="O280" s="755" t="s">
        <v>16</v>
      </c>
      <c r="P280" s="755" t="s">
        <v>47</v>
      </c>
      <c r="Q280" s="755" t="s">
        <v>13</v>
      </c>
      <c r="R280" s="311"/>
      <c r="S280" s="285"/>
      <c r="T280" s="311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  <c r="BC280" s="183"/>
      <c r="BD280" s="183"/>
      <c r="BE280" s="183"/>
      <c r="BF280" s="183"/>
      <c r="BG280" s="183"/>
      <c r="BH280" s="183"/>
      <c r="BI280" s="183"/>
      <c r="BJ280" s="183"/>
      <c r="BK280" s="183"/>
      <c r="GL280" s="183"/>
      <c r="GM280" s="183"/>
      <c r="GN280" s="183"/>
      <c r="GO280" s="183"/>
      <c r="GP280" s="183"/>
      <c r="GQ280" s="183"/>
      <c r="GR280" s="183"/>
      <c r="GS280" s="183"/>
      <c r="GT280" s="183"/>
      <c r="GU280" s="183"/>
      <c r="GV280" s="183"/>
      <c r="GW280" s="183"/>
      <c r="GX280" s="183"/>
      <c r="GY280" s="183"/>
      <c r="GZ280" s="183"/>
      <c r="HA280" s="183"/>
      <c r="HB280" s="183"/>
      <c r="HC280" s="183"/>
      <c r="HD280" s="183"/>
      <c r="HE280" s="183"/>
      <c r="HF280" s="183"/>
      <c r="HG280" s="183"/>
      <c r="HH280" s="183"/>
      <c r="HI280" s="183"/>
      <c r="HJ280" s="183"/>
      <c r="HK280" s="183"/>
      <c r="HL280" s="183"/>
      <c r="HM280" s="183"/>
      <c r="HN280" s="183"/>
      <c r="HO280" s="183"/>
      <c r="HP280" s="183"/>
      <c r="HQ280" s="183"/>
      <c r="HR280" s="183"/>
      <c r="HS280" s="183"/>
      <c r="HT280" s="183"/>
    </row>
    <row r="281" spans="1:228" s="269" customFormat="1" ht="39.75" customHeight="1" hidden="1" outlineLevel="1">
      <c r="A281" s="753"/>
      <c r="B281" s="801"/>
      <c r="C281" s="806"/>
      <c r="D281" s="755"/>
      <c r="E281" s="755"/>
      <c r="F281" s="755"/>
      <c r="G281" s="755"/>
      <c r="H281" s="216" t="s">
        <v>79</v>
      </c>
      <c r="I281" s="236" t="s">
        <v>45</v>
      </c>
      <c r="J281" s="236" t="s">
        <v>44</v>
      </c>
      <c r="K281" s="756"/>
      <c r="L281" s="755"/>
      <c r="M281" s="110" t="s">
        <v>25</v>
      </c>
      <c r="N281" s="110" t="s">
        <v>7</v>
      </c>
      <c r="O281" s="755"/>
      <c r="P281" s="755"/>
      <c r="Q281" s="755"/>
      <c r="R281" s="119"/>
      <c r="S281" s="91"/>
      <c r="T281" s="119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183"/>
      <c r="BF281" s="183"/>
      <c r="BG281" s="183"/>
      <c r="BH281" s="183"/>
      <c r="BI281" s="183"/>
      <c r="BJ281" s="183"/>
      <c r="BK281" s="183"/>
      <c r="GL281" s="183"/>
      <c r="GM281" s="183"/>
      <c r="GN281" s="183"/>
      <c r="GO281" s="183"/>
      <c r="GP281" s="183"/>
      <c r="GQ281" s="183"/>
      <c r="GR281" s="183"/>
      <c r="GS281" s="183"/>
      <c r="GT281" s="183"/>
      <c r="GU281" s="183"/>
      <c r="GV281" s="183"/>
      <c r="GW281" s="183"/>
      <c r="GX281" s="183"/>
      <c r="GY281" s="183"/>
      <c r="GZ281" s="183"/>
      <c r="HA281" s="183"/>
      <c r="HB281" s="183"/>
      <c r="HC281" s="183"/>
      <c r="HD281" s="183"/>
      <c r="HE281" s="183"/>
      <c r="HF281" s="183"/>
      <c r="HG281" s="183"/>
      <c r="HH281" s="183"/>
      <c r="HI281" s="183"/>
      <c r="HJ281" s="183"/>
      <c r="HK281" s="183"/>
      <c r="HL281" s="183"/>
      <c r="HM281" s="183"/>
      <c r="HN281" s="183"/>
      <c r="HO281" s="183"/>
      <c r="HP281" s="183"/>
      <c r="HQ281" s="183"/>
      <c r="HR281" s="183"/>
      <c r="HS281" s="183"/>
      <c r="HT281" s="183"/>
    </row>
    <row r="282" spans="1:20" s="536" customFormat="1" ht="39.75" customHeight="1" outlineLevel="1">
      <c r="A282" s="670" t="s">
        <v>164</v>
      </c>
      <c r="B282" s="790" t="s">
        <v>627</v>
      </c>
      <c r="C282" s="791"/>
      <c r="D282" s="670"/>
      <c r="E282" s="670"/>
      <c r="F282" s="670"/>
      <c r="G282" s="671"/>
      <c r="H282" s="672">
        <f>SUM(H283)</f>
        <v>6377018</v>
      </c>
      <c r="I282" s="673">
        <v>1</v>
      </c>
      <c r="J282" s="673">
        <v>0</v>
      </c>
      <c r="K282" s="674"/>
      <c r="L282" s="670"/>
      <c r="M282" s="675"/>
      <c r="N282" s="675"/>
      <c r="O282" s="671"/>
      <c r="P282" s="676"/>
      <c r="Q282" s="670"/>
      <c r="R282" s="634"/>
      <c r="S282" s="491">
        <f>H282*5</f>
        <v>31885090</v>
      </c>
      <c r="T282" s="635"/>
    </row>
    <row r="283" spans="1:25" s="592" customFormat="1" ht="39.75" customHeight="1" outlineLevel="1">
      <c r="A283" s="370" t="s">
        <v>196</v>
      </c>
      <c r="B283" s="794" t="s">
        <v>627</v>
      </c>
      <c r="C283" s="795"/>
      <c r="D283" s="370"/>
      <c r="E283" s="370" t="s">
        <v>175</v>
      </c>
      <c r="F283" s="370"/>
      <c r="G283" s="510"/>
      <c r="H283" s="371">
        <v>6377018</v>
      </c>
      <c r="I283" s="372">
        <v>1</v>
      </c>
      <c r="J283" s="372">
        <v>0</v>
      </c>
      <c r="K283" s="373" t="s">
        <v>10</v>
      </c>
      <c r="L283" s="370" t="s">
        <v>148</v>
      </c>
      <c r="M283" s="374">
        <v>42675</v>
      </c>
      <c r="N283" s="374">
        <v>43221</v>
      </c>
      <c r="O283" s="375"/>
      <c r="P283" s="375" t="s">
        <v>237</v>
      </c>
      <c r="Q283" s="370" t="s">
        <v>15</v>
      </c>
      <c r="R283" s="586"/>
      <c r="S283" s="694">
        <f>H283*5</f>
        <v>31885090</v>
      </c>
      <c r="T283" s="589"/>
      <c r="U283" s="591"/>
      <c r="V283" s="591"/>
      <c r="W283" s="591"/>
      <c r="X283" s="591"/>
      <c r="Y283" s="591"/>
    </row>
    <row r="284" spans="1:21" s="536" customFormat="1" ht="39.75" customHeight="1">
      <c r="A284" s="670" t="s">
        <v>167</v>
      </c>
      <c r="B284" s="790" t="s">
        <v>669</v>
      </c>
      <c r="C284" s="791"/>
      <c r="D284" s="670"/>
      <c r="E284" s="670"/>
      <c r="F284" s="670"/>
      <c r="G284" s="671"/>
      <c r="H284" s="672">
        <f>H285+H286</f>
        <v>600000</v>
      </c>
      <c r="I284" s="673">
        <v>1</v>
      </c>
      <c r="J284" s="673">
        <v>0</v>
      </c>
      <c r="K284" s="674"/>
      <c r="L284" s="670"/>
      <c r="M284" s="675"/>
      <c r="N284" s="675"/>
      <c r="O284" s="671"/>
      <c r="P284" s="676"/>
      <c r="Q284" s="670"/>
      <c r="R284" s="634"/>
      <c r="S284" s="491">
        <f>H284*5</f>
        <v>3000000</v>
      </c>
      <c r="T284" s="635"/>
      <c r="U284" s="636"/>
    </row>
    <row r="285" spans="1:22" s="592" customFormat="1" ht="39.75" customHeight="1" outlineLevel="1">
      <c r="A285" s="370" t="s">
        <v>197</v>
      </c>
      <c r="B285" s="794" t="s">
        <v>669</v>
      </c>
      <c r="C285" s="795"/>
      <c r="D285" s="370"/>
      <c r="E285" s="370" t="s">
        <v>149</v>
      </c>
      <c r="F285" s="370"/>
      <c r="G285" s="370"/>
      <c r="H285" s="371">
        <v>600000</v>
      </c>
      <c r="I285" s="372">
        <v>1</v>
      </c>
      <c r="J285" s="372">
        <v>0</v>
      </c>
      <c r="K285" s="373" t="s">
        <v>594</v>
      </c>
      <c r="L285" s="370" t="s">
        <v>132</v>
      </c>
      <c r="M285" s="374">
        <v>44197</v>
      </c>
      <c r="N285" s="374">
        <v>44866</v>
      </c>
      <c r="O285" s="375" t="s">
        <v>166</v>
      </c>
      <c r="P285" s="375"/>
      <c r="Q285" s="370" t="s">
        <v>1</v>
      </c>
      <c r="R285" s="586"/>
      <c r="S285" s="694">
        <f>H285*5</f>
        <v>3000000</v>
      </c>
      <c r="T285" s="589"/>
      <c r="U285" s="591"/>
      <c r="V285" s="591"/>
    </row>
    <row r="286" spans="1:20" ht="18.75" hidden="1">
      <c r="A286" s="344"/>
      <c r="B286" s="788" t="s">
        <v>308</v>
      </c>
      <c r="C286" s="789"/>
      <c r="D286" s="344"/>
      <c r="E286" s="344" t="s">
        <v>307</v>
      </c>
      <c r="F286" s="344"/>
      <c r="G286" s="344"/>
      <c r="H286" s="415"/>
      <c r="I286" s="418">
        <v>1</v>
      </c>
      <c r="J286" s="418">
        <v>0</v>
      </c>
      <c r="K286" s="348" t="s">
        <v>8</v>
      </c>
      <c r="L286" s="344" t="s">
        <v>132</v>
      </c>
      <c r="M286" s="349">
        <v>43800</v>
      </c>
      <c r="N286" s="349">
        <v>44136</v>
      </c>
      <c r="O286" s="350"/>
      <c r="P286" s="350"/>
      <c r="Q286" s="344"/>
      <c r="R286" s="483"/>
      <c r="S286" s="483"/>
      <c r="T286" s="571"/>
    </row>
    <row r="287" spans="1:20" s="499" customFormat="1" ht="41.25" customHeight="1" hidden="1">
      <c r="A287" s="677"/>
      <c r="B287" s="790" t="s">
        <v>176</v>
      </c>
      <c r="C287" s="791"/>
      <c r="D287" s="677"/>
      <c r="E287" s="677"/>
      <c r="F287" s="677"/>
      <c r="G287" s="678"/>
      <c r="H287" s="679">
        <f>H288+H289</f>
        <v>0</v>
      </c>
      <c r="I287" s="680">
        <v>1</v>
      </c>
      <c r="J287" s="680">
        <v>0</v>
      </c>
      <c r="K287" s="681"/>
      <c r="L287" s="677"/>
      <c r="M287" s="682"/>
      <c r="N287" s="682"/>
      <c r="O287" s="678"/>
      <c r="P287" s="683"/>
      <c r="Q287" s="677"/>
      <c r="R287" s="488"/>
      <c r="S287" s="490"/>
      <c r="T287" s="470"/>
    </row>
    <row r="288" spans="1:21" s="163" customFormat="1" ht="39.75" customHeight="1" hidden="1">
      <c r="A288" s="370"/>
      <c r="B288" s="794" t="s">
        <v>176</v>
      </c>
      <c r="C288" s="795"/>
      <c r="D288" s="370"/>
      <c r="E288" s="370" t="s">
        <v>175</v>
      </c>
      <c r="F288" s="370"/>
      <c r="G288" s="375"/>
      <c r="H288" s="371"/>
      <c r="I288" s="372">
        <v>1</v>
      </c>
      <c r="J288" s="372">
        <v>0</v>
      </c>
      <c r="K288" s="373" t="s">
        <v>10</v>
      </c>
      <c r="L288" s="370" t="s">
        <v>148</v>
      </c>
      <c r="M288" s="374">
        <v>44136</v>
      </c>
      <c r="N288" s="374">
        <v>44866</v>
      </c>
      <c r="O288" s="510"/>
      <c r="P288" s="375"/>
      <c r="Q288" s="370" t="s">
        <v>632</v>
      </c>
      <c r="R288" s="497"/>
      <c r="S288" s="464"/>
      <c r="T288" s="165"/>
      <c r="U288" s="498"/>
    </row>
    <row r="289" spans="1:29" s="72" customFormat="1" ht="31.5" hidden="1">
      <c r="A289" s="344"/>
      <c r="B289" s="788" t="s">
        <v>396</v>
      </c>
      <c r="C289" s="789"/>
      <c r="D289" s="344"/>
      <c r="E289" s="344" t="s">
        <v>182</v>
      </c>
      <c r="F289" s="344"/>
      <c r="G289" s="350"/>
      <c r="H289" s="346"/>
      <c r="I289" s="418">
        <v>1</v>
      </c>
      <c r="J289" s="418">
        <v>0</v>
      </c>
      <c r="K289" s="348" t="s">
        <v>122</v>
      </c>
      <c r="L289" s="344" t="s">
        <v>148</v>
      </c>
      <c r="M289" s="349">
        <v>44105</v>
      </c>
      <c r="N289" s="349">
        <v>44166</v>
      </c>
      <c r="O289" s="684"/>
      <c r="P289" s="350"/>
      <c r="Q289" s="344"/>
      <c r="R289" s="503"/>
      <c r="S289" s="414"/>
      <c r="T289" s="271"/>
      <c r="U289" s="271"/>
      <c r="V289" s="271"/>
      <c r="W289" s="271"/>
      <c r="X289" s="271"/>
      <c r="Y289" s="271"/>
      <c r="Z289" s="271"/>
      <c r="AA289" s="271"/>
      <c r="AB289" s="271"/>
      <c r="AC289" s="271"/>
    </row>
    <row r="290" spans="1:29" s="492" customFormat="1" ht="42" customHeight="1">
      <c r="A290" s="391" t="s">
        <v>168</v>
      </c>
      <c r="B290" s="790" t="s">
        <v>202</v>
      </c>
      <c r="C290" s="791"/>
      <c r="D290" s="391"/>
      <c r="E290" s="391"/>
      <c r="F290" s="391"/>
      <c r="G290" s="393"/>
      <c r="H290" s="392">
        <f>SUM(H291:H293)</f>
        <v>250000</v>
      </c>
      <c r="I290" s="394">
        <v>1</v>
      </c>
      <c r="J290" s="394">
        <v>0</v>
      </c>
      <c r="K290" s="400"/>
      <c r="L290" s="391"/>
      <c r="M290" s="395"/>
      <c r="N290" s="395"/>
      <c r="O290" s="393"/>
      <c r="P290" s="396"/>
      <c r="Q290" s="391"/>
      <c r="R290" s="490"/>
      <c r="S290" s="491">
        <f>H290*5</f>
        <v>1250000</v>
      </c>
      <c r="T290" s="570"/>
      <c r="U290" s="467"/>
      <c r="V290" s="467"/>
      <c r="W290" s="467"/>
      <c r="X290" s="467"/>
      <c r="Y290" s="467"/>
      <c r="Z290" s="467"/>
      <c r="AA290" s="467"/>
      <c r="AB290" s="467"/>
      <c r="AC290" s="467"/>
    </row>
    <row r="291" spans="1:29" s="513" customFormat="1" ht="33.75" customHeight="1">
      <c r="A291" s="370" t="s">
        <v>198</v>
      </c>
      <c r="B291" s="794" t="s">
        <v>309</v>
      </c>
      <c r="C291" s="795"/>
      <c r="D291" s="370" t="s">
        <v>651</v>
      </c>
      <c r="E291" s="370" t="s">
        <v>207</v>
      </c>
      <c r="F291" s="370"/>
      <c r="G291" s="510"/>
      <c r="H291" s="371">
        <v>150000</v>
      </c>
      <c r="I291" s="372">
        <v>1</v>
      </c>
      <c r="J291" s="372">
        <v>0</v>
      </c>
      <c r="K291" s="373" t="s">
        <v>10</v>
      </c>
      <c r="L291" s="370" t="s">
        <v>132</v>
      </c>
      <c r="M291" s="374">
        <v>43646</v>
      </c>
      <c r="N291" s="374">
        <v>44105</v>
      </c>
      <c r="O291" s="510"/>
      <c r="P291" s="375"/>
      <c r="Q291" s="375" t="s">
        <v>417</v>
      </c>
      <c r="R291" s="370"/>
      <c r="S291" s="464"/>
      <c r="T291" s="465"/>
      <c r="U291" s="511"/>
      <c r="V291" s="511"/>
      <c r="W291" s="512"/>
      <c r="X291" s="512"/>
      <c r="Y291" s="512"/>
      <c r="Z291" s="512"/>
      <c r="AA291" s="512"/>
      <c r="AB291" s="512"/>
      <c r="AC291" s="512"/>
    </row>
    <row r="292" spans="1:29" s="605" customFormat="1" ht="37.5" customHeight="1">
      <c r="A292" s="370" t="s">
        <v>635</v>
      </c>
      <c r="B292" s="794" t="s">
        <v>233</v>
      </c>
      <c r="C292" s="795"/>
      <c r="D292" s="370"/>
      <c r="E292" s="685" t="s">
        <v>177</v>
      </c>
      <c r="F292" s="370"/>
      <c r="G292" s="375"/>
      <c r="H292" s="371">
        <v>28832.29</v>
      </c>
      <c r="I292" s="372">
        <v>1</v>
      </c>
      <c r="J292" s="372">
        <v>0</v>
      </c>
      <c r="K292" s="373" t="s">
        <v>122</v>
      </c>
      <c r="L292" s="370" t="s">
        <v>132</v>
      </c>
      <c r="M292" s="374">
        <v>44136</v>
      </c>
      <c r="N292" s="374">
        <v>44287</v>
      </c>
      <c r="O292" s="375"/>
      <c r="P292" s="375"/>
      <c r="Q292" s="370" t="s">
        <v>612</v>
      </c>
      <c r="R292" s="604"/>
      <c r="S292" s="694">
        <f>H292*5</f>
        <v>144161.45</v>
      </c>
      <c r="T292" s="589"/>
      <c r="U292" s="626"/>
      <c r="V292" s="589"/>
      <c r="W292" s="588"/>
      <c r="X292" s="588"/>
      <c r="Y292" s="588"/>
      <c r="Z292" s="588"/>
      <c r="AA292" s="588"/>
      <c r="AB292" s="588"/>
      <c r="AC292" s="588"/>
    </row>
    <row r="293" spans="1:29" s="605" customFormat="1" ht="37.5" customHeight="1">
      <c r="A293" s="370" t="s">
        <v>636</v>
      </c>
      <c r="B293" s="794" t="s">
        <v>234</v>
      </c>
      <c r="C293" s="795"/>
      <c r="D293" s="370"/>
      <c r="E293" s="685" t="s">
        <v>177</v>
      </c>
      <c r="F293" s="370"/>
      <c r="G293" s="375"/>
      <c r="H293" s="371">
        <v>71167.70999999999</v>
      </c>
      <c r="I293" s="372">
        <v>1</v>
      </c>
      <c r="J293" s="372">
        <v>0</v>
      </c>
      <c r="K293" s="373" t="s">
        <v>122</v>
      </c>
      <c r="L293" s="370" t="s">
        <v>132</v>
      </c>
      <c r="M293" s="374">
        <v>44682</v>
      </c>
      <c r="N293" s="374">
        <v>45474</v>
      </c>
      <c r="O293" s="375"/>
      <c r="P293" s="375"/>
      <c r="Q293" s="370" t="s">
        <v>404</v>
      </c>
      <c r="R293" s="604"/>
      <c r="S293" s="694">
        <f>H293*5</f>
        <v>355838.54999999993</v>
      </c>
      <c r="T293" s="589"/>
      <c r="U293" s="626"/>
      <c r="V293" s="589"/>
      <c r="W293" s="588"/>
      <c r="X293" s="588"/>
      <c r="Y293" s="588"/>
      <c r="Z293" s="588"/>
      <c r="AA293" s="588"/>
      <c r="AB293" s="588"/>
      <c r="AC293" s="588"/>
    </row>
    <row r="294" spans="1:29" s="492" customFormat="1" ht="29.25" customHeight="1">
      <c r="A294" s="391" t="s">
        <v>199</v>
      </c>
      <c r="B294" s="790" t="s">
        <v>178</v>
      </c>
      <c r="C294" s="791"/>
      <c r="D294" s="391"/>
      <c r="E294" s="391"/>
      <c r="F294" s="391"/>
      <c r="G294" s="393"/>
      <c r="H294" s="392">
        <f>SUM(H295)</f>
        <v>10</v>
      </c>
      <c r="I294" s="394">
        <v>1</v>
      </c>
      <c r="J294" s="394">
        <v>0</v>
      </c>
      <c r="K294" s="400"/>
      <c r="L294" s="391"/>
      <c r="M294" s="395"/>
      <c r="N294" s="395"/>
      <c r="O294" s="393"/>
      <c r="P294" s="396"/>
      <c r="Q294" s="391"/>
      <c r="R294" s="490"/>
      <c r="S294" s="491">
        <f>H294*5</f>
        <v>50</v>
      </c>
      <c r="T294" s="570"/>
      <c r="V294" s="467"/>
      <c r="W294" s="467"/>
      <c r="X294" s="467"/>
      <c r="Y294" s="467"/>
      <c r="Z294" s="467"/>
      <c r="AA294" s="467"/>
      <c r="AB294" s="467"/>
      <c r="AC294" s="467"/>
    </row>
    <row r="295" spans="1:29" s="514" customFormat="1" ht="56.25" customHeight="1">
      <c r="A295" s="370" t="s">
        <v>200</v>
      </c>
      <c r="B295" s="794" t="s">
        <v>178</v>
      </c>
      <c r="C295" s="795"/>
      <c r="D295" s="370"/>
      <c r="E295" s="370" t="s">
        <v>149</v>
      </c>
      <c r="F295" s="370"/>
      <c r="G295" s="375"/>
      <c r="H295" s="371">
        <v>10</v>
      </c>
      <c r="I295" s="372">
        <v>1</v>
      </c>
      <c r="J295" s="372">
        <v>0</v>
      </c>
      <c r="K295" s="373" t="s">
        <v>10</v>
      </c>
      <c r="L295" s="370" t="s">
        <v>132</v>
      </c>
      <c r="M295" s="374">
        <v>43646</v>
      </c>
      <c r="N295" s="374">
        <v>43739</v>
      </c>
      <c r="O295" s="375" t="s">
        <v>379</v>
      </c>
      <c r="P295" s="375"/>
      <c r="Q295" s="370" t="s">
        <v>15</v>
      </c>
      <c r="R295" s="370"/>
      <c r="S295" s="464"/>
      <c r="T295" s="465"/>
      <c r="U295" s="511"/>
      <c r="V295" s="511"/>
      <c r="W295" s="512"/>
      <c r="X295" s="512"/>
      <c r="Y295" s="512"/>
      <c r="Z295" s="512"/>
      <c r="AA295" s="512"/>
      <c r="AB295" s="512"/>
      <c r="AC295" s="512"/>
    </row>
    <row r="296" spans="1:29" s="63" customFormat="1" ht="15.75" customHeight="1">
      <c r="A296" s="51"/>
      <c r="B296" s="42"/>
      <c r="C296" s="43"/>
      <c r="D296" s="44"/>
      <c r="E296" s="45"/>
      <c r="F296" s="45"/>
      <c r="G296" s="31"/>
      <c r="H296" s="211">
        <f>SUM(H282+H284+H287+H290+H294)</f>
        <v>7227028</v>
      </c>
      <c r="I296" s="263">
        <f>(H282*I282+H284*I284+H287*I287+H290*I290+H294*I294)/(H282+H284+H287+H290+H294)</f>
        <v>1</v>
      </c>
      <c r="J296" s="263">
        <v>0</v>
      </c>
      <c r="K296" s="46"/>
      <c r="L296" s="47"/>
      <c r="M296" s="47"/>
      <c r="N296" s="48"/>
      <c r="O296" s="46"/>
      <c r="P296" s="46"/>
      <c r="Q296" s="45"/>
      <c r="R296" s="91"/>
      <c r="S296" s="91"/>
      <c r="T296" s="91"/>
      <c r="V296" s="74"/>
      <c r="W296" s="74"/>
      <c r="X296" s="74"/>
      <c r="Y296" s="74"/>
      <c r="Z296" s="74"/>
      <c r="AA296" s="74"/>
      <c r="AB296" s="74"/>
      <c r="AC296" s="74"/>
    </row>
    <row r="297" spans="1:29" s="63" customFormat="1" ht="21">
      <c r="A297" s="31"/>
      <c r="B297" s="92"/>
      <c r="C297" s="31"/>
      <c r="D297" s="92"/>
      <c r="E297" s="31"/>
      <c r="F297" s="92"/>
      <c r="G297" s="31"/>
      <c r="H297" s="222"/>
      <c r="I297" s="211">
        <f>I296*H296</f>
        <v>7227028</v>
      </c>
      <c r="J297" s="211">
        <f>H296*J296</f>
        <v>0</v>
      </c>
      <c r="K297" s="484"/>
      <c r="L297" s="104"/>
      <c r="M297" s="104"/>
      <c r="N297" s="104"/>
      <c r="O297" s="104"/>
      <c r="P297" s="104"/>
      <c r="Q297" s="104"/>
      <c r="R297" s="91"/>
      <c r="S297" s="91"/>
      <c r="T297" s="91"/>
      <c r="V297" s="74"/>
      <c r="W297" s="74"/>
      <c r="X297" s="74"/>
      <c r="Y297" s="74"/>
      <c r="Z297" s="74"/>
      <c r="AA297" s="74"/>
      <c r="AB297" s="74"/>
      <c r="AC297" s="74"/>
    </row>
    <row r="298" spans="1:29" s="63" customFormat="1" ht="15.75">
      <c r="A298" s="31"/>
      <c r="B298" s="92"/>
      <c r="C298" s="31"/>
      <c r="D298" s="92"/>
      <c r="E298" s="31"/>
      <c r="F298" s="92"/>
      <c r="G298" s="31"/>
      <c r="H298" s="222"/>
      <c r="I298" s="248"/>
      <c r="J298" s="248"/>
      <c r="K298" s="104"/>
      <c r="L298" s="104"/>
      <c r="M298" s="104"/>
      <c r="N298" s="104"/>
      <c r="O298" s="104"/>
      <c r="P298" s="104"/>
      <c r="Q298" s="104"/>
      <c r="R298" s="60"/>
      <c r="S298" s="60"/>
      <c r="T298" s="60"/>
      <c r="V298" s="76"/>
      <c r="W298" s="76"/>
      <c r="X298" s="76"/>
      <c r="Y298" s="76"/>
      <c r="Z298" s="76"/>
      <c r="AA298" s="76"/>
      <c r="AB298" s="76"/>
      <c r="AC298" s="76"/>
    </row>
    <row r="299" spans="1:29" ht="21">
      <c r="A299" s="91"/>
      <c r="B299" s="87"/>
      <c r="C299" s="88"/>
      <c r="D299" s="87"/>
      <c r="E299" s="87"/>
      <c r="F299" s="87"/>
      <c r="G299" s="31" t="s">
        <v>126</v>
      </c>
      <c r="H299" s="353">
        <f>SUM(H114+H276+H296)</f>
        <v>178500000.11519372</v>
      </c>
      <c r="I299" s="260"/>
      <c r="J299" s="261"/>
      <c r="K299" s="89"/>
      <c r="L299" s="87"/>
      <c r="M299" s="87"/>
      <c r="N299" s="87"/>
      <c r="O299" s="87"/>
      <c r="P299" s="87"/>
      <c r="Q299" s="87"/>
      <c r="R299" s="60"/>
      <c r="S299" s="60"/>
      <c r="T299" s="60"/>
      <c r="U299" s="63"/>
      <c r="V299" s="76"/>
      <c r="W299" s="76"/>
      <c r="X299" s="76"/>
      <c r="Y299" s="76"/>
      <c r="Z299" s="76"/>
      <c r="AA299" s="76"/>
      <c r="AB299" s="76"/>
      <c r="AC299" s="76"/>
    </row>
    <row r="300" spans="1:29" ht="15.75">
      <c r="A300" s="91"/>
      <c r="B300" s="87"/>
      <c r="C300" s="88"/>
      <c r="D300" s="87"/>
      <c r="E300" s="87"/>
      <c r="F300" s="87"/>
      <c r="G300" s="31"/>
      <c r="H300" s="222"/>
      <c r="I300" s="246"/>
      <c r="J300" s="246"/>
      <c r="K300" s="89"/>
      <c r="L300" s="87"/>
      <c r="M300" s="87"/>
      <c r="N300" s="87"/>
      <c r="O300" s="87"/>
      <c r="P300" s="87"/>
      <c r="Q300" s="87"/>
      <c r="R300" s="60"/>
      <c r="S300" s="60"/>
      <c r="T300" s="60"/>
      <c r="V300" s="76"/>
      <c r="W300" s="76"/>
      <c r="X300" s="76"/>
      <c r="Y300" s="76"/>
      <c r="Z300" s="76"/>
      <c r="AA300" s="76"/>
      <c r="AB300" s="76"/>
      <c r="AC300" s="76"/>
    </row>
    <row r="301" spans="18:29" ht="15.75">
      <c r="R301" s="60"/>
      <c r="S301" s="60"/>
      <c r="T301" s="60"/>
      <c r="V301" s="76"/>
      <c r="W301" s="76"/>
      <c r="X301" s="76"/>
      <c r="Y301" s="76"/>
      <c r="Z301" s="76"/>
      <c r="AA301" s="76"/>
      <c r="AB301" s="76"/>
      <c r="AC301" s="76"/>
    </row>
    <row r="302" spans="1:29" ht="15.75">
      <c r="A302" s="91"/>
      <c r="B302" s="830" t="s">
        <v>54</v>
      </c>
      <c r="C302" s="819" t="s">
        <v>51</v>
      </c>
      <c r="D302" s="775" t="s">
        <v>38</v>
      </c>
      <c r="E302" s="775"/>
      <c r="F302" s="59"/>
      <c r="G302" s="53"/>
      <c r="H302" s="246"/>
      <c r="K302" s="91"/>
      <c r="P302" s="91"/>
      <c r="Q302" s="91"/>
      <c r="R302" s="60"/>
      <c r="S302" s="60"/>
      <c r="T302" s="60"/>
      <c r="V302" s="76"/>
      <c r="W302" s="76"/>
      <c r="X302" s="76"/>
      <c r="Y302" s="76"/>
      <c r="Z302" s="76"/>
      <c r="AA302" s="76"/>
      <c r="AB302" s="76"/>
      <c r="AC302" s="76"/>
    </row>
    <row r="303" spans="1:29" ht="15.75">
      <c r="A303" s="91"/>
      <c r="B303" s="831"/>
      <c r="C303" s="820"/>
      <c r="D303" s="775" t="s">
        <v>72</v>
      </c>
      <c r="E303" s="775"/>
      <c r="F303" s="59"/>
      <c r="G303" s="53"/>
      <c r="H303" s="246"/>
      <c r="I303" s="246"/>
      <c r="J303" s="246"/>
      <c r="K303" s="91"/>
      <c r="P303" s="91"/>
      <c r="Q303" s="91"/>
      <c r="R303" s="62"/>
      <c r="S303" s="62"/>
      <c r="T303" s="62"/>
      <c r="V303" s="63"/>
      <c r="W303" s="63"/>
      <c r="X303" s="63"/>
      <c r="Y303" s="63"/>
      <c r="Z303" s="63"/>
      <c r="AA303" s="63"/>
      <c r="AB303" s="63"/>
      <c r="AC303" s="63"/>
    </row>
    <row r="304" spans="1:29" ht="15.75">
      <c r="A304" s="91"/>
      <c r="B304" s="831"/>
      <c r="C304" s="820"/>
      <c r="D304" s="775" t="s">
        <v>73</v>
      </c>
      <c r="E304" s="775"/>
      <c r="F304" s="59"/>
      <c r="G304" s="53"/>
      <c r="H304" s="224"/>
      <c r="K304" s="91"/>
      <c r="P304" s="91"/>
      <c r="Q304" s="91"/>
      <c r="R304" s="62"/>
      <c r="S304" s="62"/>
      <c r="T304" s="62"/>
      <c r="V304" s="63"/>
      <c r="W304" s="63"/>
      <c r="X304" s="63"/>
      <c r="Y304" s="63"/>
      <c r="Z304" s="63"/>
      <c r="AA304" s="63"/>
      <c r="AB304" s="63"/>
      <c r="AC304" s="63"/>
    </row>
    <row r="305" spans="1:29" ht="15.75">
      <c r="A305" s="91"/>
      <c r="B305" s="831"/>
      <c r="C305" s="820"/>
      <c r="D305" s="775" t="s">
        <v>28</v>
      </c>
      <c r="E305" s="775"/>
      <c r="F305" s="59"/>
      <c r="G305" s="53"/>
      <c r="H305" s="224"/>
      <c r="K305" s="91"/>
      <c r="P305" s="91"/>
      <c r="Q305" s="91"/>
      <c r="R305" s="62"/>
      <c r="S305" s="62"/>
      <c r="T305" s="62"/>
      <c r="V305" s="63"/>
      <c r="W305" s="63"/>
      <c r="X305" s="63"/>
      <c r="Y305" s="63"/>
      <c r="Z305" s="63"/>
      <c r="AA305" s="63"/>
      <c r="AB305" s="63"/>
      <c r="AC305" s="63"/>
    </row>
    <row r="306" spans="1:29" ht="15.75">
      <c r="A306" s="91"/>
      <c r="B306" s="831"/>
      <c r="C306" s="820"/>
      <c r="D306" s="775" t="s">
        <v>31</v>
      </c>
      <c r="E306" s="775"/>
      <c r="F306" s="59"/>
      <c r="G306" s="53"/>
      <c r="H306" s="224"/>
      <c r="K306" s="91"/>
      <c r="P306" s="91"/>
      <c r="Q306" s="91"/>
      <c r="R306" s="62"/>
      <c r="S306" s="62"/>
      <c r="T306" s="62"/>
      <c r="V306" s="63"/>
      <c r="W306" s="63"/>
      <c r="X306" s="63"/>
      <c r="Y306" s="63"/>
      <c r="Z306" s="63"/>
      <c r="AA306" s="63"/>
      <c r="AB306" s="63"/>
      <c r="AC306" s="63"/>
    </row>
    <row r="307" spans="1:17" ht="15.75">
      <c r="A307" s="91"/>
      <c r="B307" s="831"/>
      <c r="C307" s="820"/>
      <c r="D307" s="775" t="s">
        <v>39</v>
      </c>
      <c r="E307" s="775"/>
      <c r="F307" s="59"/>
      <c r="G307" s="53"/>
      <c r="H307" s="224"/>
      <c r="K307" s="91"/>
      <c r="P307" s="91"/>
      <c r="Q307" s="91"/>
    </row>
    <row r="308" spans="1:17" ht="15.75">
      <c r="A308" s="91"/>
      <c r="B308" s="831"/>
      <c r="C308" s="821"/>
      <c r="D308" s="775" t="s">
        <v>74</v>
      </c>
      <c r="E308" s="775"/>
      <c r="F308" s="59"/>
      <c r="G308" s="53"/>
      <c r="H308" s="224"/>
      <c r="K308" s="91"/>
      <c r="P308" s="91"/>
      <c r="Q308" s="91"/>
    </row>
    <row r="309" spans="1:17" ht="15.75">
      <c r="A309" s="91"/>
      <c r="B309" s="831"/>
      <c r="C309" s="833" t="s">
        <v>53</v>
      </c>
      <c r="D309" s="775" t="s">
        <v>32</v>
      </c>
      <c r="E309" s="775"/>
      <c r="F309" s="59"/>
      <c r="G309" s="53"/>
      <c r="H309" s="224"/>
      <c r="K309" s="91"/>
      <c r="P309" s="91"/>
      <c r="Q309" s="91"/>
    </row>
    <row r="310" spans="1:17" ht="15.75">
      <c r="A310" s="91"/>
      <c r="B310" s="831"/>
      <c r="C310" s="834"/>
      <c r="D310" s="775" t="s">
        <v>33</v>
      </c>
      <c r="E310" s="775"/>
      <c r="F310" s="59"/>
      <c r="G310" s="53"/>
      <c r="H310" s="224"/>
      <c r="K310" s="91"/>
      <c r="P310" s="91"/>
      <c r="Q310" s="91"/>
    </row>
    <row r="311" spans="1:17" ht="15.75">
      <c r="A311" s="91"/>
      <c r="B311" s="831"/>
      <c r="C311" s="834"/>
      <c r="D311" s="775" t="s">
        <v>34</v>
      </c>
      <c r="E311" s="775"/>
      <c r="K311" s="91"/>
      <c r="P311" s="91"/>
      <c r="Q311" s="91"/>
    </row>
    <row r="312" spans="1:17" ht="15.75">
      <c r="A312" s="91"/>
      <c r="B312" s="831"/>
      <c r="C312" s="834"/>
      <c r="D312" s="775" t="s">
        <v>28</v>
      </c>
      <c r="E312" s="775"/>
      <c r="K312" s="91"/>
      <c r="P312" s="91"/>
      <c r="Q312" s="91"/>
    </row>
    <row r="313" spans="1:17" ht="15.75">
      <c r="A313" s="91"/>
      <c r="B313" s="831"/>
      <c r="C313" s="834"/>
      <c r="D313" s="775" t="s">
        <v>31</v>
      </c>
      <c r="E313" s="775"/>
      <c r="K313" s="91"/>
      <c r="P313" s="91"/>
      <c r="Q313" s="91"/>
    </row>
    <row r="314" spans="1:17" ht="15.75">
      <c r="A314" s="91"/>
      <c r="B314" s="831"/>
      <c r="C314" s="834"/>
      <c r="D314" s="775" t="s">
        <v>40</v>
      </c>
      <c r="E314" s="775"/>
      <c r="K314" s="91"/>
      <c r="P314" s="91"/>
      <c r="Q314" s="91"/>
    </row>
    <row r="315" spans="1:17" ht="15.75">
      <c r="A315" s="91"/>
      <c r="B315" s="831"/>
      <c r="C315" s="834"/>
      <c r="D315" s="775" t="s">
        <v>75</v>
      </c>
      <c r="E315" s="775"/>
      <c r="K315" s="91"/>
      <c r="P315" s="91"/>
      <c r="Q315" s="91"/>
    </row>
    <row r="316" spans="1:17" ht="15.75">
      <c r="A316" s="91"/>
      <c r="B316" s="831"/>
      <c r="C316" s="834"/>
      <c r="D316" s="775" t="s">
        <v>52</v>
      </c>
      <c r="E316" s="775"/>
      <c r="K316" s="91"/>
      <c r="P316" s="91"/>
      <c r="Q316" s="91"/>
    </row>
    <row r="317" spans="1:17" ht="15.75">
      <c r="A317" s="91"/>
      <c r="B317" s="831"/>
      <c r="C317" s="834"/>
      <c r="D317" s="775" t="s">
        <v>5</v>
      </c>
      <c r="E317" s="775"/>
      <c r="K317" s="91"/>
      <c r="P317" s="91"/>
      <c r="Q317" s="91"/>
    </row>
    <row r="318" spans="1:17" ht="15.75">
      <c r="A318" s="91"/>
      <c r="B318" s="831"/>
      <c r="C318" s="835"/>
      <c r="D318" s="775" t="s">
        <v>11</v>
      </c>
      <c r="E318" s="775"/>
      <c r="K318" s="91"/>
      <c r="P318" s="91"/>
      <c r="Q318" s="91"/>
    </row>
    <row r="319" spans="1:17" ht="15.75">
      <c r="A319" s="91"/>
      <c r="B319" s="831"/>
      <c r="C319" s="781" t="s">
        <v>76</v>
      </c>
      <c r="D319" s="775" t="s">
        <v>77</v>
      </c>
      <c r="E319" s="775"/>
      <c r="K319" s="91"/>
      <c r="P319" s="91"/>
      <c r="Q319" s="91"/>
    </row>
    <row r="320" spans="1:17" ht="15.75">
      <c r="A320" s="91"/>
      <c r="B320" s="831"/>
      <c r="C320" s="782"/>
      <c r="D320" s="775" t="s">
        <v>28</v>
      </c>
      <c r="E320" s="775"/>
      <c r="K320" s="91"/>
      <c r="P320" s="91"/>
      <c r="Q320" s="91"/>
    </row>
    <row r="321" spans="2:5" ht="15.75">
      <c r="B321" s="832"/>
      <c r="C321" s="783"/>
      <c r="D321" s="775" t="s">
        <v>31</v>
      </c>
      <c r="E321" s="775"/>
    </row>
    <row r="323" spans="2:15" ht="15.75">
      <c r="B323" s="778" t="s">
        <v>95</v>
      </c>
      <c r="C323" s="779"/>
      <c r="D323" s="779"/>
      <c r="E323" s="780"/>
      <c r="F323" s="32"/>
      <c r="G323" s="32"/>
      <c r="H323" s="225"/>
      <c r="I323" s="250"/>
      <c r="J323" s="250"/>
      <c r="K323" s="39"/>
      <c r="L323" s="36"/>
      <c r="M323" s="35"/>
      <c r="N323" s="60"/>
      <c r="O323" s="60"/>
    </row>
    <row r="324" spans="2:15" ht="15.75">
      <c r="B324" s="33" t="s">
        <v>96</v>
      </c>
      <c r="C324" s="825" t="s">
        <v>101</v>
      </c>
      <c r="D324" s="826"/>
      <c r="E324" s="827"/>
      <c r="F324" s="37"/>
      <c r="G324" s="37"/>
      <c r="H324" s="225"/>
      <c r="I324" s="251"/>
      <c r="J324" s="251"/>
      <c r="K324" s="26"/>
      <c r="L324" s="37"/>
      <c r="M324" s="37"/>
      <c r="N324" s="60"/>
      <c r="O324" s="60"/>
    </row>
    <row r="325" spans="2:15" ht="15.75">
      <c r="B325" s="33" t="s">
        <v>97</v>
      </c>
      <c r="C325" s="825" t="s">
        <v>102</v>
      </c>
      <c r="D325" s="826"/>
      <c r="E325" s="827"/>
      <c r="F325" s="37"/>
      <c r="G325" s="37"/>
      <c r="H325" s="225"/>
      <c r="I325" s="251"/>
      <c r="J325" s="251"/>
      <c r="K325" s="26"/>
      <c r="L325" s="37"/>
      <c r="M325" s="37"/>
      <c r="N325" s="60"/>
      <c r="O325" s="60"/>
    </row>
    <row r="326" spans="2:15" ht="15.75">
      <c r="B326" s="33" t="s">
        <v>98</v>
      </c>
      <c r="C326" s="825" t="s">
        <v>103</v>
      </c>
      <c r="D326" s="826"/>
      <c r="E326" s="827"/>
      <c r="F326" s="37"/>
      <c r="G326" s="37"/>
      <c r="H326" s="225"/>
      <c r="I326" s="251"/>
      <c r="J326" s="251"/>
      <c r="K326" s="26"/>
      <c r="L326" s="37"/>
      <c r="M326" s="37"/>
      <c r="N326" s="60"/>
      <c r="O326" s="60"/>
    </row>
    <row r="327" spans="2:15" ht="15.75">
      <c r="B327" s="33" t="s">
        <v>99</v>
      </c>
      <c r="C327" s="825" t="s">
        <v>100</v>
      </c>
      <c r="D327" s="826"/>
      <c r="E327" s="827"/>
      <c r="F327" s="37"/>
      <c r="G327" s="37"/>
      <c r="H327" s="225"/>
      <c r="I327" s="251"/>
      <c r="J327" s="251"/>
      <c r="K327" s="26"/>
      <c r="L327" s="37"/>
      <c r="M327" s="37"/>
      <c r="N327" s="60"/>
      <c r="O327" s="60"/>
    </row>
    <row r="328" spans="1:17" ht="15.75">
      <c r="A328" s="61"/>
      <c r="B328" s="62"/>
      <c r="C328" s="62"/>
      <c r="D328" s="63"/>
      <c r="E328" s="63"/>
      <c r="F328" s="63"/>
      <c r="G328" s="64"/>
      <c r="H328" s="222"/>
      <c r="I328" s="252"/>
      <c r="J328" s="252"/>
      <c r="K328" s="64"/>
      <c r="L328" s="63"/>
      <c r="M328" s="63"/>
      <c r="N328" s="62"/>
      <c r="O328" s="62"/>
      <c r="P328" s="61"/>
      <c r="Q328" s="61"/>
    </row>
    <row r="329" spans="1:17" ht="15.75">
      <c r="A329" s="61"/>
      <c r="B329" s="62"/>
      <c r="C329" s="62"/>
      <c r="D329" s="62"/>
      <c r="E329" s="62"/>
      <c r="F329" s="62"/>
      <c r="G329" s="61"/>
      <c r="H329" s="226"/>
      <c r="I329" s="253"/>
      <c r="J329" s="253"/>
      <c r="K329" s="61"/>
      <c r="L329" s="62"/>
      <c r="M329" s="62"/>
      <c r="N329" s="62"/>
      <c r="O329" s="62"/>
      <c r="P329" s="61"/>
      <c r="Q329" s="61"/>
    </row>
    <row r="330" spans="1:17" ht="15.75">
      <c r="A330" s="61"/>
      <c r="B330" s="62"/>
      <c r="C330" s="62"/>
      <c r="D330" s="62"/>
      <c r="E330" s="62"/>
      <c r="F330" s="62"/>
      <c r="G330" s="61"/>
      <c r="H330" s="226"/>
      <c r="I330" s="253"/>
      <c r="J330" s="253"/>
      <c r="K330" s="61"/>
      <c r="L330" s="62"/>
      <c r="M330" s="62"/>
      <c r="N330" s="62"/>
      <c r="O330" s="62"/>
      <c r="P330" s="61"/>
      <c r="Q330" s="61"/>
    </row>
    <row r="331" spans="1:17" ht="15.75">
      <c r="A331" s="61"/>
      <c r="B331" s="62"/>
      <c r="C331" s="62"/>
      <c r="D331" s="62"/>
      <c r="E331" s="62"/>
      <c r="F331" s="62"/>
      <c r="G331" s="61"/>
      <c r="H331" s="226"/>
      <c r="I331" s="253"/>
      <c r="J331" s="253"/>
      <c r="K331" s="61"/>
      <c r="L331" s="62"/>
      <c r="M331" s="62"/>
      <c r="N331" s="62"/>
      <c r="O331" s="62"/>
      <c r="P331" s="61"/>
      <c r="Q331" s="61"/>
    </row>
  </sheetData>
  <sheetProtection/>
  <mergeCells count="350">
    <mergeCell ref="B37:C37"/>
    <mergeCell ref="B74:C74"/>
    <mergeCell ref="B40:C40"/>
    <mergeCell ref="B46:C46"/>
    <mergeCell ref="B50:C50"/>
    <mergeCell ref="B62:C62"/>
    <mergeCell ref="B48:C48"/>
    <mergeCell ref="B71:C71"/>
    <mergeCell ref="B66:C66"/>
    <mergeCell ref="B72:C72"/>
    <mergeCell ref="B34:C34"/>
    <mergeCell ref="B65:C65"/>
    <mergeCell ref="B76:C76"/>
    <mergeCell ref="B78:C78"/>
    <mergeCell ref="B134:C134"/>
    <mergeCell ref="B111:C111"/>
    <mergeCell ref="B100:C100"/>
    <mergeCell ref="B44:C44"/>
    <mergeCell ref="B51:C51"/>
    <mergeCell ref="B36:C36"/>
    <mergeCell ref="B128:C128"/>
    <mergeCell ref="B49:C49"/>
    <mergeCell ref="B69:C69"/>
    <mergeCell ref="B106:C106"/>
    <mergeCell ref="B91:C91"/>
    <mergeCell ref="B67:C67"/>
    <mergeCell ref="B79:C79"/>
    <mergeCell ref="B82:C82"/>
    <mergeCell ref="B80:C80"/>
    <mergeCell ref="B59:C59"/>
    <mergeCell ref="C327:E327"/>
    <mergeCell ref="C326:E326"/>
    <mergeCell ref="D315:E315"/>
    <mergeCell ref="B246:C246"/>
    <mergeCell ref="B247:C247"/>
    <mergeCell ref="C319:C321"/>
    <mergeCell ref="B323:E323"/>
    <mergeCell ref="D320:E320"/>
    <mergeCell ref="B270:C270"/>
    <mergeCell ref="B251:C251"/>
    <mergeCell ref="B229:C229"/>
    <mergeCell ref="B266:C266"/>
    <mergeCell ref="B254:C254"/>
    <mergeCell ref="B241:C241"/>
    <mergeCell ref="B263:C263"/>
    <mergeCell ref="B257:C257"/>
    <mergeCell ref="B260:C260"/>
    <mergeCell ref="B237:C237"/>
    <mergeCell ref="B244:C244"/>
    <mergeCell ref="B253:C253"/>
    <mergeCell ref="B125:C125"/>
    <mergeCell ref="B93:C93"/>
    <mergeCell ref="D321:E321"/>
    <mergeCell ref="B193:C193"/>
    <mergeCell ref="B188:C188"/>
    <mergeCell ref="B200:C200"/>
    <mergeCell ref="B215:C215"/>
    <mergeCell ref="B94:C94"/>
    <mergeCell ref="B230:C230"/>
    <mergeCell ref="B224:C224"/>
    <mergeCell ref="R255:R256"/>
    <mergeCell ref="B182:C182"/>
    <mergeCell ref="H118:J118"/>
    <mergeCell ref="R101:R102"/>
    <mergeCell ref="B245:C245"/>
    <mergeCell ref="B248:C248"/>
    <mergeCell ref="B249:C249"/>
    <mergeCell ref="B121:C121"/>
    <mergeCell ref="B238:C238"/>
    <mergeCell ref="B183:C183"/>
    <mergeCell ref="B112:C112"/>
    <mergeCell ref="B102:C102"/>
    <mergeCell ref="B105:C105"/>
    <mergeCell ref="B90:C90"/>
    <mergeCell ref="B75:C75"/>
    <mergeCell ref="B110:C110"/>
    <mergeCell ref="B86:C86"/>
    <mergeCell ref="B109:C109"/>
    <mergeCell ref="B89:C89"/>
    <mergeCell ref="B107:C107"/>
    <mergeCell ref="B120:C120"/>
    <mergeCell ref="B302:B321"/>
    <mergeCell ref="C309:C318"/>
    <mergeCell ref="D316:E316"/>
    <mergeCell ref="D317:E317"/>
    <mergeCell ref="B122:C122"/>
    <mergeCell ref="D306:E306"/>
    <mergeCell ref="D307:E307"/>
    <mergeCell ref="B195:C195"/>
    <mergeCell ref="B239:C239"/>
    <mergeCell ref="B113:C113"/>
    <mergeCell ref="B154:C154"/>
    <mergeCell ref="D318:E318"/>
    <mergeCell ref="D312:E312"/>
    <mergeCell ref="D302:E302"/>
    <mergeCell ref="D303:E303"/>
    <mergeCell ref="D304:E304"/>
    <mergeCell ref="D305:E305"/>
    <mergeCell ref="D311:E311"/>
    <mergeCell ref="D308:E308"/>
    <mergeCell ref="C325:E325"/>
    <mergeCell ref="D313:E313"/>
    <mergeCell ref="C324:E324"/>
    <mergeCell ref="D309:E309"/>
    <mergeCell ref="D310:E310"/>
    <mergeCell ref="D319:E319"/>
    <mergeCell ref="D314:E314"/>
    <mergeCell ref="C302:C308"/>
    <mergeCell ref="A279:A281"/>
    <mergeCell ref="B279:Q279"/>
    <mergeCell ref="D280:D281"/>
    <mergeCell ref="E280:E281"/>
    <mergeCell ref="L280:L281"/>
    <mergeCell ref="M280:N280"/>
    <mergeCell ref="K280:K281"/>
    <mergeCell ref="H280:J280"/>
    <mergeCell ref="Q280:Q281"/>
    <mergeCell ref="G280:G281"/>
    <mergeCell ref="B207:C207"/>
    <mergeCell ref="B262:C262"/>
    <mergeCell ref="F280:F281"/>
    <mergeCell ref="B252:C252"/>
    <mergeCell ref="B274:C274"/>
    <mergeCell ref="B264:C264"/>
    <mergeCell ref="B235:C235"/>
    <mergeCell ref="B242:C242"/>
    <mergeCell ref="B243:C243"/>
    <mergeCell ref="B265:C265"/>
    <mergeCell ref="F118:F119"/>
    <mergeCell ref="P118:P119"/>
    <mergeCell ref="B204:C204"/>
    <mergeCell ref="O280:O281"/>
    <mergeCell ref="P280:P281"/>
    <mergeCell ref="B220:C220"/>
    <mergeCell ref="B205:C205"/>
    <mergeCell ref="B222:C222"/>
    <mergeCell ref="B216:C216"/>
    <mergeCell ref="B240:C240"/>
    <mergeCell ref="L118:L119"/>
    <mergeCell ref="B23:C23"/>
    <mergeCell ref="B103:C103"/>
    <mergeCell ref="B85:C85"/>
    <mergeCell ref="B30:C30"/>
    <mergeCell ref="B41:C41"/>
    <mergeCell ref="B33:C33"/>
    <mergeCell ref="B52:C52"/>
    <mergeCell ref="B64:C64"/>
    <mergeCell ref="W14:X14"/>
    <mergeCell ref="B164:C164"/>
    <mergeCell ref="B165:C165"/>
    <mergeCell ref="B16:C16"/>
    <mergeCell ref="B18:C18"/>
    <mergeCell ref="B19:C19"/>
    <mergeCell ref="B38:C38"/>
    <mergeCell ref="O118:O119"/>
    <mergeCell ref="G118:G119"/>
    <mergeCell ref="Q118:Q119"/>
    <mergeCell ref="M118:N118"/>
    <mergeCell ref="K118:K119"/>
    <mergeCell ref="B114:C114"/>
    <mergeCell ref="B32:C32"/>
    <mergeCell ref="B20:C20"/>
    <mergeCell ref="B83:C83"/>
    <mergeCell ref="B27:C27"/>
    <mergeCell ref="B54:C54"/>
    <mergeCell ref="B60:C60"/>
    <mergeCell ref="B70:C70"/>
    <mergeCell ref="E14:E15"/>
    <mergeCell ref="F14:F15"/>
    <mergeCell ref="U14:V14"/>
    <mergeCell ref="R14:R15"/>
    <mergeCell ref="H14:J14"/>
    <mergeCell ref="L14:L15"/>
    <mergeCell ref="M14:N14"/>
    <mergeCell ref="Q14:Q15"/>
    <mergeCell ref="G14:G15"/>
    <mergeCell ref="A2:L2"/>
    <mergeCell ref="A3:L3"/>
    <mergeCell ref="A4:L4"/>
    <mergeCell ref="A5:L5"/>
    <mergeCell ref="B13:Q13"/>
    <mergeCell ref="D14:D15"/>
    <mergeCell ref="A14:A15"/>
    <mergeCell ref="K14:K15"/>
    <mergeCell ref="O14:O15"/>
    <mergeCell ref="P14:P15"/>
    <mergeCell ref="B123:C123"/>
    <mergeCell ref="B108:C108"/>
    <mergeCell ref="B157:C157"/>
    <mergeCell ref="B145:C145"/>
    <mergeCell ref="B118:C119"/>
    <mergeCell ref="B135:C135"/>
    <mergeCell ref="B124:C124"/>
    <mergeCell ref="B117:Q117"/>
    <mergeCell ref="D118:D119"/>
    <mergeCell ref="E118:E119"/>
    <mergeCell ref="B286:C286"/>
    <mergeCell ref="B285:C285"/>
    <mergeCell ref="B273:C273"/>
    <mergeCell ref="B284:C284"/>
    <mergeCell ref="B282:C282"/>
    <mergeCell ref="B186:C186"/>
    <mergeCell ref="B194:C194"/>
    <mergeCell ref="B208:C208"/>
    <mergeCell ref="B214:C214"/>
    <mergeCell ref="B209:C209"/>
    <mergeCell ref="B294:C294"/>
    <mergeCell ref="B293:C293"/>
    <mergeCell ref="B206:C206"/>
    <mergeCell ref="B283:C283"/>
    <mergeCell ref="B256:C256"/>
    <mergeCell ref="B258:C258"/>
    <mergeCell ref="B275:C275"/>
    <mergeCell ref="B259:C259"/>
    <mergeCell ref="B269:C269"/>
    <mergeCell ref="B261:C261"/>
    <mergeCell ref="B292:C292"/>
    <mergeCell ref="B267:C267"/>
    <mergeCell ref="B268:C268"/>
    <mergeCell ref="B289:C289"/>
    <mergeCell ref="B290:C290"/>
    <mergeCell ref="B280:C281"/>
    <mergeCell ref="B271:C271"/>
    <mergeCell ref="B272:C272"/>
    <mergeCell ref="B288:C288"/>
    <mergeCell ref="B287:C287"/>
    <mergeCell ref="B295:C295"/>
    <mergeCell ref="B291:C291"/>
    <mergeCell ref="B153:C153"/>
    <mergeCell ref="B255:C255"/>
    <mergeCell ref="B171:C171"/>
    <mergeCell ref="B169:C169"/>
    <mergeCell ref="B196:C196"/>
    <mergeCell ref="B223:C223"/>
    <mergeCell ref="B159:C159"/>
    <mergeCell ref="B163:C163"/>
    <mergeCell ref="B99:C99"/>
    <mergeCell ref="B101:C101"/>
    <mergeCell ref="B92:C92"/>
    <mergeCell ref="B88:C88"/>
    <mergeCell ref="B98:C98"/>
    <mergeCell ref="B96:C96"/>
    <mergeCell ref="B95:C95"/>
    <mergeCell ref="B87:C87"/>
    <mergeCell ref="B104:C104"/>
    <mergeCell ref="B97:C97"/>
    <mergeCell ref="B10:C10"/>
    <mergeCell ref="B61:C61"/>
    <mergeCell ref="B55:C55"/>
    <mergeCell ref="B56:C56"/>
    <mergeCell ref="B24:C24"/>
    <mergeCell ref="B58:C58"/>
    <mergeCell ref="B35:C35"/>
    <mergeCell ref="B14:B15"/>
    <mergeCell ref="B26:C26"/>
    <mergeCell ref="B73:C73"/>
    <mergeCell ref="B45:C45"/>
    <mergeCell ref="B68:C68"/>
    <mergeCell ref="B84:C84"/>
    <mergeCell ref="B63:C63"/>
    <mergeCell ref="B57:C57"/>
    <mergeCell ref="B47:C47"/>
    <mergeCell ref="B53:C53"/>
    <mergeCell ref="B17:C17"/>
    <mergeCell ref="B21:C21"/>
    <mergeCell ref="B39:C39"/>
    <mergeCell ref="B25:C25"/>
    <mergeCell ref="B43:C43"/>
    <mergeCell ref="B29:C29"/>
    <mergeCell ref="B28:C28"/>
    <mergeCell ref="B31:C31"/>
    <mergeCell ref="B22:C22"/>
    <mergeCell ref="B42:C42"/>
    <mergeCell ref="B130:C130"/>
    <mergeCell ref="B131:C131"/>
    <mergeCell ref="B136:C136"/>
    <mergeCell ref="B150:C150"/>
    <mergeCell ref="B139:C139"/>
    <mergeCell ref="B140:C140"/>
    <mergeCell ref="B143:C143"/>
    <mergeCell ref="B133:C133"/>
    <mergeCell ref="B141:C141"/>
    <mergeCell ref="B142:C142"/>
    <mergeCell ref="B129:C129"/>
    <mergeCell ref="B126:C126"/>
    <mergeCell ref="B177:C177"/>
    <mergeCell ref="B156:C156"/>
    <mergeCell ref="B127:C127"/>
    <mergeCell ref="B147:C147"/>
    <mergeCell ref="B146:C146"/>
    <mergeCell ref="B137:C137"/>
    <mergeCell ref="B138:C138"/>
    <mergeCell ref="B148:C148"/>
    <mergeCell ref="B152:C152"/>
    <mergeCell ref="B175:C175"/>
    <mergeCell ref="B155:C155"/>
    <mergeCell ref="B173:C173"/>
    <mergeCell ref="B166:C166"/>
    <mergeCell ref="B151:C151"/>
    <mergeCell ref="B167:C167"/>
    <mergeCell ref="B176:C176"/>
    <mergeCell ref="B144:C144"/>
    <mergeCell ref="B162:C162"/>
    <mergeCell ref="B132:C132"/>
    <mergeCell ref="B161:C161"/>
    <mergeCell ref="B160:C160"/>
    <mergeCell ref="B170:C170"/>
    <mergeCell ref="B168:C168"/>
    <mergeCell ref="B149:C149"/>
    <mergeCell ref="B158:C158"/>
    <mergeCell ref="B203:C203"/>
    <mergeCell ref="B210:C210"/>
    <mergeCell ref="B174:C174"/>
    <mergeCell ref="B189:C189"/>
    <mergeCell ref="B181:C181"/>
    <mergeCell ref="B184:C184"/>
    <mergeCell ref="B197:C197"/>
    <mergeCell ref="B178:C178"/>
    <mergeCell ref="B180:C180"/>
    <mergeCell ref="B187:C187"/>
    <mergeCell ref="B228:C228"/>
    <mergeCell ref="B232:C232"/>
    <mergeCell ref="B172:C172"/>
    <mergeCell ref="B185:C185"/>
    <mergeCell ref="B231:C231"/>
    <mergeCell ref="B192:C192"/>
    <mergeCell ref="B191:C191"/>
    <mergeCell ref="B190:C190"/>
    <mergeCell ref="B198:C198"/>
    <mergeCell ref="B199:C199"/>
    <mergeCell ref="B179:C179"/>
    <mergeCell ref="B201:C201"/>
    <mergeCell ref="B211:C211"/>
    <mergeCell ref="B212:C212"/>
    <mergeCell ref="B77:C77"/>
    <mergeCell ref="B250:C250"/>
    <mergeCell ref="B236:C236"/>
    <mergeCell ref="B225:C225"/>
    <mergeCell ref="B226:C226"/>
    <mergeCell ref="B227:C227"/>
    <mergeCell ref="B81:C81"/>
    <mergeCell ref="B234:C234"/>
    <mergeCell ref="B202:C202"/>
    <mergeCell ref="B221:C221"/>
    <mergeCell ref="A118:A119"/>
    <mergeCell ref="B233:C233"/>
    <mergeCell ref="B217:C217"/>
    <mergeCell ref="B218:C218"/>
    <mergeCell ref="B219:C219"/>
    <mergeCell ref="B213:C213"/>
  </mergeCells>
  <dataValidations count="4">
    <dataValidation type="list" allowBlank="1" showInputMessage="1" showErrorMessage="1" sqref="Q296 Q289:Q290 Q294 Q276:Q278 Q284:Q287">
      <formula1>#REF!</formula1>
    </dataValidation>
    <dataValidation type="list" allowBlank="1" showInputMessage="1" showErrorMessage="1" sqref="E296 E276:E278">
      <formula1>$D$309:$D$318</formula1>
    </dataValidation>
    <dataValidation type="list" allowBlank="1" showInputMessage="1" showErrorMessage="1" sqref="L296 L276:L278">
      <formula1>#REF!</formula1>
    </dataValidation>
    <dataValidation type="list" allowBlank="1" showInputMessage="1" showErrorMessage="1" sqref="E101">
      <formula1>$D$303:$D$312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0" r:id="rId3"/>
  <rowBreaks count="4" manualBreakCount="4">
    <brk id="43" max="53" man="1"/>
    <brk id="115" max="53" man="1"/>
    <brk id="206" max="53" man="1"/>
    <brk id="278" max="5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Costa</dc:creator>
  <cp:keywords/>
  <dc:description/>
  <cp:lastModifiedBy>Sousa, Katia de Oliveira</cp:lastModifiedBy>
  <cp:lastPrinted>2022-10-11T17:09:33Z</cp:lastPrinted>
  <dcterms:created xsi:type="dcterms:W3CDTF">2011-03-30T14:45:37Z</dcterms:created>
  <dcterms:modified xsi:type="dcterms:W3CDTF">2023-05-25T13:03:51Z</dcterms:modified>
  <cp:category/>
  <cp:version/>
  <cp:contentType/>
  <cp:contentStatus/>
</cp:coreProperties>
</file>