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60" yWindow="6090" windowWidth="15450" windowHeight="5895" tabRatio="183"/>
  </bookViews>
  <sheets>
    <sheet name="PA" sheetId="1" r:id="rId1"/>
  </sheets>
  <definedNames>
    <definedName name="_xlnm._FilterDatabase" localSheetId="0" hidden="1">PA!$A$12:$M$277</definedName>
    <definedName name="_xlnm.Print_Area" localSheetId="0">PA!$A$12:$M$286</definedName>
    <definedName name="_xlnm.Print_Titles" localSheetId="0">PA!$1:$11</definedName>
  </definedNames>
  <calcPr calcId="152511"/>
</workbook>
</file>

<file path=xl/calcChain.xml><?xml version="1.0" encoding="utf-8"?>
<calcChain xmlns="http://schemas.openxmlformats.org/spreadsheetml/2006/main">
  <c r="R288" i="1" l="1"/>
  <c r="R287" i="1"/>
  <c r="Q13" i="1"/>
  <c r="Q14" i="1"/>
  <c r="Q15" i="1"/>
  <c r="D16" i="1"/>
  <c r="Q16" i="1"/>
  <c r="Q17" i="1"/>
  <c r="Q18" i="1"/>
  <c r="Q19" i="1"/>
  <c r="Q20" i="1"/>
  <c r="D21" i="1"/>
  <c r="Q21" i="1"/>
  <c r="Q22" i="1"/>
  <c r="Q23" i="1"/>
  <c r="Q24" i="1"/>
  <c r="Q25" i="1"/>
  <c r="Q26" i="1"/>
  <c r="Q27" i="1"/>
  <c r="Q28" i="1"/>
  <c r="Q29" i="1"/>
  <c r="Q30" i="1"/>
  <c r="D31" i="1"/>
  <c r="Q31" i="1"/>
  <c r="D32" i="1"/>
  <c r="Q32" i="1"/>
  <c r="Q33" i="1"/>
  <c r="D34" i="1"/>
  <c r="Q34" i="1"/>
  <c r="Q35" i="1"/>
  <c r="Q36" i="1"/>
  <c r="D37" i="1"/>
  <c r="Q37" i="1"/>
  <c r="Q38" i="1"/>
  <c r="Q39" i="1"/>
  <c r="Q40" i="1"/>
  <c r="Q41" i="1"/>
  <c r="D42" i="1"/>
  <c r="Q42" i="1"/>
  <c r="D43" i="1"/>
  <c r="Q43" i="1"/>
  <c r="D44" i="1"/>
  <c r="Q44" i="1"/>
  <c r="D45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D58" i="1"/>
  <c r="Q58" i="1"/>
  <c r="Q59" i="1"/>
  <c r="Q60" i="1"/>
  <c r="Q61" i="1"/>
  <c r="D62" i="1"/>
  <c r="Q62" i="1"/>
  <c r="D63" i="1"/>
  <c r="Q63" i="1"/>
  <c r="Q64" i="1"/>
  <c r="D65" i="1"/>
  <c r="Q65" i="1"/>
  <c r="D66" i="1"/>
  <c r="Q66" i="1"/>
  <c r="Q67" i="1"/>
  <c r="D68" i="1"/>
  <c r="Q68" i="1"/>
  <c r="Q69" i="1"/>
  <c r="D70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D88" i="1"/>
  <c r="Q88" i="1"/>
  <c r="D89" i="1"/>
  <c r="Q89" i="1"/>
  <c r="Q90" i="1"/>
  <c r="Q91" i="1"/>
  <c r="Q92" i="1"/>
  <c r="Q93" i="1"/>
  <c r="Q94" i="1"/>
  <c r="D95" i="1"/>
  <c r="Q95" i="1"/>
  <c r="D96" i="1"/>
  <c r="Q96" i="1"/>
  <c r="D97" i="1"/>
  <c r="Q97" i="1"/>
  <c r="D98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D111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D123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D137" i="1"/>
  <c r="Q137" i="1"/>
  <c r="D138" i="1"/>
  <c r="Q138" i="1"/>
  <c r="Q143" i="1"/>
  <c r="D144" i="1"/>
  <c r="Q144" i="1"/>
  <c r="Q145" i="1"/>
  <c r="Q146" i="1"/>
  <c r="Q147" i="1"/>
  <c r="D148" i="1"/>
  <c r="Q148" i="1"/>
  <c r="Q149" i="1"/>
  <c r="D150" i="1"/>
  <c r="Q150" i="1"/>
  <c r="D151" i="1"/>
  <c r="Q151" i="1"/>
  <c r="Q152" i="1"/>
  <c r="Q153" i="1"/>
  <c r="Q154" i="1"/>
  <c r="Q155" i="1"/>
  <c r="Q156" i="1"/>
  <c r="Q157" i="1"/>
  <c r="Q158" i="1"/>
  <c r="Q159" i="1"/>
  <c r="D160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D176" i="1"/>
  <c r="Q176" i="1"/>
  <c r="Q177" i="1"/>
  <c r="Q178" i="1"/>
  <c r="Q179" i="1"/>
  <c r="Q180" i="1"/>
  <c r="Q181" i="1"/>
  <c r="Q182" i="1"/>
  <c r="Q183" i="1"/>
  <c r="Q184" i="1"/>
  <c r="Q185" i="1"/>
  <c r="Q186" i="1"/>
  <c r="D187" i="1"/>
  <c r="Q187" i="1"/>
  <c r="Q188" i="1"/>
  <c r="Q189" i="1"/>
  <c r="Q190" i="1"/>
  <c r="Q191" i="1"/>
  <c r="Q192" i="1"/>
  <c r="Q193" i="1"/>
  <c r="Q194" i="1"/>
  <c r="Q195" i="1"/>
  <c r="D196" i="1"/>
  <c r="Q196" i="1"/>
  <c r="D197" i="1"/>
  <c r="Q197" i="1"/>
  <c r="D202" i="1"/>
  <c r="Q202" i="1"/>
  <c r="Q203" i="1"/>
  <c r="Q204" i="1"/>
  <c r="D205" i="1"/>
  <c r="Q205" i="1"/>
  <c r="Q206" i="1"/>
  <c r="Q207" i="1"/>
  <c r="Q208" i="1"/>
  <c r="Q209" i="1"/>
  <c r="Q210" i="1"/>
  <c r="Q211" i="1"/>
  <c r="D212" i="1"/>
  <c r="Q212" i="1"/>
  <c r="Q213" i="1"/>
  <c r="Q214" i="1"/>
  <c r="Q215" i="1"/>
  <c r="Q216" i="1"/>
  <c r="Q217" i="1"/>
  <c r="Q218" i="1"/>
  <c r="Q219" i="1"/>
  <c r="Q220" i="1"/>
  <c r="D221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D243" i="1"/>
  <c r="Q243" i="1"/>
  <c r="Q244" i="1"/>
  <c r="Q245" i="1"/>
  <c r="Q246" i="1"/>
  <c r="Q247" i="1"/>
  <c r="Q248" i="1"/>
  <c r="Q249" i="1"/>
  <c r="Q250" i="1"/>
  <c r="Q251" i="1"/>
  <c r="Q252" i="1"/>
  <c r="Q253" i="1"/>
  <c r="D254" i="1"/>
  <c r="Q254" i="1"/>
  <c r="Q255" i="1"/>
  <c r="Q256" i="1"/>
  <c r="D257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88" i="1"/>
  <c r="S288" i="1"/>
  <c r="Q287" i="1"/>
  <c r="S287" i="1"/>
  <c r="H273" i="1"/>
  <c r="H199" i="1"/>
  <c r="G199" i="1"/>
  <c r="G85" i="1"/>
  <c r="D273" i="1"/>
  <c r="D199" i="1"/>
  <c r="D140" i="1"/>
  <c r="G140" i="1"/>
  <c r="H140" i="1"/>
  <c r="D85" i="1"/>
  <c r="H85" i="1"/>
  <c r="G273" i="1"/>
  <c r="G275" i="1"/>
  <c r="H275" i="1"/>
  <c r="D275" i="1"/>
  <c r="G277" i="1"/>
  <c r="H277" i="1"/>
</calcChain>
</file>

<file path=xl/sharedStrings.xml><?xml version="1.0" encoding="utf-8"?>
<sst xmlns="http://schemas.openxmlformats.org/spreadsheetml/2006/main" count="2048" uniqueCount="800">
  <si>
    <t>Em Processo</t>
  </si>
  <si>
    <t>Item Orçamento Detalhado 5.2.3  Polícia Ambiental (PMA)  Ano 2: 2012 - Ano 3: 2013</t>
  </si>
  <si>
    <t>Aquisição de Eletrodomésticos  - Ano 3</t>
  </si>
  <si>
    <t>Aquisição de Cine-foto e som - Ano 3</t>
  </si>
  <si>
    <t>Aquisição de materiais de escritório - ano 3</t>
  </si>
  <si>
    <t>Aquisição de  insumos de informática - ano 3</t>
  </si>
  <si>
    <t>Aquisição de Equipamentos de Informática   - Ano 3</t>
  </si>
  <si>
    <t>Aquisição de Equipamentos de Precisão e Controle  - Ano 3</t>
  </si>
  <si>
    <t>Item Orçamento Detalhado - Componente 01 - Prod.01 - 1.2.12./  Fundação Florestal (FF)       
Ano 2: 2012</t>
  </si>
  <si>
    <t xml:space="preserve">Item Orçamento Detalhado - Componente 01 - Prod.01 - 1.2.12./ Fundação Florestal (FF)       
Ano 2: 2012 </t>
  </si>
  <si>
    <t xml:space="preserve">Item Orçamento Detalhado - Componente 01 - Prod. 03 - 3.1.9.  Fundação Florestal (FF)       Ano 2: 2012 </t>
  </si>
  <si>
    <t>Aquisição de Implementos agrícolas  - Ano 3</t>
  </si>
  <si>
    <t>1.37</t>
  </si>
  <si>
    <t>Aquisição de Extintores de Incêndio</t>
  </si>
  <si>
    <t>Item Orçamento Detalhado - Componente 01 - 1.2.12  Fundação Florestal (FF)       
Ano 2: 2012 - Ano 2: 2012</t>
  </si>
  <si>
    <t>Contratação de firma para serviço de eliminação e recuperação de 200 hectares exóticas - Grupo 1</t>
  </si>
  <si>
    <t>Contratação de firma de Auditoria Externa Contábil.</t>
  </si>
  <si>
    <t>Contratação de firma para o desenvolvimento e implantação do projeto de "Mapeamento e diagnostico das áreas prioritárias para enriquecimento florestal".</t>
  </si>
  <si>
    <t>Contrato de Seguro para aeronave</t>
  </si>
  <si>
    <t xml:space="preserve">Contratação de Serviços para abastecimento da aeronave </t>
  </si>
  <si>
    <t>Contrato para  manutenção de  aeronave</t>
  </si>
  <si>
    <t>Custo Estim.
(1000 US$)</t>
  </si>
  <si>
    <t>Mét. Aquis.
(1)</t>
  </si>
  <si>
    <t>Revisão 
(2)</t>
  </si>
  <si>
    <t>BID
 (%)</t>
  </si>
  <si>
    <t>Status 
(3)</t>
  </si>
  <si>
    <t xml:space="preserve">Item Orçamento Detalhado - Componente 01 - Prod. 01-  1.2.12  ,Prod. . 02 - 2.5.6.a ,  Prod. 03 - 3.1.9/3,.,2.8..  Fundação Florestal (FF), Prod.05 - 5.2.5. Policia Ambiental (PMA)       Ano 2: 2012 </t>
  </si>
  <si>
    <t>1.38</t>
  </si>
  <si>
    <t xml:space="preserve">Item Orçamento Aud, Monitoramento e Avaliação- Contratação pela CDHU. 
Ano 2:2012, Ano 3: 2013 e Ano 4: 2014    
Atualização de datas. </t>
  </si>
  <si>
    <t>Aquisição de Embarcações- Ano 3</t>
  </si>
  <si>
    <t>1.39</t>
  </si>
  <si>
    <t>1.40</t>
  </si>
  <si>
    <t>Item Orçamento Detalhado - Componente 01 - 1.2.12 e 3.1.9 - Ano 3:2013</t>
  </si>
  <si>
    <t>1.41</t>
  </si>
  <si>
    <t>1.42</t>
  </si>
  <si>
    <t>1.43</t>
  </si>
  <si>
    <t>1.44</t>
  </si>
  <si>
    <t>Contrato de Obras e serviços de infra-estrutura, fundações dos prédios e paisagismo "Novo Bairro Jardim Casqueiro Residencial Rubens Lara"</t>
  </si>
  <si>
    <t>Contrato para o processamento de blocos de rocha; obras e serviços de infra-estrutura e implantação do parque público "Novo Bairro Bolsão IX"</t>
  </si>
  <si>
    <t>Contrato de Obras e serviços de infra-estrutura, terraplene com controle tecnológico incluindo instrumentação e monitoramento dos aterros e execução de drenagem fibroquímicos "Novo Bairro Bolsão VII"</t>
  </si>
  <si>
    <t>Contrato de Obras e serviços de infra-estrutura, geotécnica e desconstrução "Bairro Cota 95/100"</t>
  </si>
  <si>
    <t>Contrato de Obras e serviços de infra-estrutura, geotécnica e desconstrução "Bairro Cota 200"</t>
  </si>
  <si>
    <t>Aquisição de pneus  - ano 3</t>
  </si>
  <si>
    <t>Contratação de firma para o desenvolvimento e implantação da comunicação visual dos Centros de Vistantes e Bases Conjugadas nos núcleos do PESM</t>
  </si>
  <si>
    <t>Tomada de Preço (Técnica e Preço)</t>
  </si>
  <si>
    <t>Contratação de firma para o produção de material gráfico para o evento "20 Anos do PE Laje de Santos"</t>
  </si>
  <si>
    <t>Contrato de obras  no Parque Estadual Xixova Japuí - Base Conjugada e Guarita</t>
  </si>
  <si>
    <t xml:space="preserve">Aquisição de Demais Equipamentos - Ano 3 </t>
  </si>
  <si>
    <t xml:space="preserve">Aquisição de Equipamentos de Radiocomunicação - Ano 3 </t>
  </si>
  <si>
    <t xml:space="preserve">Aquisição de Ferramentas - Ano 3 - Ano 3 </t>
  </si>
  <si>
    <t xml:space="preserve">Aquisição de Materiais de Acampamento - Ano 3 </t>
  </si>
  <si>
    <t>4.49</t>
  </si>
  <si>
    <t>SUBTOTAL DE BENS</t>
  </si>
  <si>
    <t>VALOR TOTAL</t>
  </si>
  <si>
    <t>SUBTOTAL DE OBRAS</t>
  </si>
  <si>
    <t>3. SERVIÇOS DIFERENTES A CONSULTORIA</t>
  </si>
  <si>
    <t>2. OBRAS</t>
  </si>
  <si>
    <t>4. CONSULTORIA</t>
  </si>
  <si>
    <t>SUBTOTAL DE CONSULTORIA</t>
  </si>
  <si>
    <t>1. BENS</t>
  </si>
  <si>
    <t>BRASIL</t>
  </si>
  <si>
    <t>Programa "Recuperação Socioambiental da Serra do Mar e Sistema de Mosaicos da Mata Atlântica"</t>
  </si>
  <si>
    <t>Contrato de Empréstimo: 2376/OC-BR</t>
  </si>
  <si>
    <t xml:space="preserve">PLANO DE AQUISIÇÕES (PA) - 18 MESES </t>
  </si>
  <si>
    <t>Aquisição de um Sistema de Monitoramento Físico Financeiro do Programa</t>
  </si>
  <si>
    <t>Contrato de obras  no Parque Estadual Ilha Anchieta - PIER</t>
  </si>
  <si>
    <t>SQC</t>
  </si>
  <si>
    <t>Contratação de firma para a elaboração do Plano de Manejo: APA da Ilha Comprida.</t>
  </si>
  <si>
    <t>Contrato para projeto de obras de infraestrutura e Saneamento no PEIlha Anchieta.</t>
  </si>
  <si>
    <t>Item Orçamento 1.2.1.Fundação Florestal (FF)   
Ano 3: 2013</t>
  </si>
  <si>
    <t>Contrato de Obras para término das Obras na Base de Proteção, Guarita e Sanitário no PESM/ Núcleo Itutinga Piloes</t>
  </si>
  <si>
    <t>Contratação empresa gerenciadora das obras  3ºBPM, 1ªCia, 1º Pelotão e 4º Pelotão - Guarujá</t>
  </si>
  <si>
    <t>Contratação empresa gerenciadora da obra do Centro de Treinamento do CPAMB</t>
  </si>
  <si>
    <t>4.60</t>
  </si>
  <si>
    <t>4.61</t>
  </si>
  <si>
    <t>4.62</t>
  </si>
  <si>
    <t>Contrato de Obra para construcao de Base de Protecao - Núcleo Caraguatatuba - 2056/10</t>
  </si>
  <si>
    <t xml:space="preserve">Item Orçamento 2.4.1.Fundação Florestal (FF) 
 Ano 2: 2012     </t>
  </si>
  <si>
    <t>Contratação de firma para provisão de combustível por cartão magnético - veículos</t>
  </si>
  <si>
    <t>Contratação de firma para obra da Sede do 1º Batalhão</t>
  </si>
  <si>
    <t>Contratação de firma para obra do Centro de Treinamento do CPAMB</t>
  </si>
  <si>
    <t>1.33</t>
  </si>
  <si>
    <t>1.34</t>
  </si>
  <si>
    <t>2.24</t>
  </si>
  <si>
    <t>2.25</t>
  </si>
  <si>
    <t>3.50</t>
  </si>
  <si>
    <t>3.51</t>
  </si>
  <si>
    <t>Contratação de firma especializada em Resolução de Conflitos.</t>
  </si>
  <si>
    <t>Contratação de firma gerenciadora para apoio a UGP e UEP/SH-CDHU</t>
  </si>
  <si>
    <t>Contratação de firma para a elaboração do Plano de Manejo Florestal.</t>
  </si>
  <si>
    <t>Contratação de firma para elaboração de projetos executivo para as obras do Jardim Botânico</t>
  </si>
  <si>
    <t>Contratação de firma para avaliação das áreas e benfeitorias no Núcleo Santa Virgínia e Cunha.</t>
  </si>
  <si>
    <t>Contratação de firma para avaliação das áreas e benfeitorias no Núcleo Picinguaba e Itutinga - Pilões.</t>
  </si>
  <si>
    <t>Contratação de firma para realização do diagnostico, planejamento e apoio na implementação do Plano de Reassentamento Voluntario.</t>
  </si>
  <si>
    <t>Contratação de firma para o desenvolvimento e implantação de um programa de capacitação nas UCs de Proteção Integral.</t>
  </si>
  <si>
    <t>Consultoria individual nacional para elaboração do Plano de Gestão de Riscos e Contingências.</t>
  </si>
  <si>
    <t>Contrato de serviço para o desenvolvimento e implantação do Programa de Capacitação nas UC's de Uso Sustentável.</t>
  </si>
  <si>
    <t>Contratação de serviço para elaboração e implantação do Sistema de Monitoramento e Impactos.</t>
  </si>
  <si>
    <t>Contratação de firma para a elaboração, implementação e monitoramento do Plano de Educação Ambiental, Comunicação e Divulgação do Mosaico.</t>
  </si>
  <si>
    <t>Consultoria individual nacional para o desenvolvimento de dois planos de uso sustentável: (i) recursos florestais e (ii) recursos pesqueiros.</t>
  </si>
  <si>
    <t>Contratação de firma para elaboração do projeto executivo e implementação de pelo menos dois projetos estabelecidos no plano de uso sustentável de recursos florestais.</t>
  </si>
  <si>
    <t>Contratação de firma para a elaboração do projeto executivo e implementação de pelo menos um projeto estabelecido no plano de uso sustentável de recursos pesqueiros.</t>
  </si>
  <si>
    <t>Contratação de  serviços para a elaboração do Programa de Recuperação Ambiental da Barra Una e Despraiado, implementação de pelo menos dois projetos executivos.</t>
  </si>
  <si>
    <t>Contratação de firma para o desenvolvimento e implantação do Sistema de informação para a gestão das APAS Marinhas.</t>
  </si>
  <si>
    <t>Contratação de firma para o desenvolvimento e implementação do Programa de Educação Sócio Ambiental.</t>
  </si>
  <si>
    <t>Contratação de firma para o desenvolvimento e implementação do Programa de Capacitação Técnica dos Policiais Ambientais.</t>
  </si>
  <si>
    <t>Contratação de firma nacional para apoio operativo - UE/SMA-FF</t>
  </si>
  <si>
    <t>Contratação de firma para a implementação do Plano de Comunicação do Programa.</t>
  </si>
  <si>
    <t>4.40</t>
  </si>
  <si>
    <t>4.44</t>
  </si>
  <si>
    <t>4.45</t>
  </si>
  <si>
    <t>4.46</t>
  </si>
  <si>
    <t>4.47</t>
  </si>
  <si>
    <t>Tomada de preços (Técnica e Preço)</t>
  </si>
  <si>
    <t>SBQ</t>
  </si>
  <si>
    <t>SBQC</t>
  </si>
  <si>
    <t>CCIN</t>
  </si>
  <si>
    <t>Descrição do Contrato</t>
  </si>
  <si>
    <t>(1)</t>
  </si>
  <si>
    <t>(2)</t>
  </si>
  <si>
    <t>(3)</t>
  </si>
  <si>
    <t>LPI</t>
  </si>
  <si>
    <t>(4)</t>
  </si>
  <si>
    <t>(5)</t>
  </si>
  <si>
    <t>(6)</t>
  </si>
  <si>
    <t>(7)</t>
  </si>
  <si>
    <t>(8)</t>
  </si>
  <si>
    <t>Pregão Eletrônico</t>
  </si>
  <si>
    <t>CD</t>
  </si>
  <si>
    <t>LPN</t>
  </si>
  <si>
    <t>Ex-post</t>
  </si>
  <si>
    <t>Ex-ante</t>
  </si>
  <si>
    <t>Pendente</t>
  </si>
  <si>
    <t>Aquisição de Eletrodomésticos  - Ano 1</t>
  </si>
  <si>
    <t>Aquisição de Implementos agrícolas  - Ano 1</t>
  </si>
  <si>
    <t>Aquisição / produção de mudas</t>
  </si>
  <si>
    <t>Aquisição de Equipamentos de Informática  - Ano 1</t>
  </si>
  <si>
    <t>Aquisição de Equipamentos de Instrumentos de precisão e controle  - Ano 1</t>
  </si>
  <si>
    <t>Aquisição de Mobiliário  - Ano 1</t>
  </si>
  <si>
    <t>Aquisição de terras particulares dentro do Mosaico para regularização fundiária.</t>
  </si>
  <si>
    <t>Aquisição de Equipamentos Telefonia  - Ano 1</t>
  </si>
  <si>
    <t>Aquisição de Veículos  - Ano 1</t>
  </si>
  <si>
    <t>Aquisição de aeronave tipo helicóptero.</t>
  </si>
  <si>
    <t>Aquisição de embarcações- Ano 2</t>
  </si>
  <si>
    <t>Aquisição de materiais de escritório e insumos de informática - Ano 1</t>
  </si>
  <si>
    <t>Aquisição de Equipamento Náutico  - Ano 1</t>
  </si>
  <si>
    <t>2.2</t>
  </si>
  <si>
    <t>2.3</t>
  </si>
  <si>
    <t>2.4</t>
  </si>
  <si>
    <t>2.5</t>
  </si>
  <si>
    <t>2.6</t>
  </si>
  <si>
    <t>2.7</t>
  </si>
  <si>
    <t>2.9</t>
  </si>
  <si>
    <t>2.11</t>
  </si>
  <si>
    <t>2.12</t>
  </si>
  <si>
    <t>2.14</t>
  </si>
  <si>
    <t>2.15</t>
  </si>
  <si>
    <t>2.16</t>
  </si>
  <si>
    <t>2.19</t>
  </si>
  <si>
    <t>2.20</t>
  </si>
  <si>
    <t>2.21</t>
  </si>
  <si>
    <t>Contrato de Obras para a construção de uma base de proteção para o Núcleo Itutinga-Pilões/Bertioga.</t>
  </si>
  <si>
    <t>Contrato de Obras para construção de Guarita e Base de Apoio para Picinguaba.</t>
  </si>
  <si>
    <t>Contrato de Obras Jardim Botânico.</t>
  </si>
  <si>
    <t>Contrato de Reforma de Obra para 2 Bases de Apoio.</t>
  </si>
  <si>
    <t>Contrato de obras para infraestrutura básica das Unidades de Proteção Integral (Bases existentes)</t>
  </si>
  <si>
    <t>Contrato de obras para acessos da Estação Ecológica da Jureia</t>
  </si>
  <si>
    <t>Contrato de obra para infraestrutura básica das Unidades de UC´s Sustentáveis (comunidades beneficiarias)</t>
  </si>
  <si>
    <t>2.22</t>
  </si>
  <si>
    <t>Tomada de Preço</t>
  </si>
  <si>
    <t>1.2</t>
  </si>
  <si>
    <t>1.3</t>
  </si>
  <si>
    <t>1.5</t>
  </si>
  <si>
    <t>1.6</t>
  </si>
  <si>
    <t>1.7</t>
  </si>
  <si>
    <t>1.8</t>
  </si>
  <si>
    <t>1.9</t>
  </si>
  <si>
    <t>1.10</t>
  </si>
  <si>
    <t>1.11</t>
  </si>
  <si>
    <t>1.1</t>
  </si>
  <si>
    <t>1.12</t>
  </si>
  <si>
    <t>1.13</t>
  </si>
  <si>
    <t>1.14</t>
  </si>
  <si>
    <t>1.15</t>
  </si>
  <si>
    <t>1.17</t>
  </si>
  <si>
    <t>1.19</t>
  </si>
  <si>
    <t>1.20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</si>
  <si>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</si>
  <si>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</si>
  <si>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</si>
  <si>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</si>
  <si>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</si>
  <si>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</si>
  <si>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</si>
  <si>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</si>
  <si>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</si>
  <si>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</si>
  <si>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</si>
  <si>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</si>
  <si>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</si>
  <si>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</si>
  <si>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</si>
  <si>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3.17</t>
  </si>
  <si>
    <t>3.19</t>
  </si>
  <si>
    <t>3.20</t>
  </si>
  <si>
    <t>3.22</t>
  </si>
  <si>
    <t>3.24</t>
  </si>
  <si>
    <t>3.25</t>
  </si>
  <si>
    <t>3.27</t>
  </si>
  <si>
    <t>3.28</t>
  </si>
  <si>
    <t>3.29</t>
  </si>
  <si>
    <t>3.30</t>
  </si>
  <si>
    <t>3.31</t>
  </si>
  <si>
    <t>3.32</t>
  </si>
  <si>
    <t>3.33</t>
  </si>
  <si>
    <t>Contratação de firma para sinalização de Totens.</t>
  </si>
  <si>
    <t>Contratação de firma para implantação de 6 grandes trilhas e 15 trilhas sinalizadas.</t>
  </si>
  <si>
    <t>Contratação de firma para serviço de vigilância para o Jardim Botânico.</t>
  </si>
  <si>
    <t>Custeio operacional das Unidades de Proteção Integral (Jureia Itatins, Prelado e Itingucu)</t>
  </si>
  <si>
    <t>Custeio operacional das Unidades de Uso Sustentável.</t>
  </si>
  <si>
    <t>Custeio operacional das APAS Marinhas Protegidas</t>
  </si>
  <si>
    <t>Custeio operacional das estruturas das Unidades Marinhas de Proteção Integral.</t>
  </si>
  <si>
    <t>Contratação de firma para a organização logística para a integração da gestão do Mosaico das UCs Marinhas.</t>
  </si>
  <si>
    <t>Contratação de firma para o desenvolvimento e implantação do projeto de sinalização das Áreas Marinhas.</t>
  </si>
  <si>
    <t>Custeio operacional do Programa PROPARQUE e PROMAR.</t>
  </si>
  <si>
    <t>Contratação de firma para provisão de combustível por cartão magnético.</t>
  </si>
  <si>
    <t>Contratação de firma para manutenção de veículos, motos e caminhões.</t>
  </si>
  <si>
    <t>Contratação de firma para manutenção de embarcações.</t>
  </si>
  <si>
    <t>Custeio operacional de policias ambientais para a fiscalização ambiental.</t>
  </si>
  <si>
    <t>Custeio Operacional da UEP/FF</t>
  </si>
  <si>
    <t>Tomada de preços</t>
  </si>
  <si>
    <t>Pregão Eletrônico/ Compra Direta/Adiantamentos</t>
  </si>
  <si>
    <t>Pregão Eletrônico / Compra Direta/Adiantamentos</t>
  </si>
  <si>
    <t>Em execução</t>
  </si>
  <si>
    <t>mai-11</t>
  </si>
  <si>
    <t>4.2</t>
  </si>
  <si>
    <t>4.3</t>
  </si>
  <si>
    <t>4.4</t>
  </si>
  <si>
    <t>4.5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</si>
  <si>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</si>
  <si>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</si>
  <si>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</si>
  <si>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</si>
  <si>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</si>
  <si>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</si>
  <si>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</si>
  <si>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</si>
  <si>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</si>
  <si>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</si>
  <si>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</si>
  <si>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</si>
  <si>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</si>
  <si>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4.21</t>
  </si>
  <si>
    <t>4.23</t>
  </si>
  <si>
    <t>4.24</t>
  </si>
  <si>
    <t>4.25</t>
  </si>
  <si>
    <t>4.26</t>
  </si>
  <si>
    <t>4.27</t>
  </si>
  <si>
    <t>4.28</t>
  </si>
  <si>
    <t>4.29</t>
  </si>
  <si>
    <t>4.31</t>
  </si>
  <si>
    <t>4.32</t>
  </si>
  <si>
    <t>4.33</t>
  </si>
  <si>
    <t>4.35</t>
  </si>
  <si>
    <t>4.36</t>
  </si>
  <si>
    <t>4.37</t>
  </si>
  <si>
    <t>4.38</t>
  </si>
  <si>
    <t>Comentários</t>
  </si>
  <si>
    <t>Contratação de firma para a elaboração dos projetos executivos da EE Jureia-Itatins - acessos</t>
  </si>
  <si>
    <t xml:space="preserve">Item Orçamento Detalhado - Componente 01 - Prod. 01-  1.2.12 ,Prod. . 02 - 2.4.12, Prod. 03 - 3.1.9  e 3.2.3 - Componente 03 - Prod. 5 - 5.2.6    - Administração do Programa Fundação Florestal (FF)
Ano 1: 2011              </t>
  </si>
  <si>
    <t xml:space="preserve">Item Orçamento Detalhado - Componente 01 - Prod. 01-  1.2.12., Prod. 03 - 3.1.9.  e 3.2.1. - Componente 03 - Prod. 5 - 5.2.4. Fundação Florestal (FF)       Ano 1: 2011              </t>
  </si>
  <si>
    <t xml:space="preserve">Item Orçamento Detalhado 5.2.14   Componente 3  - Produto 5 Polícia Ambiental (PMA)     Ano 1: 2011     </t>
  </si>
  <si>
    <t xml:space="preserve">Item Orçamento Detalhado 5.2.14    Componente 3  - Produto 5   Polícia Ambiental (PMA)   Ano 2: 2012                               </t>
  </si>
  <si>
    <t xml:space="preserve">Item Orçamento Detalhado - Componente 01 - Prod 03 - 3.1.9 e 3.2.1.
Fundação Florestal (FF)      
Ano 1: 2011              </t>
  </si>
  <si>
    <t xml:space="preserve">Item Orçamento Detalhado - Componente 01 - Prod 01-  1.2.12,Prod . 02 - 2.4.12, Prod 03 - 3.1.9,3.2.1.,3.2.3  e 3.2.8 - Componente 03 - Prod 5 - 5.2.5
Fundação Florestal (FF)   
Ano 1: 2011              </t>
  </si>
  <si>
    <t xml:space="preserve">Item Orçamento Detalhado - Componente 01 - Prod. 01-  1.2.12.,Prod. . 02 - 2.4.12., Prod. 03 - 3.1.9./3.2.1.   Fundação Florestal (FF)       Ano 1: 2011              </t>
  </si>
  <si>
    <t xml:space="preserve">Item Orçamento Detalhado - Componente 01 - Prod. 01-  1.2.12 - ,Prod. . 02 - 2.4.12 ,  Prod. 03 - 3.1.9.  Fundação Florestal (FF)       Ano 1: 2011              </t>
  </si>
  <si>
    <t xml:space="preserve">Item Orçamento Detalhado - Componente 01 - Prod. 01-  1.2.12. e Prod. . 02 - 2.4.12  Prod. 03 - 3.2.1.. Fundação Florestal (FF)       Ano 1: 2011              </t>
  </si>
  <si>
    <t xml:space="preserve">Item Orçamento Detalhado - Componente 01 - Prod. 01-  1.2.12. e Prod. 03 - 3.1.9.  Fundação Florestal (FF)
Ano 1: 2011              </t>
  </si>
  <si>
    <t xml:space="preserve">Item Orçamento Detalhado - Componente 01 - Prod. 01-  1.2.12., Prod. 02-  2.4.12, Prod. 03 - 3.1.9  e 3.2.6 - Componente 03 - Prod. 5 - 5.2.1
Fundação Florestal (FF)      
Ano 1: 2011              </t>
  </si>
  <si>
    <t>Registro de Preços</t>
  </si>
  <si>
    <t xml:space="preserve">Custeio Operacional do PESM </t>
  </si>
  <si>
    <t>Contratação de firma para o desenvolvimento do sistema de monitoramento ambiental e micro zoneamento das áreas criticas.</t>
  </si>
  <si>
    <t>Contratação de firma para a implantação do sistema de monitoramento ambiental e micro zoneamento das áreas criticas.</t>
  </si>
  <si>
    <t>1.4</t>
  </si>
  <si>
    <t>Contratação de firma para serviços de monitores ambientais.</t>
  </si>
  <si>
    <t>1.21</t>
  </si>
  <si>
    <t>1.22</t>
  </si>
  <si>
    <t>Aquisição de um terreno para Ubatuba - Sector Norte</t>
  </si>
  <si>
    <t>Aquisição de um terreno para São Sebastião - Sector Norte</t>
  </si>
  <si>
    <t>dez-11</t>
  </si>
  <si>
    <t>SBQC-LPI</t>
  </si>
  <si>
    <t>out-11</t>
  </si>
  <si>
    <t>dez-12</t>
  </si>
  <si>
    <t>Técnica e Preço</t>
  </si>
  <si>
    <t>set-11</t>
  </si>
  <si>
    <t>3.40</t>
  </si>
  <si>
    <t>3.41</t>
  </si>
  <si>
    <t>3.42</t>
  </si>
  <si>
    <t>3.43</t>
  </si>
  <si>
    <t>3.44</t>
  </si>
  <si>
    <t>3.46</t>
  </si>
  <si>
    <t>3.47</t>
  </si>
  <si>
    <t>3.48</t>
  </si>
  <si>
    <t>Item Orçamento 1.5.2.Fundação Florestal (FF) 
Ano 1: 2011   e Ano 2:2012</t>
  </si>
  <si>
    <t>Item Orçamento 1.5.1.Fundação Florestal (FF) 
Ano 1: 2011   e Ano 2:2012</t>
  </si>
  <si>
    <t xml:space="preserve">Item Orçamento 5.2.10.Polícia Ambiental (PMA)   
Ano 2:2012 e Ano 3: 2013    </t>
  </si>
  <si>
    <t>Item Orçamento 3.1.3 Fundação Florestal (FF)   
Ano 1: 2011 e Ano 2: 2012</t>
  </si>
  <si>
    <t>Aquisição de imagens orbitais digitais multiespectrais e demais produtos relacionados da área da Apa Ilha Comprida</t>
  </si>
  <si>
    <t>Concluído</t>
  </si>
  <si>
    <t>Contratação de serviços para elaboração de Estudos Técnicos e Projetos Executivos para a implantação de um Sistema de Trilhas e Atrativos para o PESM.</t>
  </si>
  <si>
    <t>Contratação de firma para apoio especializada a UE/FF</t>
  </si>
  <si>
    <t>Contrato para projeto de obras das Unidades de Proteção Integral - Píer Ilha Anchieta.</t>
  </si>
  <si>
    <t>Aquisição de Equipamentos  de Cine-Foto-Som  - Ano 1</t>
  </si>
  <si>
    <t>Aquisição de um terreno para Pedro de Toledo - Sector Sul</t>
  </si>
  <si>
    <t>2.23</t>
  </si>
  <si>
    <t>3.49</t>
  </si>
  <si>
    <t xml:space="preserve">Item Orçamento 5.1.4, e 5.1.3. Polícia Ambiental (PMA)  
Ano 1: 2011/ Ano 2:2012 e Ano 3: 2013    </t>
  </si>
  <si>
    <t>SBQC - LPI</t>
  </si>
  <si>
    <t>4.50</t>
  </si>
  <si>
    <t>Contrato para projeto de obras das Unidades de Proteção Integral.</t>
  </si>
  <si>
    <t>4.34</t>
  </si>
  <si>
    <t xml:space="preserve">Aquisição de equipamento de Proteção Individual para incursão em bosques e para policiamento marítimo </t>
  </si>
  <si>
    <t>4.39</t>
  </si>
  <si>
    <t>Contratação de firma para elaboração de projetos básicos e executivos da Sede do 1º Batalhão</t>
  </si>
  <si>
    <t>Contratação de firma para elaboração de projetos básicos e executivos do Centro de Treinamento do CPAMB</t>
  </si>
  <si>
    <t>Aquisição de Cine-foto e som - Ano 2</t>
  </si>
  <si>
    <t>Aquisição de Eletrodomésticos  - Ano 2</t>
  </si>
  <si>
    <t>Aquisição de Equipamentos de Informática   - Ano 2</t>
  </si>
  <si>
    <t>Aquisição de Mobiliário   - Ano 2</t>
  </si>
  <si>
    <t>Aquisição de Equipamentos de Precisão e Controle  - Ano 2</t>
  </si>
  <si>
    <t>Aquisição de Implementos agrícolas  - Ano 2</t>
  </si>
  <si>
    <t>Aquisição de Maquinas e Motores  - Ano 2</t>
  </si>
  <si>
    <t xml:space="preserve">Item Orçamento Detalhado - Componente 01 - Prod. 01-  1.2.12 - ,Prod. . 02 - 2.5.6.a ,  Prod. 03 - 3.1.9.  Fundação Florestal (FF)       Ano 2: 2012 </t>
  </si>
  <si>
    <t>Contratação de firma para recuperação de 45 hectares em Cubatão.</t>
  </si>
  <si>
    <t>Item Orçamento 3.1.12.Fundação Florestal (FF)   
Ano 1: 2011, Ano 2: 2012 e Ano 3:2013</t>
  </si>
  <si>
    <t>1.23</t>
  </si>
  <si>
    <t>1.24</t>
  </si>
  <si>
    <t>1.25</t>
  </si>
  <si>
    <t>1.26</t>
  </si>
  <si>
    <t>1.27</t>
  </si>
  <si>
    <t>1.28</t>
  </si>
  <si>
    <t>1.30</t>
  </si>
  <si>
    <t>1.31</t>
  </si>
  <si>
    <t>1.32</t>
  </si>
  <si>
    <t>4.51</t>
  </si>
  <si>
    <t>4.52</t>
  </si>
  <si>
    <t>4.53</t>
  </si>
  <si>
    <t>Aquisição de equipamento de Proteção Individual para incursão em bosques e para policiamento marítimo - Botas</t>
  </si>
  <si>
    <t>Aquisição de equipamento de Proteção Individual para incursão em bosques e para policiamento marítimo - Cinturões de Nylon</t>
  </si>
  <si>
    <t>Contratação de serviços para organização de capacitações para Gestores</t>
  </si>
  <si>
    <t>Contratação de serviços para organização de capacitações para Equipe Operacional</t>
  </si>
  <si>
    <t xml:space="preserve">Contratação de firma para a elaboração da sinalização parcial do limites e atrativos dos Parques Ilha Bela e Xixova - Japui </t>
  </si>
  <si>
    <t>Contratação de firma para o desenvolvimento e implantação do Programa de Capacitação - Plano de Ordenamento da Cadeia Produtiva da Pesca Amadora</t>
  </si>
  <si>
    <t>Contratação de firma para o desenvolvimento e implantação do Programa de Capacitação dos Conselheiros em Planejamento Estratégico</t>
  </si>
  <si>
    <t>Aquisição de Veículos  - Ano 2</t>
  </si>
  <si>
    <t>Contratação de firma para elaboração de projetos básicos e executivos de obras e reformas no 3ºBPM, 1ªCia, 1º Pelotão e 4º Pelotão - Guarujá</t>
  </si>
  <si>
    <t>Aquisição de equipamento de Proteção Individual para incursão em bosques e para policiamento marítimo - Uniformes diversos</t>
  </si>
  <si>
    <t>Aquisição de equipamento de Proteção Individual para incursão em bosques e para policiamento marítimo - Camisetas</t>
  </si>
  <si>
    <t>Contratação de firma para o desenvolvimento e implantação do Programa de Monitoramento da Qualidade Ambiental e Efetividade da Gestão.</t>
  </si>
  <si>
    <t xml:space="preserve">Aquisição de materiais de escritório </t>
  </si>
  <si>
    <t>Aquisição de  insumos de informática</t>
  </si>
  <si>
    <t xml:space="preserve">Item Orçamento Administração - 4.2.1.
Ano 1: 2011/ Ano 2:2012 e Ano 3: 2013    </t>
  </si>
  <si>
    <t>2.30</t>
  </si>
  <si>
    <t>Contratação de Serviços de Educação Ambiental</t>
  </si>
  <si>
    <t>Item Orçamento 1.4.4.Fundação Florestal (FF)   
Ano 4: 2014</t>
  </si>
  <si>
    <t>4.55</t>
  </si>
  <si>
    <t>1.35</t>
  </si>
  <si>
    <t>Aquisição de equipamentos Jardim Botanico</t>
  </si>
  <si>
    <t>Estabelecimento de acordos para compensação do reassentamento</t>
  </si>
  <si>
    <t>Custeio operativo de dois projetos pilotos</t>
  </si>
  <si>
    <t>Contrato de obras para a construção de Píer - PE Itingucu</t>
  </si>
  <si>
    <t>4.56</t>
  </si>
  <si>
    <t>Contrato de serviço para o desenvolvimento do projeto de lei contendo os novos limites do PESM.</t>
  </si>
  <si>
    <t>Definição de acordos mediante o concurso de apresentação de projetos, para a implementação de pelo menos 10 projetos relativos a os Programas de Manejo das APAS Marinhas e Ilha Comprida.</t>
  </si>
  <si>
    <t>Item Orçamento 3.1.4.Fundação Florestal (FF)   
Ano3: 2013</t>
  </si>
  <si>
    <t>Contratação de firma para a elaboração de 5 projetos executivos de reformas e obras da EE Jureia - Itatins</t>
  </si>
  <si>
    <t xml:space="preserve">Contratação de firma para  construção e manutenção do viveiro de mudas florestal no Núcleo Despraiado/Barra do Una </t>
  </si>
  <si>
    <t xml:space="preserve">Contratação de firma para elaboração de Manuais </t>
  </si>
  <si>
    <t xml:space="preserve">Contratação de firma para a elaboração dos projetos executivos para infraestrutura básica (saneamento básico, instalação elétrica, sistema de comunicação) das Unidades de Proteção Integral </t>
  </si>
  <si>
    <t>Item Orçamento 5.2.10.Polícia Ambiental (PMA)  
Ano 1: 2011/ Ano 2:2012</t>
  </si>
  <si>
    <t>Contratação de firma para provisão de combustível por cartão magnético - embarcações e veiculos</t>
  </si>
  <si>
    <t xml:space="preserve">Item Orçamento 5.2.11.Polícia Ambiental (PMA)  
Ano 2:2012 e Ano 3: 2013    </t>
  </si>
  <si>
    <t>2.32</t>
  </si>
  <si>
    <t>2.33</t>
  </si>
  <si>
    <t>2.34</t>
  </si>
  <si>
    <t>2.31</t>
  </si>
  <si>
    <t>2.35</t>
  </si>
  <si>
    <t xml:space="preserve">Custeio operacional das APAS Marinhas Protegidas </t>
  </si>
  <si>
    <t>Item Orçamento 1.3.4.Fundação Florestal (FF) 
 Ano 2: 2012 e  Ano3: 2013</t>
  </si>
  <si>
    <t>Contrato de Obra para construcao de Base de Protecao - Núcleo Santa Virgínia- FF 1953/10</t>
  </si>
  <si>
    <t>Contrato de Obra para construcao de Base de Protecao - Núcleo Cunha - 1868/10</t>
  </si>
  <si>
    <t>Contrato de serviços de obras para o Núcleo Curucutu 1637/09</t>
  </si>
  <si>
    <t xml:space="preserve"> Contrato de serviços de obras para os Núcleo Itutinga - Pilões (Sede do Núcleo e Praia Grande) - FF 1821/09</t>
  </si>
  <si>
    <t>Contrato de Obras no PE Ilha Anchieta revitalização do Parque Estadual da Ilha Anchieta, compreendendo: Construção de Sanitários e Estrutura de Reservatório e Construção de Quiosques / Decks / Tentos / Mesas e Churrasqueiras  - FF 1426/09</t>
  </si>
  <si>
    <t xml:space="preserve">Contratação de firma para caracterização e diagnostico das ocupações irregulares na área do PESM e áreas de pressão e elaboração dos projetos executivos  do Setor Norte (Lote 1) e Setor Sul (Lote 2) - 
Concorrência 035/10 (SDP Nº 002/10) </t>
  </si>
  <si>
    <t>Contratação de firma para serviço de trabalho de organização social e de sustentabilidade do Componente 2
Concorrência Internacional 001/12 (SDP 001/12)</t>
  </si>
  <si>
    <t>Contratação de firma para a implantação do Sistema de Monitoramento da Estratégia Social do Programa</t>
  </si>
  <si>
    <t>Desapropriação/Indenização (interesse social)</t>
  </si>
  <si>
    <t>Aquisição de terreno - Cubatão II</t>
  </si>
  <si>
    <t xml:space="preserve">Aquisição de terreno - Cubatão I </t>
  </si>
  <si>
    <t>1.16</t>
  </si>
  <si>
    <t>Esclarecimentos / Alterações</t>
  </si>
  <si>
    <t>Concorrência (Lei 8.666)</t>
  </si>
  <si>
    <t>2.36</t>
  </si>
  <si>
    <t>2.38</t>
  </si>
  <si>
    <t>2.39</t>
  </si>
  <si>
    <t>2.40</t>
  </si>
  <si>
    <t>2.41</t>
  </si>
  <si>
    <t>2.42</t>
  </si>
  <si>
    <t>3.52</t>
  </si>
  <si>
    <t>3.53</t>
  </si>
  <si>
    <t xml:space="preserve">Nº </t>
  </si>
  <si>
    <t>Aquisição de Equipamentos Náuticos</t>
  </si>
  <si>
    <t>Aquisição de Persianas</t>
  </si>
  <si>
    <t>Aqusição de Sistemas de Segurança/Alarmes</t>
  </si>
  <si>
    <t>Aquisição de Equipamentos de Telefonia</t>
  </si>
  <si>
    <t xml:space="preserve">Aquisição de Microscopios Digitais </t>
  </si>
  <si>
    <t xml:space="preserve">Tomada de preços </t>
  </si>
  <si>
    <t>Contratação de serviços para a elaboração dos projetos executivos para infraestrutura básica e gerenciamento</t>
  </si>
  <si>
    <t>Item Orçamento 2.1.1.Fundação Florestal (FF)   
Ano 3: 2013</t>
  </si>
  <si>
    <t>Contratação de serviços para o Laudo Antropológico</t>
  </si>
  <si>
    <t>Contratação de serviços para avaliar os imóveis.</t>
  </si>
  <si>
    <t>3.54</t>
  </si>
  <si>
    <t>Item Orçamento 3.1.10.Fundação Florestal (FF)   
Ano 3: 2013</t>
  </si>
  <si>
    <t>Contrato de serviços para implantação da trilha Itaquitanduba no Parque de  Xixova-Japui.</t>
  </si>
  <si>
    <t>3.55</t>
  </si>
  <si>
    <t>BEC - Bolsa Eletronica de Compras</t>
  </si>
  <si>
    <t xml:space="preserve">Item Orçamento Detalhado 5.2.9 Componente 3  - Produto 5   Polícia Ambiental (PMA) Ano 3: 2013                   </t>
  </si>
  <si>
    <t>Item Orçamento 2.5.9.a.Fundação Florestal (FF)   
Ano3: 2013 - Ano 4: 2014</t>
  </si>
  <si>
    <t xml:space="preserve">Item Orçamento 2.5.10.a Fundação Florestal (FF)   
Ano 2: 2012  - Ano3: 2013 - Ano 4: 2014         </t>
  </si>
  <si>
    <t>Item Orçamento 5.2.13.Polícia Ambiental (PMA)  
Ano3: 2013 - A no 4: 2014</t>
  </si>
  <si>
    <t>Item Orçamento 1.2.11.Fundação Florestal (FF)   
Ano 1: 2011    - Ano 2: 2012</t>
  </si>
  <si>
    <t>Item Orçamento 1.2.21.Fundação Florestal (FF) 
Ano 1: 2011 - Ano 2: 2012</t>
  </si>
  <si>
    <t>Item Orçamento 2.5.11.a.Fundação Florestal (FF) 
Ano3:2013 - Ano 4: 2014</t>
  </si>
  <si>
    <t>Ano 2:2012 - Ano 3: 2013 - Ano 4: 2014</t>
  </si>
  <si>
    <t>Item Orçamento 3.1.4.
Ano 2: 2012   - Ano 3: 2013</t>
  </si>
  <si>
    <t>4.57</t>
  </si>
  <si>
    <t>Contratação de serviço para realização da Avaliação Intermediaria do Programa.</t>
  </si>
  <si>
    <t xml:space="preserve">Item Orçamento Detalhado 5.2.9 Componente 3  - Produto 5   Polícia Ambiental (PMA) Ano2:2012                            </t>
  </si>
  <si>
    <t xml:space="preserve">Item Orçamento Detalhado 5.2.9 Componente 3  - Produto 5   Polícia Ambiental (PMA) 
Ano2:2012                            </t>
  </si>
  <si>
    <t xml:space="preserve">Item Orçamento Detalhado - Componente 01 - Prod. 01-  1.2.12 - ,Prod. . 02 - 2.5.6.a ,  Prod. 03 - 3.1.9.  Fundação Florestal (FF)       
Ano 0 2010 até Ano 2: 2012 </t>
  </si>
  <si>
    <t xml:space="preserve">Item Orçamento Detalhado - Componente 01 - Prod. 01-  1.2.12 - ,Prod. . 02 - 2.5.6.a ,  Prod. 03 - 3.1.9./3.2.3.  Fundação Florestal (FF), Prod.05 - 5.2.6. Policia Ambiental (PMA)       
Ano 2: 2012 </t>
  </si>
  <si>
    <t xml:space="preserve">Item Orçamento Detalhado - Componente 01 - Prod. 01-  1.2.12 - ,Prod. . 02 - 2.5.6.a ,  Prod. 03 - 3.1.9.  Fundação Florestal (FF)  Prod.05 - 5.2.4. Policia Ambiental (PMA)     
Ano 2: 2012 </t>
  </si>
  <si>
    <t xml:space="preserve">Item Orçamento Detalhado - Componente 01 - Prod. 01-  1.2.12  ,  Prod. 03 - 3.1.9.  Fundação Florestal (FF)       
Ano 2: 2012 </t>
  </si>
  <si>
    <t xml:space="preserve">Item Orçamento Detalhado - Componente 01 - Prod. 01-  1.2.12 e  Prod. 03 - 3.1.9.  Fundação Florestal (FF)       
Ano 2: 2012 </t>
  </si>
  <si>
    <t xml:space="preserve">Item Orçamento Detalhado - Componente 01 - Prod. 03 - 3.2.1.  Fundação Florestal (FF)       
Ano 2: 2012 </t>
  </si>
  <si>
    <t>Item Orçamento Detalhado - Componente 03 -5.2.4
Ano 2: 2012</t>
  </si>
  <si>
    <t xml:space="preserve">Item Orçamento 1.2.4.Fundação Florestal (FF)   
Ano 1: 2011  - Ano 2: 2012      </t>
  </si>
  <si>
    <t>Item Orçamento 1.2.6.Fundação Florestal (FF)   
Ano3: 2013</t>
  </si>
  <si>
    <t xml:space="preserve">Item Orçamento 1.2.4.Fundação Florestal (FF)   
Ano 2: 2012      </t>
  </si>
  <si>
    <t>Item Orçamento 1.2.8.Fundação Florestal (FF)    
Ano3: 2013</t>
  </si>
  <si>
    <t>Item Orçamento 1.2.23.Fundação Florestal (FF)   
Ano 3: 2013</t>
  </si>
  <si>
    <t>Item Orçamento 1.4.2. Instituto de Botânica 
Ano 3: 2013  a Ano 4:20114</t>
  </si>
  <si>
    <t>Item Orçamento 2.4.2.Fundação Florestal (FF)   
Ano 2:2012 - Ano 3: 2013</t>
  </si>
  <si>
    <t>Item Orçamento 2.4.2.Fundação Florestal (FF)   
Ano 3: 2013</t>
  </si>
  <si>
    <t>Item Orçamento 2.4.3.Fundação Florestal (FF)   
Ano3: 2013</t>
  </si>
  <si>
    <t>Item Orçamento 2.4.6.Fundação Florestal (FF)   
Ano3: 2013</t>
  </si>
  <si>
    <t>Item Orçamento 5.2.18.Fundação Florestal (FF)   
Ano 3: 2013 - Ano 4: 2014</t>
  </si>
  <si>
    <t>Item Orçamento 5.2.18.Fundação Florestal (FF)   
 e Ano 3: 2013 - Ano 4: 2014</t>
  </si>
  <si>
    <t>Item Orçamento 1.2.5.Fundação Florestal (FF)   
Ano 1: 2011 - Ano 2: 2012</t>
  </si>
  <si>
    <t>Item Orçamento 1.2.10.Fundação Florestal (FF)   
Ano 2: 2012 - Ano 3: 2013</t>
  </si>
  <si>
    <t>Item Orçamento 1.2.18.Fundação Florestal (FF)  
Ano 3: 2013</t>
  </si>
  <si>
    <t xml:space="preserve">Item Orçamento 3.1.5.Fundação Florestal (FF)   
Ano 3: 2013    </t>
  </si>
  <si>
    <t>Item Orçamento 3.1.1.Fundação Florestal (FF)
Ano 2:2012</t>
  </si>
  <si>
    <t>Item Orçamento 5.1.1.Polícia Ambiental (PMA) 
Ano 2: 2012 até Ano 3: 2013</t>
  </si>
  <si>
    <t>Item Orçamento 5.1.2.Polícia Ambiental (PMA) 
Ano 2: 2012 até Ano 4: 2014</t>
  </si>
  <si>
    <t>Item Orçamento 5.2.17.Polícia Ambiental (PMA) 
Ano 2: 2012 - Ano 3: 2013</t>
  </si>
  <si>
    <t>2.44</t>
  </si>
  <si>
    <t>Item Orçamento 1.2.2.Fundação Florestal (FF)   
 2010 até Ano2 : 2012</t>
  </si>
  <si>
    <t>Item Orçamento 1.2.3.Fundação Florestal (FF)   
 2012 até Ano 2: 2012</t>
  </si>
  <si>
    <t>Item Orçamento 2.4.10.Fundação Florestal (FF)   
 2010</t>
  </si>
  <si>
    <t>Item Orçamento 3.1.4.Fundação Florestal (FF)   
 2010 até Ano 2: 2012</t>
  </si>
  <si>
    <t>Local (%)</t>
  </si>
  <si>
    <t>Publicação Anúncio</t>
  </si>
  <si>
    <r>
      <rPr>
        <b/>
        <sz val="11"/>
        <rFont val="Arial"/>
        <family val="2"/>
      </rPr>
      <t>Métodos de Aquisição</t>
    </r>
    <r>
      <rPr>
        <sz val="11"/>
        <rFont val="Arial"/>
        <family val="2"/>
      </rPr>
      <t>: (</t>
    </r>
    <r>
      <rPr>
        <b/>
        <sz val="11"/>
        <rFont val="Arial"/>
        <family val="2"/>
      </rPr>
      <t>a) BID: LPI:</t>
    </r>
    <r>
      <rPr>
        <sz val="11"/>
        <rFont val="Arial"/>
        <family val="2"/>
      </rPr>
      <t xml:space="preserve"> Licitação Pública Internacional; </t>
    </r>
    <r>
      <rPr>
        <b/>
        <sz val="11"/>
        <rFont val="Arial"/>
        <family val="2"/>
      </rPr>
      <t>LPN:</t>
    </r>
    <r>
      <rPr>
        <sz val="11"/>
        <rFont val="Arial"/>
        <family val="2"/>
      </rPr>
      <t xml:space="preserve"> Licitação Pública Nacional; </t>
    </r>
    <r>
      <rPr>
        <b/>
        <sz val="11"/>
        <rFont val="Arial"/>
        <family val="2"/>
      </rPr>
      <t>CP:</t>
    </r>
    <r>
      <rPr>
        <sz val="11"/>
        <rFont val="Arial"/>
        <family val="2"/>
      </rPr>
      <t xml:space="preserve"> Comparação de Preços; </t>
    </r>
    <r>
      <rPr>
        <b/>
        <sz val="11"/>
        <rFont val="Arial"/>
        <family val="2"/>
      </rPr>
      <t>CD:</t>
    </r>
    <r>
      <rPr>
        <sz val="11"/>
        <rFont val="Arial"/>
        <family val="2"/>
      </rPr>
      <t xml:space="preserve"> Contratação Direta; </t>
    </r>
    <r>
      <rPr>
        <b/>
        <sz val="11"/>
        <rFont val="Arial"/>
        <family val="2"/>
      </rPr>
      <t>SBQC:</t>
    </r>
    <r>
      <rPr>
        <sz val="11"/>
        <rFont val="Arial"/>
        <family val="2"/>
      </rPr>
      <t xml:space="preserve"> Seleção Baseada na Qualidade e Custo; </t>
    </r>
    <r>
      <rPr>
        <b/>
        <sz val="11"/>
        <rFont val="Arial"/>
        <family val="2"/>
      </rPr>
      <t xml:space="preserve">SQC: </t>
    </r>
    <r>
      <rPr>
        <sz val="11"/>
        <rFont val="Arial"/>
        <family val="2"/>
      </rPr>
      <t xml:space="preserve">Seleção Baseada nas Qualificações dos Consultores; </t>
    </r>
    <r>
      <rPr>
        <b/>
        <sz val="11"/>
        <rFont val="Arial"/>
        <family val="2"/>
      </rPr>
      <t xml:space="preserve">SBMC: </t>
    </r>
    <r>
      <rPr>
        <sz val="11"/>
        <rFont val="Arial"/>
        <family val="2"/>
      </rPr>
      <t xml:space="preserve">Seleção Baseada no Menor Custo; </t>
    </r>
    <r>
      <rPr>
        <b/>
        <sz val="11"/>
        <rFont val="Arial"/>
        <family val="2"/>
      </rPr>
      <t xml:space="preserve">SBOF: </t>
    </r>
    <r>
      <rPr>
        <sz val="11"/>
        <rFont val="Arial"/>
        <family val="2"/>
      </rPr>
      <t>Seleção Baseada em Orçamento Fixo;</t>
    </r>
    <r>
      <rPr>
        <b/>
        <sz val="11"/>
        <rFont val="Arial"/>
        <family val="2"/>
      </rPr>
      <t xml:space="preserve"> SBQ</t>
    </r>
    <r>
      <rPr>
        <sz val="11"/>
        <rFont val="Arial"/>
        <family val="2"/>
      </rPr>
      <t xml:space="preserve">: Seleção Baseada na Qualidade; </t>
    </r>
    <r>
      <rPr>
        <b/>
        <sz val="11"/>
        <rFont val="Arial"/>
        <family val="2"/>
      </rPr>
      <t>CD:</t>
    </r>
    <r>
      <rPr>
        <sz val="11"/>
        <rFont val="Arial"/>
        <family val="2"/>
      </rPr>
      <t xml:space="preserve"> Contratação Direta; </t>
    </r>
    <r>
      <rPr>
        <b/>
        <sz val="11"/>
        <rFont val="Arial"/>
        <family val="2"/>
      </rPr>
      <t>CI:</t>
    </r>
    <r>
      <rPr>
        <sz val="11"/>
        <rFont val="Arial"/>
        <family val="2"/>
      </rPr>
      <t xml:space="preserve"> Consultor Individual. (</t>
    </r>
    <r>
      <rPr>
        <b/>
        <sz val="11"/>
        <rFont val="Arial"/>
        <family val="2"/>
      </rPr>
      <t xml:space="preserve">b) Lei 8.666: CC: </t>
    </r>
    <r>
      <rPr>
        <sz val="11"/>
        <rFont val="Arial"/>
        <family val="2"/>
      </rPr>
      <t>Carta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Convite; </t>
    </r>
    <r>
      <rPr>
        <b/>
        <sz val="11"/>
        <rFont val="Arial"/>
        <family val="2"/>
      </rPr>
      <t>TP:</t>
    </r>
    <r>
      <rPr>
        <sz val="11"/>
        <rFont val="Arial"/>
        <family val="2"/>
      </rPr>
      <t xml:space="preserve"> Tomada de Preço; </t>
    </r>
    <r>
      <rPr>
        <b/>
        <sz val="11"/>
        <rFont val="Arial"/>
        <family val="2"/>
      </rPr>
      <t>CPN:</t>
    </r>
    <r>
      <rPr>
        <sz val="11"/>
        <rFont val="Arial"/>
        <family val="2"/>
      </rPr>
      <t xml:space="preserve"> Concorrência Pública Nacional; </t>
    </r>
    <r>
      <rPr>
        <b/>
        <sz val="11"/>
        <rFont val="Arial"/>
        <family val="2"/>
      </rPr>
      <t>PE:</t>
    </r>
    <r>
      <rPr>
        <sz val="11"/>
        <rFont val="Arial"/>
        <family val="2"/>
      </rPr>
      <t xml:space="preserve"> Pregão Eletrônico; </t>
    </r>
    <r>
      <rPr>
        <b/>
        <sz val="11"/>
        <rFont val="Arial"/>
        <family val="2"/>
      </rPr>
      <t>ARP:</t>
    </r>
    <r>
      <rPr>
        <sz val="11"/>
        <rFont val="Arial"/>
        <family val="2"/>
      </rPr>
      <t xml:space="preserve"> Ata de Registro de Preços,</t>
    </r>
    <r>
      <rPr>
        <b/>
        <sz val="11"/>
        <rFont val="Arial"/>
        <family val="2"/>
      </rPr>
      <t xml:space="preserve"> PP</t>
    </r>
    <r>
      <rPr>
        <sz val="11"/>
        <rFont val="Arial"/>
        <family val="2"/>
      </rPr>
      <t xml:space="preserve">: Pregão Presencial, </t>
    </r>
    <r>
      <rPr>
        <b/>
        <sz val="11"/>
        <rFont val="Arial"/>
        <family val="2"/>
      </rPr>
      <t>CD</t>
    </r>
    <r>
      <rPr>
        <sz val="11"/>
        <rFont val="Arial"/>
        <family val="2"/>
      </rPr>
      <t>: Contratação Direta</t>
    </r>
  </si>
  <si>
    <r>
      <rPr>
        <b/>
        <sz val="11"/>
        <rFont val="Arial"/>
        <family val="2"/>
      </rPr>
      <t>Revisões BID</t>
    </r>
    <r>
      <rPr>
        <sz val="11"/>
        <rFont val="Arial"/>
        <family val="2"/>
      </rPr>
      <t>: EXA =</t>
    </r>
    <r>
      <rPr>
        <i/>
        <sz val="11"/>
        <rFont val="Arial"/>
        <family val="2"/>
      </rPr>
      <t xml:space="preserve">Ex-ante </t>
    </r>
    <r>
      <rPr>
        <sz val="11"/>
        <rFont val="Arial"/>
        <family val="2"/>
      </rPr>
      <t>e EXP=</t>
    </r>
    <r>
      <rPr>
        <i/>
        <sz val="11"/>
        <rFont val="Arial"/>
        <family val="2"/>
      </rPr>
      <t xml:space="preserve"> Ex-post</t>
    </r>
  </si>
  <si>
    <r>
      <rPr>
        <b/>
        <sz val="11"/>
        <rFont val="Arial"/>
        <family val="2"/>
      </rPr>
      <t>Status</t>
    </r>
    <r>
      <rPr>
        <sz val="11"/>
        <rFont val="Arial"/>
        <family val="2"/>
      </rPr>
      <t>: Pendente (P); Em Processo  (EP); Adjudicado (A); Cancelado (C )</t>
    </r>
  </si>
  <si>
    <r>
      <rPr>
        <b/>
        <sz val="11"/>
        <rFont val="Arial"/>
        <family val="2"/>
      </rPr>
      <t>Alterações:</t>
    </r>
    <r>
      <rPr>
        <sz val="11"/>
        <rFont val="Arial"/>
        <family val="2"/>
      </rPr>
      <t xml:space="preserve"> Indicar em </t>
    </r>
    <r>
      <rPr>
        <b/>
        <sz val="11"/>
        <color indexed="10"/>
        <rFont val="Arial"/>
        <family val="2"/>
      </rPr>
      <t>vermelho</t>
    </r>
    <r>
      <rPr>
        <sz val="11"/>
        <rFont val="Arial"/>
        <family val="2"/>
      </rPr>
      <t xml:space="preserve"> as alterações feitas nas aquisições já constantes do PA</t>
    </r>
  </si>
  <si>
    <r>
      <rPr>
        <b/>
        <sz val="11"/>
        <rFont val="Arial"/>
        <family val="2"/>
      </rPr>
      <t>Inclusões:</t>
    </r>
    <r>
      <rPr>
        <sz val="11"/>
        <rFont val="Arial"/>
        <family val="2"/>
      </rPr>
      <t xml:space="preserve"> Indicar em </t>
    </r>
    <r>
      <rPr>
        <b/>
        <sz val="11"/>
        <color indexed="12"/>
        <rFont val="Arial"/>
        <family val="2"/>
      </rPr>
      <t xml:space="preserve">azul </t>
    </r>
    <r>
      <rPr>
        <sz val="11"/>
        <rFont val="Arial"/>
        <family val="2"/>
      </rPr>
      <t>as aquisições agora incluídas no PA</t>
    </r>
  </si>
  <si>
    <r>
      <rPr>
        <b/>
        <sz val="11"/>
        <rFont val="Arial"/>
        <family val="2"/>
      </rPr>
      <t>Cancelamentos:</t>
    </r>
    <r>
      <rPr>
        <sz val="11"/>
        <rFont val="Arial"/>
        <family val="2"/>
      </rPr>
      <t xml:space="preserve"> indicar em </t>
    </r>
    <r>
      <rPr>
        <b/>
        <sz val="11"/>
        <color indexed="17"/>
        <rFont val="Arial"/>
        <family val="2"/>
      </rPr>
      <t>verde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os cancelamentos das aquisições constantes do PA</t>
    </r>
  </si>
  <si>
    <r>
      <rPr>
        <b/>
        <sz val="11"/>
        <rFont val="Arial"/>
        <family val="2"/>
      </rPr>
      <t>Folha anexa</t>
    </r>
    <r>
      <rPr>
        <sz val="11"/>
        <rFont val="Arial"/>
        <family val="2"/>
      </rPr>
      <t>: Fazer comentários complementares ou esclarecedores , quando necessário, em folha anexa.</t>
    </r>
  </si>
  <si>
    <r>
      <rPr>
        <b/>
        <sz val="11"/>
        <rFont val="Arial"/>
        <family val="2"/>
      </rPr>
      <t>Histórico:</t>
    </r>
    <r>
      <rPr>
        <sz val="11"/>
        <rFont val="Arial"/>
        <family val="2"/>
      </rPr>
      <t xml:space="preserve"> Manter no PA todas as aquisições adjudicadas e/ou canceladas</t>
    </r>
  </si>
  <si>
    <t>Término 
Contrato</t>
  </si>
  <si>
    <t>4.63</t>
  </si>
  <si>
    <t>Contratação empresa especializada para elaboração do Plano de Manejo Jureia-Itatins</t>
  </si>
  <si>
    <t xml:space="preserve">Item Orçamento Detalhado - Componente 01- 1.2.12, 2.4.12 e 3.1.9 Fundação Florestal (FF)       
Ano 3: 2013 </t>
  </si>
  <si>
    <t>Item Orçamento Detalhado - Componente 01- 1.2.12, 2.4.12 e 3.1.9 Fundação Florestal (FF)       
Ano 3: 2013</t>
  </si>
  <si>
    <t>Contrato de Obras para a construção de centros de visitante no Núcleo Bertioga</t>
  </si>
  <si>
    <t>Contrato de Reforma de 2 Bases de Apoio: Grajaúna e Rio Verde</t>
  </si>
  <si>
    <t>Contrato de Reforma de 2 Bases de Apoio: Rio Branco e Barra Funda</t>
  </si>
  <si>
    <t>Encerrado</t>
  </si>
  <si>
    <t>Aquisição de Tratores  - Ano 3</t>
  </si>
  <si>
    <t>Item Orçamento: Administração do Programa 4.3. - CDHU</t>
  </si>
  <si>
    <t>Contratação de firma para combustível de embarcações</t>
  </si>
  <si>
    <t>Item Orçamento 3.1.4.Fundação Florestal (FF)   
Ano 4: 2014</t>
  </si>
  <si>
    <t>Item Orçamento 1.2.8.Fundação Florestal (FF)    
Ano 4: 2014</t>
  </si>
  <si>
    <t>Item Orçamento 1.2.18.Fundação Florestal (FF)  
Ano 4: 2014</t>
  </si>
  <si>
    <t>Item Orçamento 1.4.3.Fundação Florestal (FF)   
Ano 4: 2014</t>
  </si>
  <si>
    <t xml:space="preserve">Item Orçamento 2.5.15.a.Fundação Florestal (FF)  
Ano 4: 2014  </t>
  </si>
  <si>
    <t>Item Orçamento 3.2.2 Fundação Florestal (FF)   
Ano 4: 2014</t>
  </si>
  <si>
    <t xml:space="preserve">Item Orçamento 3.3.3..Fundação Florestal (FF)  
Ano 4: 2014   </t>
  </si>
  <si>
    <t>Item Orçamento 5.2.13.Polícia Ambiental (PMA)  
Ano 4: 2014</t>
  </si>
  <si>
    <t>Item Orçamento 1.5.4.Fundação Florestal (FF)   
Ano 4: 2014</t>
  </si>
  <si>
    <t>Item Orçamento 5.2.12 Fundação Florestal (FF)   
Ano 4: 2014</t>
  </si>
  <si>
    <t>Item Orçamento 1.2.16.Fundação Florestal (FF) 
Ano 4: 2014</t>
  </si>
  <si>
    <t xml:space="preserve">Item Orçamento 2.4.4.Fundação Florestal (FF) 
Ano 4: 2014 </t>
  </si>
  <si>
    <t>Item Orçamento 2.4.11.Fundação Florestal (FF) 
Ano 4: 2014</t>
  </si>
  <si>
    <t>Item Orçamento 2.5.1.a.Fundação Florestal (FF) 
Ano 4: 2014</t>
  </si>
  <si>
    <t>Item Orçamento 2.5.5.a Fundação Florestal (FF) 
Ano 4: 2014</t>
  </si>
  <si>
    <t>Item Orçamento 2.5.8.a.Fundação Florestal (FF) 
Ano 4: 2014</t>
  </si>
  <si>
    <t>Item Orçamento 2.5.12.a.Fundação Florestal (FF) 
Ano 4: 2014</t>
  </si>
  <si>
    <t>Item Orçamento 2.5.13.a Fundação Florestal (FF) 
Ano 4: 2014</t>
  </si>
  <si>
    <t>Item Orçamento 2.5.14.a.Fundação Florestal (FF) 
Ano 4: 2014</t>
  </si>
  <si>
    <t>Item Orçamento 2.5.15.a.Fundação Florestal (FF) 
Ano 4: 2014</t>
  </si>
  <si>
    <t>Item Orçamento 3.2.4. Fundação Florestal (FF) 
 Ano 4: 2014</t>
  </si>
  <si>
    <t>Item Orçamento 3.2.5.Fundação Florestal (FF) 
Ano 4: 2014</t>
  </si>
  <si>
    <t>Item Orçamento 3.3.1.Fundação Florestal (FF) 
Ano 4: 2014</t>
  </si>
  <si>
    <t>Item Orçamento Componente 1 - 1.1.1- Fundação Florestal 
Ano 4: 2014</t>
  </si>
  <si>
    <t>Item Orçamento Componente 1 - 3.1.2- Fundação Florestal 
Ano 4: 2014</t>
  </si>
  <si>
    <t>Item Orçamento Aud, Monitoramento e Avaliação - Contratação pela FF.
Ano 3: 2013/  Ano 4: 2014</t>
  </si>
  <si>
    <t>Item Orçamento 5.2.18.Fundação Florestal (FF)   
Ano 3: 2013/  Ano 4: 2014</t>
  </si>
  <si>
    <t xml:space="preserve">Item Orçamento Detalhado 5.2.14    Componente 3  - Produto 5   Polícia Ambiental (PMA)   Ano 3: 2013                            </t>
  </si>
  <si>
    <t xml:space="preserve">Item Orçamento Detalhado 5.2.14    Componente 3  - Produto 5   Polícia Ambiental (PMA)   Ano 3: 2013                          </t>
  </si>
  <si>
    <t xml:space="preserve">Item Orçamento Detalhado 5.2.14    Componente 3  - Produto 5   Polícia Ambiental (PMA)   Ano 3: 2013                           </t>
  </si>
  <si>
    <t xml:space="preserve">Item Orçamento Detalhado - Componente 01 - Prod. 01-  1.2.12 -1.2.21 ,Prod. . 02 - 2.5.6.a ,  Prod. 03 - 3.1.9/3,.,2.8..  Fundação Florestal (FF), Prod.05 - 5.2.5. Policia Ambiental (PMA)       Ano 3: 2013 </t>
  </si>
  <si>
    <t xml:space="preserve">Item Orçamento Detalhado - Componente 01 - Prod. 01-  1.2.12 - ,Prod. . 02 - 2.5.6.a ,  Prod. 03 - 3.1.9.  Fundação Florestal (FF)       
Ano 3: 2013 </t>
  </si>
  <si>
    <t xml:space="preserve">Item Orçamento Detalhado - Componente 01 - Prod. 01-  1.2.12 - ,Prod. . 02 - 2.5.6.a ,  Prod. 03 - 3.1.9./3.2.3.  Fundação Florestal (FF), Prod.05 - 5.2.6. Policia Ambiental (PMA)       
Ano 3: 2013 </t>
  </si>
  <si>
    <t xml:space="preserve">Item Orçamento Detalhado - Componente 01 - Prod. 01-  1.2.12 - ,Prod. . 02 - 2.5.6.a ,  Prod. 03 - 3.1.9.  Fundação Florestal (FF)  Prod.05 - 5.2.4. Policia Ambiental (PMA)     
Ano 3: 2013 </t>
  </si>
  <si>
    <t xml:space="preserve">Item Orçamento Detalhado - Componente 01 - Prod. 01-  1.2.12 e  Prod. 03 - 3.1.9.  Fundação Florestal (FF)       
Ano 3: 2013 </t>
  </si>
  <si>
    <t xml:space="preserve">Item Orçamento Detalhado - Componente 01 - Prod. 01-  1.2.12 e  Prod. 03 - 3.1.9.  Fundação Florestal (FF)      
Ano 3: 2013 </t>
  </si>
  <si>
    <t xml:space="preserve">Item Orçamento Detalhado - Componente 01 -1.12;2.4.12;3.19 Ano 3: 2013 </t>
  </si>
  <si>
    <t xml:space="preserve">Item Orçamento Detalhado - Componente 01 -2.4.12 Ano 3: 2013 </t>
  </si>
  <si>
    <t xml:space="preserve">Item Orçamento Detalhado - Componente 01 -1.12;2.4.12;3.19- Ano 3: 2013 </t>
  </si>
  <si>
    <t>Item Orçamento 1.2.11.Fundação Florestal (FF)   Ano 4:2014</t>
  </si>
  <si>
    <t>Item Orçamento 1.2.21.Fundação Florestal (FF) 
Ano 3: 2013    e Ano 4:2014</t>
  </si>
  <si>
    <t>Item Orçamento 1.3.2.Fundação Florestal (FF) 
Ano 3: 2013    e Ano 4:2014</t>
  </si>
  <si>
    <t xml:space="preserve">Item Orçamento 2.3.1.Fundação Florestal (FF) 
Ano 3: 2013    e Ano 4:2014            </t>
  </si>
  <si>
    <t>Item Orçamento 2.4.7.Fundação Florestal (FF) 
Ano 3: 2013    e Ano 4:2014</t>
  </si>
  <si>
    <t>Item Orçamento 2.4.5.Fundação Florestal (FF) 
Ano 3: 2013    e Ano 4:2014</t>
  </si>
  <si>
    <t>Item Orçamento 3.3.1.Fundação Florestal (FF) 
Ano 3: 2013    e Ano 4:2014</t>
  </si>
  <si>
    <t>Item Orçamento Administração - 4.1.3.1. Ano 3: 2013    e Ano 4:2014</t>
  </si>
  <si>
    <t>Contrato de Reforma da Base de Apoio: Perequê</t>
  </si>
  <si>
    <t>2.43</t>
  </si>
  <si>
    <t>Em processo</t>
  </si>
  <si>
    <t>Item do Orçamento 4.2.1.2. CDHU</t>
  </si>
  <si>
    <t>Item do Orçamento 4.2.1.3. CDHU</t>
  </si>
  <si>
    <t>Item do Orçamento 4.2.1.4. CDHU</t>
  </si>
  <si>
    <t>2.45</t>
  </si>
  <si>
    <t>2.46</t>
  </si>
  <si>
    <t>2.47</t>
  </si>
  <si>
    <t>1.45</t>
  </si>
  <si>
    <t xml:space="preserve"> 1.46</t>
  </si>
  <si>
    <t>1.47</t>
  </si>
  <si>
    <t>1.48</t>
  </si>
  <si>
    <t xml:space="preserve"> 1.49</t>
  </si>
  <si>
    <t>1.50</t>
  </si>
  <si>
    <t>1.52</t>
  </si>
  <si>
    <t>1.53</t>
  </si>
  <si>
    <t>2.48</t>
  </si>
  <si>
    <t>3.58</t>
  </si>
  <si>
    <t>3.59</t>
  </si>
  <si>
    <t>3.56</t>
  </si>
  <si>
    <t>3.57</t>
  </si>
  <si>
    <t>4.67</t>
  </si>
  <si>
    <t xml:space="preserve"> 4.65</t>
  </si>
  <si>
    <t>1.51</t>
  </si>
  <si>
    <t>4.64</t>
  </si>
  <si>
    <t>4.66</t>
  </si>
  <si>
    <t xml:space="preserve"> 4.68</t>
  </si>
  <si>
    <t xml:space="preserve"> 4.69</t>
  </si>
  <si>
    <t>Item Orçamento Detalhado 3.2.7 Fundação Florestal (FF)     Ano 2: 2012 - Ano 3: 2013</t>
  </si>
  <si>
    <t>Contrato de Obras para a construção de centros de visitantes  e bases de proteção do Núcleo Caraguatatuba</t>
  </si>
  <si>
    <t>Contrato para obras de Bases de Proteção no Núcleo Itariru</t>
  </si>
  <si>
    <t>Ex-Post</t>
  </si>
  <si>
    <t>Contrato de obras para o reasentamento de 1.400 familias de outros Municipios (Ubatuba - 376 UHs)</t>
  </si>
  <si>
    <t>Contrato de obras para o reasentamento de 1.400 familias de outros Municipios (São Sebastião - 166 UHs)</t>
  </si>
  <si>
    <t>Contrato de obras para o reasentamento de 1.400 familias de outros Municipios (Pedro de Toledo - 116 UHs)</t>
  </si>
  <si>
    <t>Contrato de obras para o reasentamento de 1.400 familias de outros Municipios (Outors Norte e Sul - 742 UHs)</t>
  </si>
  <si>
    <t>2.49</t>
  </si>
  <si>
    <t>Contrato de obras de edificação no Município de São Vicente</t>
  </si>
  <si>
    <t>Contrato de obras do Condomínio Penedo e Primavera</t>
  </si>
  <si>
    <t>2.50</t>
  </si>
  <si>
    <t>Contrato de obras para 448 uhs nos municípios de Itanhaém, Peruíbe, Praia Grande e São Vicente</t>
  </si>
  <si>
    <t>Parceria com a Caixa Econômica Federal</t>
  </si>
  <si>
    <t>Contratação de firma para a elaboração do Plano de Manejo: (i) APA Marinha Litoral norte em ARIE São Sebastião, (ii) APA Marinha Litoral Centro, (iii) APA Marinha Litoral Sul</t>
  </si>
  <si>
    <t>Item Orçamento 1.2.13.1.,2.4.14 e 3.1.6. - Fundação Florestal (FF)   
 2010 até Ano 4: 2014</t>
  </si>
  <si>
    <t>Item Orçamento 1.2.13.2.,2.4.14 e 3.1.7.,3.1.3 - Fundação Florestal (FF)   
 2010 até Ano 1: 2011</t>
  </si>
  <si>
    <t>Contratação de firma para serviço de monitores ambientais FF 0042/14</t>
  </si>
  <si>
    <t>3.60</t>
  </si>
  <si>
    <t>Contratação de serviços para levantamento planialtimetrico- Jardim Botânico.</t>
  </si>
  <si>
    <t>Item Orçamento 1.4.2. Instituto de Botânica 
 Ano 4:20114</t>
  </si>
  <si>
    <t>Contratação empresa gerenciadora da obra da Sede do 1º Batalhão</t>
  </si>
  <si>
    <t>Contratação de firma para levantamento e tratamento de dados ambientais destinado ao Sistema de Monitoramento do IGAS do Programa - Ambiental</t>
  </si>
  <si>
    <t>Contratação de firma para serviços de vigilância FF 1727/13</t>
  </si>
  <si>
    <t xml:space="preserve">Item Orçamento 1.2.13.1., 2.4.14, 3.1.6..Fundação Florestal (FF)   
Ano 4:2014 e Ano 5: 2015 </t>
  </si>
  <si>
    <t>Contrato para desconstrução de UH - CUBATÃO</t>
  </si>
  <si>
    <t>Item Orçamento 1.4.1.Fundação Florestal 
Ano 4: 2014, Ano 5: 2015 e Ano 6: 2016</t>
  </si>
  <si>
    <t xml:space="preserve">Item Orçamento 1.2.13.1.,3.1.6..Fundação Florestal (FF)   
Ano 4:2014  </t>
  </si>
  <si>
    <t>Contratação de serviços para despacho aduaneiro da aeronave</t>
  </si>
  <si>
    <t>concluído</t>
  </si>
  <si>
    <t xml:space="preserve">Item Orçamento 2.2.1.Fundação Florestal (FF)   
</t>
  </si>
  <si>
    <t>3.62</t>
  </si>
  <si>
    <t>Implantação do projeto de comunicação visual - uso público PESM</t>
  </si>
  <si>
    <t>Item Orçamento 1.2.15 Fundação Florestal (FF)   
Ano 5: 2015</t>
  </si>
  <si>
    <t>Contratação de firma para serviços de vigilância - FF0122/10,0476/07,0794/13,1068/12,1288/11,1312/11,1940/08</t>
  </si>
  <si>
    <t>Item Orçamento 1.2.13.1.,3.1.6..Fundação Florestal (FF)   
Ano 5:2015</t>
  </si>
  <si>
    <t>Contratação de firma para serviços de vigilância - FF 927/14</t>
  </si>
  <si>
    <t>2.51</t>
  </si>
  <si>
    <t>Item orçamentário: 3.1.3 - P.E. Ilhabela</t>
  </si>
  <si>
    <t>Contratação de firma para serviços de vigilância - Ano 5</t>
  </si>
  <si>
    <t>Construção de Sistema de Tratamento de Esgoto Doméstico - P.E. Ilhabela</t>
  </si>
  <si>
    <t>Aquisição de um terreno para São Vicente - Sector Sul</t>
  </si>
  <si>
    <t>Permuta/Aquisição (interesse social)</t>
  </si>
  <si>
    <t>Permuta de imóveis com a Fazenda do Estado</t>
  </si>
  <si>
    <t>1.54</t>
  </si>
  <si>
    <t>Nº do Componente Associado</t>
  </si>
  <si>
    <t>SUBTOTAL DE SERVIÇOS DIFERENTES A CONSULTORIA</t>
  </si>
  <si>
    <t>% POR FONTE</t>
  </si>
  <si>
    <t>01 - 03</t>
  </si>
  <si>
    <t>01</t>
  </si>
  <si>
    <t>03</t>
  </si>
  <si>
    <t>02</t>
  </si>
  <si>
    <t>ADMINISTRAÇÃO</t>
  </si>
  <si>
    <t>ACOMPANHAMENTO,  AVALIACAO E AUDITORIA</t>
  </si>
  <si>
    <t>Atualizado por: UGP E UEP-MEIO AMBIENTE</t>
  </si>
  <si>
    <t xml:space="preserve">Item Orçamento 4.3.1.CDHU </t>
  </si>
  <si>
    <t>Item Orçamento 4.1.1.CDHU
Obra concluída e entregue aos beneficiários</t>
  </si>
  <si>
    <t>Item Orçamento 4.1.2.CDHU
Obra concluída e entregue aos beneficiários</t>
  </si>
  <si>
    <t>Item Orçamento 4.1.3.CDHU  
Obra concluída e entregue aos beneficiários</t>
  </si>
  <si>
    <t xml:space="preserve">Item Orçamento 4.3.2.CDHU </t>
  </si>
  <si>
    <t>Uma fração desta obra será para atender o público remanescente dos Bairros Cota de Cubatão, numa carteira conjunta de 360 uhs do São Vicente H e 500 do Condomínio Penedo e Primavera. Recursos BID 100% executado.</t>
  </si>
  <si>
    <t>Item do Orçamento 4.2.1.1. CDHU
Aguardando a emissão na posse do terreno para emissão de OIS, prevista para Abr/15.</t>
  </si>
  <si>
    <t>Item Orçamento 4.1.5.SH-CDHU 
Terreno em fase de escrituração. Aguardando OIS</t>
  </si>
  <si>
    <t>Item Orçamento Detalhado 4.4.1 _SH/CDHU</t>
  </si>
  <si>
    <t xml:space="preserve">Item Orçamento Detalhado 4.4.1 _ SH/CDHU </t>
  </si>
  <si>
    <t>Item Orçamento Detalhado 4.4.1 _ SH/CDHU</t>
  </si>
  <si>
    <t xml:space="preserve">Item Orçamento Detalhado 4.1.10 _ SH/CDHU </t>
  </si>
  <si>
    <t xml:space="preserve">Área de propriedade da CPOS a ser adquirida pela CDHU. </t>
  </si>
  <si>
    <t>Em fase de customização para posterior carga de dados e testes de funcionalidades.</t>
  </si>
  <si>
    <t>Item Orçamento 4.1.7., 4.1.8.,4.1.9.SH-CDHU</t>
  </si>
  <si>
    <t>Item Orçamento 4.4.2.SH-CDHU</t>
  </si>
  <si>
    <t>Item Orçamento Aud, Monitoramento e Avaliação- Contratação pela CDHU.</t>
  </si>
  <si>
    <t>Item Orçamento Componente 2 - 4.1.11 - CDHU</t>
  </si>
  <si>
    <t>Item Orçamento Administração
 Em fase de apresentação da Proposta Técnica pelos concorrentes</t>
  </si>
  <si>
    <t>2.52</t>
  </si>
  <si>
    <t>2.53</t>
  </si>
  <si>
    <t>2.54</t>
  </si>
  <si>
    <t>2.55</t>
  </si>
  <si>
    <t>2.56</t>
  </si>
  <si>
    <t>Contratação de firma para a implementação do Plano de Comunicação das Unidades de Conservação - APA´s Marinhas</t>
  </si>
  <si>
    <t xml:space="preserve">Item Orçamento 1.2.15 Fundação Florestal (FF)   
Ano 4: 2014  </t>
  </si>
  <si>
    <t>Item Orçamento 1.2.13.2.,3.1.7. e 2.4.14. Fundação Florestal (FF)    Ano 4: 2014</t>
  </si>
  <si>
    <t>Aquisição de Mobiliário   - Ano 5</t>
  </si>
  <si>
    <t>Aquisição de Eletrodomésticos  - Ano 5</t>
  </si>
  <si>
    <t xml:space="preserve">Item Orçamento Detalhado - Componente 01- 1.2.12, 2.4.12 e 3.2.6 Fundação Florestal (FF)       
Ano 5: 2015 </t>
  </si>
  <si>
    <t>Item Orçamento Detalhado - Componente 01 - Prod. 01-  1.2.12 - ,Prod. . 02 - 2.5.6.a ,  Prod. 03 - 3.1.9.  Fundação Florestal (FF)       Ano 5: 2015</t>
  </si>
  <si>
    <t>Item Orçamento Detalhado - Componente 01 - Prod. 01 - 1.4.5 Fundação Florestal (FF)       
Ano 6:2016</t>
  </si>
  <si>
    <t xml:space="preserve">Item Orçamento Detalhado - Componente 01 -1.12;2.4.12;3.19 Ano 5: 2015 </t>
  </si>
  <si>
    <t>Item Orçamento Detalhado - Componente 01 - Prod. 01-  1.2.12 - ,Prod. . 02 - 2.5.6.a ,  Prod. 03 - 3.1.9.  Fundação Florestal (FF)       Ano 4: 2014</t>
  </si>
  <si>
    <t xml:space="preserve">Item Orçamento 1.3.5.Fundação Florestal (FF)   
Ano 5: 2015  e Ano 6:2016    </t>
  </si>
  <si>
    <t>Item Orçamento 1.3.6.Fundação Florestal (FF)   
Ano 5: 2015  - Ano 6: 2016</t>
  </si>
  <si>
    <t>Contratação de firma para a elaboração do projeto básico de reassentamento.</t>
  </si>
  <si>
    <t>Contratação empresa gerenciadora para a obra no PESM/N. Caraguatatuba-Intermediária</t>
  </si>
  <si>
    <t>Tomada de Preços</t>
  </si>
  <si>
    <t>Contrato de Obra para Construção de Base de Proteção - PE Ilhabela (Norte)</t>
  </si>
  <si>
    <t>Contrato de Obra para Construção de Base de Proteção - PE Ilhabela (Sul)</t>
  </si>
  <si>
    <t>Item Orçamento 1.2.7.Fundação Florestal (FF)   
Ano5: 2015 e Ano 6: 2016</t>
  </si>
  <si>
    <t>Item Orçamento Administração do Programa - FF 
Ano 1: 2011 até Ano 6: 2016</t>
  </si>
  <si>
    <t>Item Orçamento 1.2.14.Fundação Florestal (FF)   
Ano 1: 2011 até  Ano 6: 2016</t>
  </si>
  <si>
    <t>Item Orçamento 5.2.15.Polícia Ambiental (PMA)  
Ano 1: 2011   até Ano 6: 2016</t>
  </si>
  <si>
    <t>Item Orçamento 1.5.5.Fundação Florestal (FF)   
Ano 6: 2016</t>
  </si>
  <si>
    <t>Item Orçamento 3.1.3.Fundação Florestal (FF)   
Ano 1: 2011  até Ano 6: 2016</t>
  </si>
  <si>
    <t>Item Orçamento 3.1.3 Fundação Florestal (FF)   
Ano 2: 2012, Ano 3:2013, Ano 4:2014, Ano 5: 2015 e Ano 6: 2016</t>
  </si>
  <si>
    <t>Item Orçamento 2.4.13.Fundação Florestal (FF)   
Ano 01: 2011 até Ano 6: 2016</t>
  </si>
  <si>
    <t>Item Orçamento 1.5.3.Fundação Florestal (FF) 
Ano 5: 2015 e Ano 6: 2016</t>
  </si>
  <si>
    <t>Item Orçamento 2.4.15 Fundação Florestal (FF)   
Ano 5: 2015 e   Ano 6: 2016</t>
  </si>
  <si>
    <t>Item Orçamento 2.4.8.Fundação Florestal (FF)  
Ano5: 2015  e Ano 6: 2016</t>
  </si>
  <si>
    <t>Item Orçamento 1.3.7.Fundação Florestal (FF)   
 Ano 2:2012 até Ano 6:2016</t>
  </si>
  <si>
    <t>Aquisição de Mobiliário para Obras da Policia - Ano 6</t>
  </si>
  <si>
    <t>Item Orçamento 3.1.1.Fundação Florestal (FF)
Ano 5:2015 e Ano6:2016</t>
  </si>
  <si>
    <t>Item Orçamento: 3.3.2  - Ano 5: 2015 e Ano 6: 2016</t>
  </si>
  <si>
    <t>Item Orçamento  3.1.11.Fundação Florestal (FF)   
Ano  5: 2015</t>
  </si>
  <si>
    <t>Contratação empresa gerenciadora para a obra acessos Estrada Despraiado  MUC Juréia-Itatins</t>
  </si>
  <si>
    <t>Item Orçamento 1.2.7 -  Fundação Florestal (FF)   
Ano 5: 2015/  Ano 6: 2016</t>
  </si>
  <si>
    <t>Item Orçamento 2.4.8 -  Fundação Florestal (FF)   
Ano 5: 2015/  Ano 6: 2016</t>
  </si>
  <si>
    <t>Aquisição de Mobiliário   - Ano 4</t>
  </si>
  <si>
    <t xml:space="preserve">Item Orçamento Detalhado - Componente 01 - Prod. 01-  1.2.12.,Prod. . 02 - 2.4.12., 2.5.6A,  Prod. 03 - 3.1.9./3.2.1.   Fundação Florestal (FF)       Ano 5: 2015              </t>
  </si>
  <si>
    <t>Aquisição de Maquinas e Motores  - Ano 5</t>
  </si>
  <si>
    <t>1.55</t>
  </si>
  <si>
    <t>1.56</t>
  </si>
  <si>
    <t xml:space="preserve"> 4.70</t>
  </si>
  <si>
    <t xml:space="preserve"> 4.71</t>
  </si>
  <si>
    <t xml:space="preserve">Item Orçamento Detalhado 1.3.3  Componente 1  - Produto 1   Fundação Florestal (FF) - Ano 5:2015 e Ano 6: 2016                                           </t>
  </si>
  <si>
    <t>Item Orçamento 2.2.2.Fundação Florestal (FF)   Ano 6:2016</t>
  </si>
  <si>
    <t xml:space="preserve">Item Orçamento Detalhado 5.2.2   Componente 3  - Produto 5  Polícia Ambiental (PMA)    Ano 3: 2013, Ano 4: 2014 e Ano 5: 2015                </t>
  </si>
  <si>
    <t>Item Orçamento Detalhado - Componente 03 - Prod. 05-  5.27/5.2.8 -  Fundação Florestal (FF)       
Ano 6: 2016</t>
  </si>
  <si>
    <t xml:space="preserve">Item Orçamento Detalhado - Componente 01 - Prod. 01-  1.2.12  ,  Prod. 03 - 3.1.9.  Fundação Florestal (FF)       
Ano 5: 2015 </t>
  </si>
  <si>
    <t>Contratação de firma para enriquecimento florestal de 850 hectares - Ano  5 e 6</t>
  </si>
  <si>
    <t>2.57</t>
  </si>
  <si>
    <t>Reforma de quiosques e sanitários da área lazer da Sede do Núcleo Caraguatatuba</t>
  </si>
  <si>
    <t>4.72</t>
  </si>
  <si>
    <t>Contratação de empresa gerenciadora para as obras/serviços de desconstrução de UH-Cubatão, incluindo remoção de pisos e estruturas remanescentes</t>
  </si>
  <si>
    <t>Item Orçamento 1.4.1.Fundação Florestal 
 Ano 5: 2015 e Ano 6: 2016</t>
  </si>
  <si>
    <t>3.63</t>
  </si>
  <si>
    <t>Contratação de firma para provisão de combustível por cartão magnético - EMBARCAÇÕES</t>
  </si>
  <si>
    <t>Item Orçamento  3.1.2 e 3.1.12 Fundação Florestal (FF)   
Ano 5: 2015 e Ano 6: 2016</t>
  </si>
  <si>
    <t>4.73</t>
  </si>
  <si>
    <t>Item Orçamentário  1.4.2 Fundação Florestal - Ano 5: 2015 e Ano 6:2016</t>
  </si>
  <si>
    <t>Contratação de empresa gerenciadora para o projeto executivo relativo a obras do Jardim Botânico de Cubatão</t>
  </si>
  <si>
    <t>2.58</t>
  </si>
  <si>
    <t>Item Orçamentário : 1.2.8 Fundação Florestal Ano 5:2015</t>
  </si>
  <si>
    <t>3.64</t>
  </si>
  <si>
    <t>Contratação de firma para manutenção de veículos, motos e caminhões e embarcações</t>
  </si>
  <si>
    <t>Item Orçamento  5.2.11 e  5.2.13  Fundação Florestal (FF)   
Ano 5: 2015 e Ano 6: 2016</t>
  </si>
  <si>
    <t>3.65</t>
  </si>
  <si>
    <t>Contratação de firma para manutenção de veículos</t>
  </si>
  <si>
    <t>Item Orçamento  1.2.14, 2.4.13,  2.5.10-A, 3.1.12 e 3.1.3 Fundação Florestal (FF)   Ano 5: 2015 e Ano 6: 2016</t>
  </si>
  <si>
    <t>4.74</t>
  </si>
  <si>
    <t>Contratação de firma nacional para apoio operativo - UEP/SMA-FF</t>
  </si>
  <si>
    <t xml:space="preserve">Item Orçamento Administração - 4.2.1.
Ano 5: 2015/ Ano 6:2016     </t>
  </si>
  <si>
    <t>4.75</t>
  </si>
  <si>
    <t>Contratação de empresa para elaboração de estudos técnicos e projeto executivo para implantação de trilhas no P.E. Xixová-Japuí</t>
  </si>
  <si>
    <t>Item Orçamento 3.1.10  Fundação Florestal 
Ano 5: 2015 - Ano 6: 2016</t>
  </si>
  <si>
    <t>Sistema Nacional (Pregão Eletrônico)</t>
  </si>
  <si>
    <t>3.61</t>
  </si>
  <si>
    <t>4.76</t>
  </si>
  <si>
    <t>4.77</t>
  </si>
  <si>
    <t>Contratação de firma para a elaboração dos Termo de Referência para contratação das soluções indicadas nos Planos de Manejo Florestal para os Núcleos</t>
  </si>
  <si>
    <t>Contrato de obras para conclusão das obras do Centro de Educação Ambiental e das reformas do Alojamento e Base de Apoio do Núcleo Arpoador do P.E. Itinguçu - Mosaico Juréia- Itatins</t>
  </si>
  <si>
    <t>Contrato de obras de Centro de Educação Ambiental - N. Arpoador</t>
  </si>
  <si>
    <r>
      <t xml:space="preserve"> Contrato de serviços de obras no Núcleos Itariru </t>
    </r>
    <r>
      <rPr>
        <sz val="11"/>
        <rFont val="Arial"/>
        <family val="2"/>
      </rPr>
      <t>- 2055/10</t>
    </r>
  </si>
  <si>
    <t>2.59</t>
  </si>
  <si>
    <t>2.60</t>
  </si>
  <si>
    <t>Contrato de obras para construção da sede do P.E. Prelado, sedes das RDSs Barra do UNA e Despraiado</t>
  </si>
  <si>
    <t>Aquisição de Veículos  - Ano 05</t>
  </si>
  <si>
    <t>4.78</t>
  </si>
  <si>
    <t>Contratação de empresa para gerenciamento das obras nas RDS do Despraiado e Barra do UNA, sede do P.E. Prelado e para reforma da Sede da Estação Ecológica Juréia-Itatins</t>
  </si>
  <si>
    <t>Contratação de empresa para elaboração de projeto executivo de obras nas RDS do Despraiado e Barra do UNA, sede do P.E. Prelado e para reforma da Sede da Estação Ecológica Juréia-Itatins</t>
  </si>
  <si>
    <t>1.57</t>
  </si>
  <si>
    <t>Aquisição de equipamento para filmagem/fotos aeronave</t>
  </si>
  <si>
    <t>1.58</t>
  </si>
  <si>
    <t>Aquisição de trator - Ano 5</t>
  </si>
  <si>
    <t>1.59</t>
  </si>
  <si>
    <t>Aquisição de trailler - Ano 5</t>
  </si>
  <si>
    <t xml:space="preserve">Item Orçamento Detalhado 5.2.2   Componente 3  - Produto 5  Polícia Ambiental (PMA)     Ano 5: 2015                </t>
  </si>
  <si>
    <t xml:space="preserve">Item Orçamento Detalhado - Componente 01 - Prod. 01-  1. 2.12  e 3.1.9  Fundação Florestal (FF)       
Ano 5: 2015 </t>
  </si>
  <si>
    <t xml:space="preserve">Item Orçamento Detalhado - Componente 01 - Prod. 01-  1. 2.12    Fundação Florestal (FF)       
Ano 5: 2015 </t>
  </si>
  <si>
    <t>4.79</t>
  </si>
  <si>
    <t>4.80</t>
  </si>
  <si>
    <t>Item Orçamento 2.4.6,  2.5.3a, 2.5.4 a, 1.3.4.Fundação Florestal (FF) 
 Ano 5: 2015</t>
  </si>
  <si>
    <t>Item Orçamento 1.3.6.Fundação Florestal (FF) 
 Ano 5: 2015</t>
  </si>
  <si>
    <t>Item Orçamento 3.1.1 Fundação Florestal (FF) 
 Ano5: 2015 e  Ano6: 2016</t>
  </si>
  <si>
    <t>Item Orçamento 3.2.3, , 3.2.4 E 3.2.5  Fundação Florestal (FF) 
 Ano 5: 2015 e  Ano6: 2016</t>
  </si>
  <si>
    <t>Contrato de Obras para a construção da base de proteção de Núcleo Curucutu e ponte de acesso</t>
  </si>
  <si>
    <t>Item Orçamento 1.2.6.Fundação Florestal (FF)   
Ano5: 2015 e ano6: 2016</t>
  </si>
  <si>
    <t>Contratação de firma para as obras do Centro Integrado de Serviços Ambientais da Baixada Santista (3º BPM, 1º Cia, 1º Pelotão e 4º Pelotão Náutico, Sede da APA Centro, P.E.Marinho Laje de Santos, CFA, CBRN) - Guarujá</t>
  </si>
  <si>
    <t>Item Orçamento 5.2.18.Fundação Florestal (FF)   
 Ano 5: 2015 -  Ano 6: 2016</t>
  </si>
  <si>
    <t>1.60</t>
  </si>
  <si>
    <t>Item Orçamento 2.4.2.Fundação Florestal (FF)   
Ano5 : 2015 e Ano 6:2016</t>
  </si>
  <si>
    <t xml:space="preserve">Contrato para desconstrução de UH - NORTE </t>
  </si>
  <si>
    <t>Contrato para desconstrução de UH - SUL</t>
  </si>
  <si>
    <t>Item Orçamento 1.3.1 .Fundação Florestal 
Ano 5:2015 - Ano 6: 2016</t>
  </si>
  <si>
    <t>2.61</t>
  </si>
  <si>
    <t>2.62</t>
  </si>
  <si>
    <t>Adequação da rede  de energia elétrica para atender as edificações do PESM/Núcleo Itutinga-Pilões - Base Guariúma (antigo Jd. Melvi)</t>
  </si>
  <si>
    <t>Contratação de serviços para organização de capacitações  especializada - Fiscalização</t>
  </si>
  <si>
    <t>Item Orçamento 1.3.7.Fundação Florestal (FF)   
Ano 5: 2015    e Ano 6:2016</t>
  </si>
  <si>
    <t>Contratação de firma para a elaboração do projeto de  trilhas.(aprox. 11 Km.)</t>
  </si>
  <si>
    <t>Contratação de firma para a implantação de trilhas.(aprox. 11 Km.)</t>
  </si>
  <si>
    <t>Item Orçamento 2.4.9.Fundação Florestal (FF)   
Ano 5: 2015    e Ano 6:2016</t>
  </si>
  <si>
    <t>Item Orçamento 2.4.9.Fundação Florestal (FF)   
Ano 6: 2016</t>
  </si>
  <si>
    <t>Contratação do desenvolvimento e implantação do Banco de Dados Geográfico do Sistema de Informações do Mosaico de Ilhas e Áreas Marinhas Protegidas</t>
  </si>
  <si>
    <t xml:space="preserve">Contratação de serviços técnicos especializados para elaboração do diagnóstico técnico para os Planos de Manejo das APAs Marinhas e das Aries Guará e São Sebastião por meio da realização de ciclo de seminários </t>
  </si>
  <si>
    <t>4.81</t>
  </si>
  <si>
    <t>Item Orçamento 1.4.2.Fundação Florestal (FF) 
Ano 5: 2015    e Ano 6:2016</t>
  </si>
  <si>
    <t xml:space="preserve">Item Orçamento Detalhado - Componente 01 - Prod. 02 e 03 -  2.4.12  e 3.1.9  Fundação Florestal (FF)       
Ano 5: 2015 </t>
  </si>
  <si>
    <t>Aquisição de equipamentos de informática - Ano 5</t>
  </si>
  <si>
    <t>Item Orçamento 3.1.4.Fundação Florestal (FF)   
Ano 5: 2015 e Ano 6: 2016</t>
  </si>
  <si>
    <t>1.61</t>
  </si>
  <si>
    <t>Aquisição de Mobiliário - armários e arquivos</t>
  </si>
  <si>
    <t xml:space="preserve">Item Orçamento Detalhado - Componente 01 - Prod. 1 e 3 - 1. 2.12  e 3.1.9  Fundação Florestal (FF)       
Ano 5: 2015 </t>
  </si>
  <si>
    <t>3.66</t>
  </si>
  <si>
    <t>Item Orçamento 1.3.3 e 1.3.7 Fundação Florestal (FF)   
Ano 5: 2015    e Ano 6:2016</t>
  </si>
  <si>
    <t>Contratação de serviços especializados para elaboração do projeto executivo de paisagismo do Jardim Botânico de Cubatão</t>
  </si>
  <si>
    <t>3.67</t>
  </si>
  <si>
    <t>Proposto em: 09 de SETEMBRO de 2015</t>
  </si>
  <si>
    <t>Item Orçamento 1.2.19, 1.2.20  e 2.4.4.Fundação Florestal (FF)   
Ano 5: 2015 e Ano 6: 2016</t>
  </si>
  <si>
    <t>Contratação de serviços de recuperação ambiental - Setor Norte (10 hectares)</t>
  </si>
  <si>
    <t>Contratação de serviços de recuperação ambiental - Setor Sul (5 hectares)</t>
  </si>
  <si>
    <t>Contratação de firma para recuperação de 30 hectares em Cubatão Jardim Botânico</t>
  </si>
  <si>
    <t>CDHU</t>
  </si>
  <si>
    <t>FF</t>
  </si>
  <si>
    <t>Executor</t>
  </si>
  <si>
    <t>(A) - NESTE PA</t>
  </si>
  <si>
    <t>(B) - CONTRATADO</t>
  </si>
  <si>
    <t>(A - B) - DIFERENÇA</t>
  </si>
  <si>
    <t>RECURSOS BID</t>
  </si>
  <si>
    <t>RECURSOS   BID</t>
  </si>
  <si>
    <t>Aprovado em: 21.09.2015 (CBR 3217/15)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</si>
</sst>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416]mmm\-yy;@"/>
    <numFmt numFmtId="166" formatCode="_(* #,##0.0_);_(* \(#,##0.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sz val="11"/>
      <color indexed="18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strike/>
      <sz val="11"/>
      <color rgb="FF00B050"/>
      <name val="Arial"/>
      <family val="2"/>
    </font>
    <font>
      <sz val="18"/>
      <color rgb="FFFF0000"/>
      <name val="Arial"/>
      <family val="2"/>
    </font>
    <font>
      <sz val="11"/>
      <color rgb="FF0066CC"/>
      <name val="Arial"/>
      <family val="2"/>
    </font>
    <font>
      <b/>
      <sz val="16"/>
      <color rgb="FFFF0000"/>
      <name val="Arial"/>
      <family val="2"/>
    </font>
    <font>
      <sz val="9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theme="3" tint="0.59999389629810485"/>
        <bgColor indexed="64"/>
      </patternFill>
    </fill>
    <fill>
      <patternFill patternType="gray0625">
        <bgColor theme="3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3" fontId="8" fillId="2" borderId="1" xfId="4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3" fontId="8" fillId="2" borderId="1" xfId="4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8" fillId="0" borderId="1" xfId="4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3" fontId="8" fillId="0" borderId="0" xfId="4" applyFont="1" applyAlignment="1">
      <alignment horizontal="center" vertical="center"/>
    </xf>
    <xf numFmtId="43" fontId="10" fillId="0" borderId="0" xfId="4" applyFont="1" applyAlignment="1">
      <alignment horizontal="center" vertical="center"/>
    </xf>
    <xf numFmtId="43" fontId="17" fillId="2" borderId="1" xfId="4" applyFont="1" applyFill="1" applyBorder="1" applyAlignment="1">
      <alignment horizontal="left" vertical="center" wrapText="1"/>
    </xf>
    <xf numFmtId="43" fontId="17" fillId="0" borderId="1" xfId="4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 shrinkToFit="1"/>
    </xf>
    <xf numFmtId="43" fontId="8" fillId="4" borderId="1" xfId="4" applyFont="1" applyFill="1" applyBorder="1" applyAlignment="1">
      <alignment horizontal="center" vertical="center" wrapText="1"/>
    </xf>
    <xf numFmtId="9" fontId="8" fillId="4" borderId="1" xfId="3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3" fontId="17" fillId="4" borderId="1" xfId="4" applyFont="1" applyFill="1" applyBorder="1" applyAlignment="1">
      <alignment horizontal="left" vertical="center" wrapText="1"/>
    </xf>
    <xf numFmtId="43" fontId="8" fillId="4" borderId="1" xfId="4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43" fontId="8" fillId="0" borderId="1" xfId="4" applyFont="1" applyFill="1" applyBorder="1" applyAlignment="1">
      <alignment vertical="center" wrapText="1"/>
    </xf>
    <xf numFmtId="38" fontId="18" fillId="0" borderId="1" xfId="0" applyNumberFormat="1" applyFont="1" applyBorder="1" applyAlignment="1">
      <alignment horizontal="center" vertical="center"/>
    </xf>
    <xf numFmtId="43" fontId="17" fillId="2" borderId="2" xfId="4" applyFont="1" applyFill="1" applyBorder="1" applyAlignment="1">
      <alignment horizontal="left" vertical="center" wrapText="1"/>
    </xf>
    <xf numFmtId="38" fontId="18" fillId="0" borderId="1" xfId="0" applyNumberFormat="1" applyFont="1" applyFill="1" applyBorder="1" applyAlignment="1">
      <alignment horizontal="center" vertical="center"/>
    </xf>
    <xf numFmtId="40" fontId="8" fillId="2" borderId="1" xfId="4" applyNumberFormat="1" applyFont="1" applyFill="1" applyBorder="1" applyAlignment="1">
      <alignment horizontal="right" vertical="center" wrapText="1"/>
    </xf>
    <xf numFmtId="40" fontId="8" fillId="4" borderId="1" xfId="4" applyNumberFormat="1" applyFont="1" applyFill="1" applyBorder="1" applyAlignment="1">
      <alignment horizontal="right" vertical="center" wrapText="1"/>
    </xf>
    <xf numFmtId="40" fontId="8" fillId="0" borderId="1" xfId="4" applyNumberFormat="1" applyFont="1" applyFill="1" applyBorder="1" applyAlignment="1">
      <alignment horizontal="right" vertical="center" wrapText="1"/>
    </xf>
    <xf numFmtId="43" fontId="8" fillId="0" borderId="1" xfId="5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3" fontId="8" fillId="0" borderId="0" xfId="4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0" fontId="8" fillId="4" borderId="0" xfId="0" applyFont="1" applyFill="1" applyAlignment="1">
      <alignment horizontal="center" vertical="center"/>
    </xf>
    <xf numFmtId="9" fontId="8" fillId="4" borderId="1" xfId="3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43" fontId="14" fillId="4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/>
    </xf>
    <xf numFmtId="9" fontId="8" fillId="0" borderId="1" xfId="3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43" fontId="7" fillId="5" borderId="1" xfId="4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7" fillId="0" borderId="4" xfId="4" applyFont="1" applyFill="1" applyBorder="1" applyAlignment="1">
      <alignment horizontal="center" vertical="center" wrapText="1"/>
    </xf>
    <xf numFmtId="43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2" fontId="8" fillId="0" borderId="4" xfId="3" applyNumberFormat="1" applyFont="1" applyFill="1" applyBorder="1" applyAlignment="1">
      <alignment horizontal="center" vertical="center" wrapText="1"/>
    </xf>
    <xf numFmtId="9" fontId="8" fillId="0" borderId="4" xfId="3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3" fontId="8" fillId="0" borderId="4" xfId="4" applyFont="1" applyFill="1" applyBorder="1" applyAlignment="1">
      <alignment horizontal="left" vertical="center" wrapText="1"/>
    </xf>
    <xf numFmtId="43" fontId="8" fillId="0" borderId="4" xfId="4" applyFont="1" applyFill="1" applyBorder="1" applyAlignment="1">
      <alignment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43" fontId="23" fillId="0" borderId="4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Fill="1" applyBorder="1" applyAlignment="1">
      <alignment horizontal="center" vertical="center" wrapText="1"/>
    </xf>
    <xf numFmtId="2" fontId="27" fillId="0" borderId="4" xfId="3" applyNumberFormat="1" applyFont="1" applyFill="1" applyBorder="1" applyAlignment="1">
      <alignment horizontal="center" vertical="center" wrapText="1"/>
    </xf>
    <xf numFmtId="165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3" fontId="10" fillId="0" borderId="4" xfId="4" applyFont="1" applyFill="1" applyBorder="1" applyAlignment="1">
      <alignment horizontal="left" vertical="center" wrapText="1"/>
    </xf>
    <xf numFmtId="43" fontId="10" fillId="0" borderId="4" xfId="4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43" fontId="23" fillId="6" borderId="1" xfId="0" applyNumberFormat="1" applyFont="1" applyFill="1" applyBorder="1" applyAlignment="1">
      <alignment horizontal="center" vertical="center" wrapText="1"/>
    </xf>
    <xf numFmtId="2" fontId="27" fillId="6" borderId="1" xfId="3" applyNumberFormat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43" fontId="10" fillId="6" borderId="1" xfId="4" applyFont="1" applyFill="1" applyBorder="1" applyAlignment="1">
      <alignment horizontal="left" vertical="center" wrapText="1"/>
    </xf>
    <xf numFmtId="43" fontId="10" fillId="6" borderId="1" xfId="4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43" fontId="7" fillId="7" borderId="1" xfId="4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43" fontId="10" fillId="8" borderId="1" xfId="4" applyFont="1" applyFill="1" applyBorder="1" applyAlignment="1">
      <alignment horizontal="left" vertical="center" wrapText="1"/>
    </xf>
    <xf numFmtId="43" fontId="10" fillId="8" borderId="1" xfId="4" applyFont="1" applyFill="1" applyBorder="1" applyAlignment="1">
      <alignment vertical="center" wrapText="1"/>
    </xf>
    <xf numFmtId="43" fontId="17" fillId="4" borderId="1" xfId="4" quotePrefix="1" applyFont="1" applyFill="1" applyBorder="1" applyAlignment="1">
      <alignment horizontal="center" vertical="center" wrapText="1"/>
    </xf>
    <xf numFmtId="0" fontId="17" fillId="4" borderId="1" xfId="0" quotePrefix="1" applyFont="1" applyFill="1" applyBorder="1" applyAlignment="1">
      <alignment horizontal="center" vertical="center" wrapText="1"/>
    </xf>
    <xf numFmtId="43" fontId="17" fillId="2" borderId="1" xfId="4" applyFont="1" applyFill="1" applyBorder="1" applyAlignment="1">
      <alignment horizontal="center" vertical="center" wrapText="1"/>
    </xf>
    <xf numFmtId="43" fontId="17" fillId="0" borderId="1" xfId="4" quotePrefix="1" applyFont="1" applyFill="1" applyBorder="1" applyAlignment="1">
      <alignment horizontal="center" vertical="center" wrapText="1"/>
    </xf>
    <xf numFmtId="43" fontId="17" fillId="2" borderId="2" xfId="4" quotePrefix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43" fontId="17" fillId="4" borderId="1" xfId="4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top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21" fillId="5" borderId="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164" fontId="8" fillId="4" borderId="0" xfId="0" applyNumberFormat="1" applyFont="1" applyFill="1" applyAlignment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2" borderId="1" xfId="4" applyNumberFormat="1" applyFont="1" applyFill="1" applyBorder="1" applyAlignment="1">
      <alignment vertical="center" wrapText="1"/>
    </xf>
    <xf numFmtId="164" fontId="8" fillId="4" borderId="0" xfId="0" applyNumberFormat="1" applyFont="1" applyFill="1" applyBorder="1" applyAlignment="1">
      <alignment horizontal="center" vertical="center"/>
    </xf>
    <xf numFmtId="9" fontId="7" fillId="10" borderId="1" xfId="3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 wrapText="1"/>
    </xf>
    <xf numFmtId="0" fontId="8" fillId="4" borderId="1" xfId="4" applyNumberFormat="1" applyFont="1" applyFill="1" applyBorder="1" applyAlignment="1">
      <alignment vertical="center" wrapText="1"/>
    </xf>
    <xf numFmtId="4" fontId="8" fillId="2" borderId="1" xfId="3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3" fontId="17" fillId="2" borderId="1" xfId="4" quotePrefix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3" fontId="23" fillId="2" borderId="1" xfId="4" applyFont="1" applyFill="1" applyBorder="1" applyAlignment="1">
      <alignment vertical="center" wrapText="1"/>
    </xf>
    <xf numFmtId="43" fontId="24" fillId="4" borderId="1" xfId="4" applyFont="1" applyFill="1" applyBorder="1" applyAlignment="1">
      <alignment vertical="center" wrapText="1"/>
    </xf>
    <xf numFmtId="1" fontId="17" fillId="4" borderId="1" xfId="4" quotePrefix="1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 wrapText="1"/>
    </xf>
    <xf numFmtId="43" fontId="29" fillId="4" borderId="1" xfId="4" quotePrefix="1" applyFont="1" applyFill="1" applyBorder="1" applyAlignment="1">
      <alignment horizontal="center" vertical="center" wrapText="1"/>
    </xf>
    <xf numFmtId="43" fontId="24" fillId="4" borderId="1" xfId="4" applyFont="1" applyFill="1" applyBorder="1" applyAlignment="1">
      <alignment horizontal="center" vertical="center" wrapText="1"/>
    </xf>
    <xf numFmtId="9" fontId="24" fillId="4" borderId="1" xfId="3" applyFont="1" applyFill="1" applyBorder="1" applyAlignment="1">
      <alignment horizontal="center" vertical="center" wrapText="1"/>
    </xf>
    <xf numFmtId="165" fontId="24" fillId="4" borderId="1" xfId="0" applyNumberFormat="1" applyFont="1" applyFill="1" applyBorder="1" applyAlignment="1">
      <alignment horizontal="center" vertical="center" wrapText="1"/>
    </xf>
    <xf numFmtId="43" fontId="29" fillId="4" borderId="1" xfId="4" applyFont="1" applyFill="1" applyBorder="1" applyAlignment="1">
      <alignment horizontal="left" vertical="center" wrapText="1"/>
    </xf>
    <xf numFmtId="43" fontId="23" fillId="4" borderId="1" xfId="4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43" fontId="8" fillId="4" borderId="0" xfId="4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43" fontId="8" fillId="0" borderId="1" xfId="4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6" fontId="8" fillId="4" borderId="1" xfId="4" applyNumberFormat="1" applyFont="1" applyFill="1" applyBorder="1" applyAlignment="1">
      <alignment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166" fontId="24" fillId="4" borderId="1" xfId="4" applyNumberFormat="1" applyFont="1" applyFill="1" applyBorder="1" applyAlignment="1">
      <alignment vertical="center" wrapText="1"/>
    </xf>
    <xf numFmtId="9" fontId="24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9" borderId="0" xfId="0" applyFont="1" applyFill="1" applyAlignment="1">
      <alignment horizontal="center" vertical="center"/>
    </xf>
  </cellXfs>
  <cellStyles count="6">
    <cellStyle name="Comma" xfId="4" builtinId="3"/>
    <cellStyle name="Normal" xfId="0" builtinId="0"/>
    <cellStyle name="Normal 2" xfId="1"/>
    <cellStyle name="Normal 6" xfId="2"/>
    <cellStyle name="Percent" xfId="3" builtinId="5"/>
    <cellStyle name="Vírgula 2 2" xfId="5"/>
  </cellStyles>
  <dxfs count="91"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  <dxf>
      <font>
        <color rgb="FFFF6600"/>
      </font>
      <fill>
        <patternFill>
          <bgColor rgb="FFFFCC99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228600</xdr:rowOff>
    </xdr:from>
    <xdr:to>
      <xdr:col>1</xdr:col>
      <xdr:colOff>1819275</xdr:colOff>
      <xdr:row>3</xdr:row>
      <xdr:rowOff>238125</xdr:rowOff>
    </xdr:to>
    <xdr:pic>
      <xdr:nvPicPr>
        <xdr:cNvPr id="105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28600"/>
          <a:ext cx="21050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4"/>
  <sheetViews>
    <sheetView showGridLines="0" tabSelected="1" view="pageLayout" topLeftCell="A30" zoomScaleNormal="85" zoomScaleSheetLayoutView="70" workbookViewId="0">
      <selection activeCell="B38" sqref="B38"/>
    </sheetView>
  </sheetViews>
  <sheetFormatPr defaultColWidth="20.7109375" defaultRowHeight="30" customHeight="1" x14ac:dyDescent="0.25"/>
  <cols>
    <col min="1" max="1" width="9.140625" style="6" customWidth="1"/>
    <col min="2" max="2" width="59.5703125" style="8" customWidth="1"/>
    <col min="3" max="3" width="18.85546875" style="8" customWidth="1"/>
    <col min="4" max="4" width="16" style="9" customWidth="1"/>
    <col min="5" max="5" width="25.7109375" style="6" customWidth="1"/>
    <col min="6" max="6" width="10.85546875" style="6" customWidth="1"/>
    <col min="7" max="8" width="12.5703125" style="73" bestFit="1" customWidth="1"/>
    <col min="9" max="9" width="11.42578125" style="10" customWidth="1"/>
    <col min="10" max="10" width="10.42578125" style="11" customWidth="1"/>
    <col min="11" max="11" width="12.140625" style="6" customWidth="1"/>
    <col min="12" max="12" width="58.28515625" style="8" customWidth="1"/>
    <col min="13" max="13" width="41.5703125" style="8" customWidth="1"/>
    <col min="14" max="15" width="20.7109375" style="5"/>
    <col min="16" max="16" width="10.5703125" style="5" customWidth="1"/>
    <col min="17" max="17" width="19" style="5" bestFit="1" customWidth="1"/>
    <col min="18" max="16384" width="20.7109375" style="5"/>
  </cols>
  <sheetData>
    <row r="1" spans="1:20" ht="28.5" customHeight="1" x14ac:dyDescent="0.25">
      <c r="A1" s="185" t="s">
        <v>60</v>
      </c>
      <c r="B1" s="185"/>
      <c r="C1" s="185"/>
      <c r="D1" s="185"/>
      <c r="E1" s="185"/>
      <c r="F1" s="185"/>
      <c r="G1" s="186"/>
      <c r="H1" s="186"/>
      <c r="I1" s="185"/>
      <c r="J1" s="185"/>
      <c r="K1" s="185"/>
      <c r="L1" s="185"/>
      <c r="M1" s="185"/>
    </row>
    <row r="2" spans="1:20" ht="23.25" x14ac:dyDescent="0.25">
      <c r="A2" s="185" t="s">
        <v>61</v>
      </c>
      <c r="B2" s="185"/>
      <c r="C2" s="185"/>
      <c r="D2" s="185"/>
      <c r="E2" s="185"/>
      <c r="F2" s="185"/>
      <c r="G2" s="186"/>
      <c r="H2" s="186"/>
      <c r="I2" s="185"/>
      <c r="J2" s="185"/>
      <c r="K2" s="185"/>
      <c r="L2" s="185"/>
      <c r="M2" s="185"/>
    </row>
    <row r="3" spans="1:20" ht="23.25" x14ac:dyDescent="0.25">
      <c r="A3" s="185" t="s">
        <v>62</v>
      </c>
      <c r="B3" s="185"/>
      <c r="C3" s="185"/>
      <c r="D3" s="185"/>
      <c r="E3" s="185"/>
      <c r="F3" s="185"/>
      <c r="G3" s="186"/>
      <c r="H3" s="186"/>
      <c r="I3" s="185"/>
      <c r="J3" s="185"/>
      <c r="K3" s="185"/>
      <c r="L3" s="185"/>
      <c r="M3" s="185"/>
    </row>
    <row r="4" spans="1:20" ht="23.25" x14ac:dyDescent="0.25">
      <c r="A4" s="185" t="s">
        <v>63</v>
      </c>
      <c r="B4" s="185"/>
      <c r="C4" s="185"/>
      <c r="D4" s="185"/>
      <c r="E4" s="185"/>
      <c r="F4" s="185"/>
      <c r="G4" s="186"/>
      <c r="H4" s="186"/>
      <c r="I4" s="185"/>
      <c r="J4" s="185"/>
      <c r="K4" s="185"/>
      <c r="L4" s="185"/>
      <c r="M4" s="185"/>
    </row>
    <row r="5" spans="1:20" ht="23.25" x14ac:dyDescent="0.25">
      <c r="A5" s="1"/>
      <c r="B5" s="2"/>
      <c r="C5" s="2"/>
      <c r="D5" s="3"/>
      <c r="E5" s="2"/>
      <c r="F5" s="84"/>
      <c r="G5" s="180" t="s">
        <v>786</v>
      </c>
      <c r="H5" s="85"/>
      <c r="I5" s="84"/>
      <c r="J5" s="2"/>
      <c r="K5" s="2"/>
      <c r="L5" s="4"/>
      <c r="M5" s="2"/>
    </row>
    <row r="6" spans="1:20" ht="20.25" x14ac:dyDescent="0.25">
      <c r="A6" s="187" t="s">
        <v>799</v>
      </c>
      <c r="B6" s="188"/>
      <c r="C6" s="188"/>
      <c r="D6" s="188"/>
      <c r="E6" s="188"/>
      <c r="F6" s="188"/>
      <c r="G6" s="189"/>
      <c r="H6" s="189"/>
      <c r="I6" s="188"/>
      <c r="J6" s="188"/>
      <c r="K6" s="188"/>
      <c r="L6" s="188"/>
      <c r="M6" s="188"/>
    </row>
    <row r="7" spans="1:20" ht="18" x14ac:dyDescent="0.25">
      <c r="A7" s="183" t="s">
        <v>625</v>
      </c>
      <c r="B7" s="183"/>
      <c r="C7" s="183"/>
      <c r="D7" s="183"/>
      <c r="E7" s="183"/>
      <c r="F7" s="183"/>
      <c r="G7" s="184"/>
      <c r="H7" s="184"/>
      <c r="I7" s="183"/>
      <c r="J7" s="183"/>
      <c r="K7" s="183"/>
      <c r="L7" s="183"/>
      <c r="M7" s="183"/>
    </row>
    <row r="8" spans="1:20" ht="18" x14ac:dyDescent="0.25">
      <c r="A8" s="146"/>
      <c r="B8" s="146"/>
      <c r="C8" s="146"/>
      <c r="D8" s="146"/>
      <c r="E8" s="146"/>
      <c r="F8" s="146"/>
      <c r="G8" s="150"/>
      <c r="H8" s="150"/>
      <c r="I8" s="146"/>
      <c r="J8" s="146"/>
      <c r="K8" s="146"/>
      <c r="L8" s="146"/>
      <c r="M8" s="146"/>
    </row>
    <row r="9" spans="1:20" ht="14.25" x14ac:dyDescent="0.25"/>
    <row r="10" spans="1:20" s="12" customFormat="1" ht="45" x14ac:dyDescent="0.25">
      <c r="A10" s="116" t="s">
        <v>412</v>
      </c>
      <c r="B10" s="116" t="s">
        <v>117</v>
      </c>
      <c r="C10" s="116" t="s">
        <v>616</v>
      </c>
      <c r="D10" s="116" t="s">
        <v>21</v>
      </c>
      <c r="E10" s="117" t="s">
        <v>22</v>
      </c>
      <c r="F10" s="117" t="s">
        <v>23</v>
      </c>
      <c r="G10" s="116" t="s">
        <v>24</v>
      </c>
      <c r="H10" s="116" t="s">
        <v>473</v>
      </c>
      <c r="I10" s="118" t="s">
        <v>474</v>
      </c>
      <c r="J10" s="118" t="s">
        <v>483</v>
      </c>
      <c r="K10" s="117" t="s">
        <v>25</v>
      </c>
      <c r="L10" s="116" t="s">
        <v>267</v>
      </c>
      <c r="M10" s="119" t="s">
        <v>402</v>
      </c>
      <c r="P10" s="169" t="s">
        <v>793</v>
      </c>
      <c r="Q10" s="169" t="s">
        <v>797</v>
      </c>
    </row>
    <row r="11" spans="1:20" s="12" customFormat="1" ht="15" x14ac:dyDescent="0.25">
      <c r="A11" s="87"/>
      <c r="B11" s="87"/>
      <c r="C11" s="87"/>
      <c r="D11" s="87"/>
      <c r="E11" s="113"/>
      <c r="F11" s="113"/>
      <c r="G11" s="87"/>
      <c r="H11" s="87"/>
      <c r="I11" s="114"/>
      <c r="J11" s="114"/>
      <c r="K11" s="113"/>
      <c r="L11" s="87"/>
      <c r="M11" s="115"/>
    </row>
    <row r="12" spans="1:20" s="12" customFormat="1" ht="24.75" customHeight="1" x14ac:dyDescent="0.25">
      <c r="A12" s="139" t="s">
        <v>59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8"/>
    </row>
    <row r="13" spans="1:20" s="55" customFormat="1" ht="60" x14ac:dyDescent="0.25">
      <c r="A13" s="43" t="s">
        <v>179</v>
      </c>
      <c r="B13" s="51" t="s">
        <v>313</v>
      </c>
      <c r="C13" s="127" t="s">
        <v>619</v>
      </c>
      <c r="D13" s="45">
        <v>28.001000000000001</v>
      </c>
      <c r="E13" s="43" t="s">
        <v>127</v>
      </c>
      <c r="F13" s="43" t="s">
        <v>130</v>
      </c>
      <c r="G13" s="46">
        <v>0.37</v>
      </c>
      <c r="H13" s="46">
        <v>0.63</v>
      </c>
      <c r="I13" s="21" t="s">
        <v>292</v>
      </c>
      <c r="J13" s="21" t="s">
        <v>290</v>
      </c>
      <c r="K13" s="43" t="s">
        <v>309</v>
      </c>
      <c r="L13" s="48" t="s">
        <v>274</v>
      </c>
      <c r="M13" s="49"/>
      <c r="N13" s="50"/>
      <c r="O13" s="50"/>
      <c r="P13" s="43" t="s">
        <v>792</v>
      </c>
      <c r="Q13" s="49">
        <f>+$D13*G13</f>
        <v>10.36037</v>
      </c>
    </row>
    <row r="14" spans="1:20" s="50" customFormat="1" ht="36" x14ac:dyDescent="0.25">
      <c r="A14" s="43" t="s">
        <v>170</v>
      </c>
      <c r="B14" s="51" t="s">
        <v>133</v>
      </c>
      <c r="C14" s="127" t="s">
        <v>620</v>
      </c>
      <c r="D14" s="45">
        <v>25.55</v>
      </c>
      <c r="E14" s="43" t="s">
        <v>127</v>
      </c>
      <c r="F14" s="43" t="s">
        <v>130</v>
      </c>
      <c r="G14" s="46">
        <v>0.28000000000000003</v>
      </c>
      <c r="H14" s="46">
        <v>0.72</v>
      </c>
      <c r="I14" s="21" t="s">
        <v>292</v>
      </c>
      <c r="J14" s="21" t="s">
        <v>290</v>
      </c>
      <c r="K14" s="43" t="s">
        <v>309</v>
      </c>
      <c r="L14" s="48" t="s">
        <v>275</v>
      </c>
      <c r="M14" s="49"/>
      <c r="N14" s="55"/>
      <c r="O14" s="55"/>
      <c r="P14" s="43" t="s">
        <v>792</v>
      </c>
      <c r="Q14" s="49">
        <f t="shared" ref="Q14:Q77" si="0">+$D14*G14</f>
        <v>7.1540000000000008</v>
      </c>
    </row>
    <row r="15" spans="1:20" s="55" customFormat="1" ht="36" x14ac:dyDescent="0.25">
      <c r="A15" s="43" t="s">
        <v>171</v>
      </c>
      <c r="B15" s="51" t="s">
        <v>134</v>
      </c>
      <c r="C15" s="127" t="s">
        <v>620</v>
      </c>
      <c r="D15" s="45">
        <v>115.182</v>
      </c>
      <c r="E15" s="43" t="s">
        <v>127</v>
      </c>
      <c r="F15" s="43" t="s">
        <v>130</v>
      </c>
      <c r="G15" s="46">
        <v>0.57999999999999996</v>
      </c>
      <c r="H15" s="46">
        <v>0.42</v>
      </c>
      <c r="I15" s="21" t="s">
        <v>292</v>
      </c>
      <c r="J15" s="21" t="s">
        <v>290</v>
      </c>
      <c r="K15" s="43" t="s">
        <v>309</v>
      </c>
      <c r="L15" s="48" t="s">
        <v>276</v>
      </c>
      <c r="M15" s="49"/>
      <c r="P15" s="43" t="s">
        <v>792</v>
      </c>
      <c r="Q15" s="49">
        <f t="shared" si="0"/>
        <v>66.80556</v>
      </c>
    </row>
    <row r="16" spans="1:20" s="54" customFormat="1" ht="24" x14ac:dyDescent="0.25">
      <c r="A16" s="43" t="s">
        <v>284</v>
      </c>
      <c r="B16" s="51" t="s">
        <v>135</v>
      </c>
      <c r="C16" s="127" t="s">
        <v>620</v>
      </c>
      <c r="D16" s="45">
        <f>771.93-506.15</f>
        <v>265.77999999999997</v>
      </c>
      <c r="E16" s="43" t="s">
        <v>127</v>
      </c>
      <c r="F16" s="43" t="s">
        <v>130</v>
      </c>
      <c r="G16" s="46">
        <v>1</v>
      </c>
      <c r="H16" s="46">
        <v>0</v>
      </c>
      <c r="I16" s="21">
        <v>42278</v>
      </c>
      <c r="J16" s="21">
        <v>42705</v>
      </c>
      <c r="K16" s="43" t="s">
        <v>132</v>
      </c>
      <c r="L16" s="48" t="s">
        <v>693</v>
      </c>
      <c r="M16" s="49"/>
      <c r="N16" s="50"/>
      <c r="O16" s="50"/>
      <c r="P16" s="43" t="s">
        <v>792</v>
      </c>
      <c r="Q16" s="49">
        <f t="shared" si="0"/>
        <v>265.77999999999997</v>
      </c>
      <c r="T16" s="55"/>
    </row>
    <row r="17" spans="1:17" s="50" customFormat="1" ht="48" x14ac:dyDescent="0.25">
      <c r="A17" s="43" t="s">
        <v>172</v>
      </c>
      <c r="B17" s="51" t="s">
        <v>136</v>
      </c>
      <c r="C17" s="127" t="s">
        <v>619</v>
      </c>
      <c r="D17" s="45">
        <v>99.33</v>
      </c>
      <c r="E17" s="43" t="s">
        <v>127</v>
      </c>
      <c r="F17" s="43" t="s">
        <v>130</v>
      </c>
      <c r="G17" s="46">
        <v>0.52</v>
      </c>
      <c r="H17" s="46">
        <v>0.48</v>
      </c>
      <c r="I17" s="21" t="s">
        <v>292</v>
      </c>
      <c r="J17" s="21" t="s">
        <v>290</v>
      </c>
      <c r="K17" s="43" t="s">
        <v>309</v>
      </c>
      <c r="L17" s="48" t="s">
        <v>269</v>
      </c>
      <c r="M17" s="49"/>
      <c r="N17" s="56"/>
      <c r="O17" s="56"/>
      <c r="P17" s="43" t="s">
        <v>792</v>
      </c>
      <c r="Q17" s="49">
        <f t="shared" si="0"/>
        <v>51.651600000000002</v>
      </c>
    </row>
    <row r="18" spans="1:17" s="56" customFormat="1" ht="36" x14ac:dyDescent="0.25">
      <c r="A18" s="43" t="s">
        <v>173</v>
      </c>
      <c r="B18" s="51" t="s">
        <v>137</v>
      </c>
      <c r="C18" s="127" t="s">
        <v>619</v>
      </c>
      <c r="D18" s="45">
        <v>65.567999999999998</v>
      </c>
      <c r="E18" s="43" t="s">
        <v>127</v>
      </c>
      <c r="F18" s="43" t="s">
        <v>130</v>
      </c>
      <c r="G18" s="46">
        <v>1</v>
      </c>
      <c r="H18" s="46">
        <v>0</v>
      </c>
      <c r="I18" s="21" t="s">
        <v>292</v>
      </c>
      <c r="J18" s="21" t="s">
        <v>290</v>
      </c>
      <c r="K18" s="43" t="s">
        <v>309</v>
      </c>
      <c r="L18" s="48" t="s">
        <v>270</v>
      </c>
      <c r="M18" s="49"/>
      <c r="P18" s="43" t="s">
        <v>792</v>
      </c>
      <c r="Q18" s="49">
        <f t="shared" si="0"/>
        <v>65.567999999999998</v>
      </c>
    </row>
    <row r="19" spans="1:17" s="56" customFormat="1" ht="36" x14ac:dyDescent="0.25">
      <c r="A19" s="43" t="s">
        <v>174</v>
      </c>
      <c r="B19" s="51" t="s">
        <v>138</v>
      </c>
      <c r="C19" s="127" t="s">
        <v>620</v>
      </c>
      <c r="D19" s="45">
        <v>47.939</v>
      </c>
      <c r="E19" s="43" t="s">
        <v>127</v>
      </c>
      <c r="F19" s="43" t="s">
        <v>130</v>
      </c>
      <c r="G19" s="46">
        <v>0.46</v>
      </c>
      <c r="H19" s="46">
        <v>0.54</v>
      </c>
      <c r="I19" s="21" t="s">
        <v>292</v>
      </c>
      <c r="J19" s="21" t="s">
        <v>290</v>
      </c>
      <c r="K19" s="43" t="s">
        <v>309</v>
      </c>
      <c r="L19" s="48" t="s">
        <v>277</v>
      </c>
      <c r="M19" s="49"/>
      <c r="P19" s="43" t="s">
        <v>792</v>
      </c>
      <c r="Q19" s="49">
        <f t="shared" si="0"/>
        <v>22.051940000000002</v>
      </c>
    </row>
    <row r="20" spans="1:17" s="20" customFormat="1" ht="28.5" x14ac:dyDescent="0.25">
      <c r="A20" s="43" t="s">
        <v>175</v>
      </c>
      <c r="B20" s="51" t="s">
        <v>139</v>
      </c>
      <c r="C20" s="127" t="s">
        <v>620</v>
      </c>
      <c r="D20" s="45">
        <v>1070.8620000000001</v>
      </c>
      <c r="E20" s="43" t="s">
        <v>128</v>
      </c>
      <c r="F20" s="43" t="s">
        <v>131</v>
      </c>
      <c r="G20" s="46">
        <v>0</v>
      </c>
      <c r="H20" s="46">
        <v>1</v>
      </c>
      <c r="I20" s="21">
        <v>42370</v>
      </c>
      <c r="J20" s="21">
        <v>42705</v>
      </c>
      <c r="K20" s="43" t="s">
        <v>132</v>
      </c>
      <c r="L20" s="48" t="s">
        <v>694</v>
      </c>
      <c r="M20" s="49"/>
      <c r="N20" s="50"/>
      <c r="O20" s="50"/>
      <c r="P20" s="43" t="s">
        <v>792</v>
      </c>
      <c r="Q20" s="49">
        <f t="shared" si="0"/>
        <v>0</v>
      </c>
    </row>
    <row r="21" spans="1:17" s="20" customFormat="1" ht="36" x14ac:dyDescent="0.25">
      <c r="A21" s="43" t="s">
        <v>176</v>
      </c>
      <c r="B21" s="51" t="s">
        <v>140</v>
      </c>
      <c r="C21" s="127" t="s">
        <v>620</v>
      </c>
      <c r="D21" s="45">
        <f>(1436.76+511.57)/1000</f>
        <v>1.9483299999999999</v>
      </c>
      <c r="E21" s="43" t="s">
        <v>127</v>
      </c>
      <c r="F21" s="43" t="s">
        <v>130</v>
      </c>
      <c r="G21" s="46">
        <v>0.43</v>
      </c>
      <c r="H21" s="46">
        <v>0.56999999999999995</v>
      </c>
      <c r="I21" s="21">
        <v>40848</v>
      </c>
      <c r="J21" s="21" t="s">
        <v>290</v>
      </c>
      <c r="K21" s="43" t="s">
        <v>309</v>
      </c>
      <c r="L21" s="48" t="s">
        <v>278</v>
      </c>
      <c r="M21" s="49"/>
      <c r="N21" s="50"/>
      <c r="O21" s="50"/>
      <c r="P21" s="43" t="s">
        <v>792</v>
      </c>
      <c r="Q21" s="49">
        <f t="shared" si="0"/>
        <v>0.83778189999999997</v>
      </c>
    </row>
    <row r="22" spans="1:17" s="50" customFormat="1" ht="48" x14ac:dyDescent="0.25">
      <c r="A22" s="43" t="s">
        <v>177</v>
      </c>
      <c r="B22" s="51" t="s">
        <v>141</v>
      </c>
      <c r="C22" s="127" t="s">
        <v>619</v>
      </c>
      <c r="D22" s="45">
        <v>3674.52</v>
      </c>
      <c r="E22" s="43" t="s">
        <v>127</v>
      </c>
      <c r="F22" s="43" t="s">
        <v>130</v>
      </c>
      <c r="G22" s="46">
        <v>0.06</v>
      </c>
      <c r="H22" s="46">
        <v>0.94</v>
      </c>
      <c r="I22" s="21" t="s">
        <v>292</v>
      </c>
      <c r="J22" s="21">
        <v>40878</v>
      </c>
      <c r="K22" s="43" t="s">
        <v>309</v>
      </c>
      <c r="L22" s="48" t="s">
        <v>279</v>
      </c>
      <c r="M22" s="49"/>
      <c r="P22" s="43" t="s">
        <v>792</v>
      </c>
      <c r="Q22" s="49">
        <f t="shared" si="0"/>
        <v>220.47119999999998</v>
      </c>
    </row>
    <row r="23" spans="1:17" s="56" customFormat="1" ht="24" x14ac:dyDescent="0.25">
      <c r="A23" s="43" t="s">
        <v>178</v>
      </c>
      <c r="B23" s="51" t="s">
        <v>142</v>
      </c>
      <c r="C23" s="127" t="s">
        <v>621</v>
      </c>
      <c r="D23" s="45">
        <v>9879.76</v>
      </c>
      <c r="E23" s="43" t="s">
        <v>121</v>
      </c>
      <c r="F23" s="43" t="s">
        <v>131</v>
      </c>
      <c r="G23" s="46">
        <v>0.76</v>
      </c>
      <c r="H23" s="46">
        <v>0.24</v>
      </c>
      <c r="I23" s="21">
        <v>41395</v>
      </c>
      <c r="J23" s="21">
        <v>42186</v>
      </c>
      <c r="K23" s="70" t="s">
        <v>309</v>
      </c>
      <c r="L23" s="48" t="s">
        <v>695</v>
      </c>
      <c r="M23" s="49"/>
      <c r="N23" s="50"/>
      <c r="O23" s="50"/>
      <c r="P23" s="43" t="s">
        <v>792</v>
      </c>
      <c r="Q23" s="49">
        <f t="shared" si="0"/>
        <v>7508.6176000000005</v>
      </c>
    </row>
    <row r="24" spans="1:17" s="56" customFormat="1" ht="24" x14ac:dyDescent="0.25">
      <c r="A24" s="43" t="s">
        <v>180</v>
      </c>
      <c r="B24" s="51" t="s">
        <v>143</v>
      </c>
      <c r="C24" s="127" t="s">
        <v>620</v>
      </c>
      <c r="D24" s="45">
        <v>276.31599999999997</v>
      </c>
      <c r="E24" s="43" t="s">
        <v>129</v>
      </c>
      <c r="F24" s="43" t="s">
        <v>130</v>
      </c>
      <c r="G24" s="46">
        <v>1</v>
      </c>
      <c r="H24" s="46">
        <v>0</v>
      </c>
      <c r="I24" s="21">
        <v>41091</v>
      </c>
      <c r="J24" s="21">
        <v>41334</v>
      </c>
      <c r="K24" s="43" t="s">
        <v>309</v>
      </c>
      <c r="L24" s="48" t="s">
        <v>571</v>
      </c>
      <c r="M24" s="49"/>
      <c r="N24" s="50"/>
      <c r="O24" s="50"/>
      <c r="P24" s="43" t="s">
        <v>792</v>
      </c>
      <c r="Q24" s="49">
        <f t="shared" si="0"/>
        <v>276.31599999999997</v>
      </c>
    </row>
    <row r="25" spans="1:17" s="56" customFormat="1" ht="24" x14ac:dyDescent="0.25">
      <c r="A25" s="43" t="s">
        <v>180</v>
      </c>
      <c r="B25" s="51" t="s">
        <v>143</v>
      </c>
      <c r="C25" s="127" t="s">
        <v>621</v>
      </c>
      <c r="D25" s="45">
        <v>1841.6569999999999</v>
      </c>
      <c r="E25" s="43" t="s">
        <v>129</v>
      </c>
      <c r="F25" s="43" t="s">
        <v>130</v>
      </c>
      <c r="G25" s="46">
        <v>0.83</v>
      </c>
      <c r="H25" s="46">
        <v>0.17</v>
      </c>
      <c r="I25" s="21">
        <v>41244</v>
      </c>
      <c r="J25" s="21">
        <v>41609</v>
      </c>
      <c r="K25" s="43" t="s">
        <v>309</v>
      </c>
      <c r="L25" s="48" t="s">
        <v>1</v>
      </c>
      <c r="M25" s="49"/>
      <c r="N25" s="50"/>
      <c r="O25" s="50"/>
      <c r="P25" s="43" t="s">
        <v>792</v>
      </c>
      <c r="Q25" s="49">
        <f t="shared" si="0"/>
        <v>1528.5753099999999</v>
      </c>
    </row>
    <row r="26" spans="1:17" s="50" customFormat="1" ht="28.5" x14ac:dyDescent="0.25">
      <c r="A26" s="43" t="s">
        <v>181</v>
      </c>
      <c r="B26" s="51" t="s">
        <v>322</v>
      </c>
      <c r="C26" s="127" t="s">
        <v>621</v>
      </c>
      <c r="D26" s="45">
        <v>109.52</v>
      </c>
      <c r="E26" s="43" t="s">
        <v>280</v>
      </c>
      <c r="F26" s="43" t="s">
        <v>130</v>
      </c>
      <c r="G26" s="46">
        <v>1</v>
      </c>
      <c r="H26" s="46">
        <v>0</v>
      </c>
      <c r="I26" s="47">
        <v>41699</v>
      </c>
      <c r="J26" s="47">
        <v>41974</v>
      </c>
      <c r="K26" s="43" t="s">
        <v>132</v>
      </c>
      <c r="L26" s="48" t="s">
        <v>428</v>
      </c>
      <c r="M26" s="49"/>
      <c r="P26" s="43" t="s">
        <v>792</v>
      </c>
      <c r="Q26" s="49">
        <f t="shared" si="0"/>
        <v>109.52</v>
      </c>
    </row>
    <row r="27" spans="1:17" s="50" customFormat="1" ht="42.75" x14ac:dyDescent="0.25">
      <c r="A27" s="43" t="s">
        <v>182</v>
      </c>
      <c r="B27" s="51" t="s">
        <v>357</v>
      </c>
      <c r="C27" s="127" t="s">
        <v>621</v>
      </c>
      <c r="D27" s="45">
        <v>337.53</v>
      </c>
      <c r="E27" s="43" t="s">
        <v>127</v>
      </c>
      <c r="F27" s="43" t="s">
        <v>130</v>
      </c>
      <c r="G27" s="46">
        <v>1</v>
      </c>
      <c r="H27" s="46">
        <v>0</v>
      </c>
      <c r="I27" s="21">
        <v>41214</v>
      </c>
      <c r="J27" s="21">
        <v>41306</v>
      </c>
      <c r="K27" s="43" t="s">
        <v>309</v>
      </c>
      <c r="L27" s="48" t="s">
        <v>440</v>
      </c>
      <c r="M27" s="49"/>
      <c r="P27" s="43" t="s">
        <v>792</v>
      </c>
      <c r="Q27" s="49">
        <f t="shared" si="0"/>
        <v>337.53</v>
      </c>
    </row>
    <row r="28" spans="1:17" s="50" customFormat="1" ht="42.75" x14ac:dyDescent="0.25">
      <c r="A28" s="43" t="s">
        <v>182</v>
      </c>
      <c r="B28" s="51" t="s">
        <v>358</v>
      </c>
      <c r="C28" s="127" t="s">
        <v>621</v>
      </c>
      <c r="D28" s="45">
        <v>101.31</v>
      </c>
      <c r="E28" s="43" t="s">
        <v>280</v>
      </c>
      <c r="F28" s="43" t="s">
        <v>130</v>
      </c>
      <c r="G28" s="46">
        <v>1</v>
      </c>
      <c r="H28" s="46">
        <v>0</v>
      </c>
      <c r="I28" s="21">
        <v>41000</v>
      </c>
      <c r="J28" s="21">
        <v>41030</v>
      </c>
      <c r="K28" s="43" t="s">
        <v>309</v>
      </c>
      <c r="L28" s="48" t="s">
        <v>439</v>
      </c>
      <c r="M28" s="49"/>
      <c r="P28" s="43" t="s">
        <v>792</v>
      </c>
      <c r="Q28" s="49">
        <f t="shared" si="0"/>
        <v>101.31</v>
      </c>
    </row>
    <row r="29" spans="1:17" s="50" customFormat="1" ht="36" x14ac:dyDescent="0.25">
      <c r="A29" s="43" t="s">
        <v>182</v>
      </c>
      <c r="B29" s="51" t="s">
        <v>348</v>
      </c>
      <c r="C29" s="127" t="s">
        <v>621</v>
      </c>
      <c r="D29" s="69">
        <v>175.46</v>
      </c>
      <c r="E29" s="43" t="s">
        <v>280</v>
      </c>
      <c r="F29" s="43" t="s">
        <v>130</v>
      </c>
      <c r="G29" s="46">
        <v>1</v>
      </c>
      <c r="H29" s="46">
        <v>0</v>
      </c>
      <c r="I29" s="21">
        <v>41244</v>
      </c>
      <c r="J29" s="21">
        <v>41334</v>
      </c>
      <c r="K29" s="43" t="s">
        <v>309</v>
      </c>
      <c r="L29" s="48" t="s">
        <v>440</v>
      </c>
      <c r="M29" s="49"/>
      <c r="P29" s="43" t="s">
        <v>792</v>
      </c>
      <c r="Q29" s="49">
        <f t="shared" si="0"/>
        <v>175.46</v>
      </c>
    </row>
    <row r="30" spans="1:17" s="50" customFormat="1" ht="42.75" x14ac:dyDescent="0.25">
      <c r="A30" s="43" t="s">
        <v>183</v>
      </c>
      <c r="B30" s="51" t="s">
        <v>349</v>
      </c>
      <c r="C30" s="127" t="s">
        <v>621</v>
      </c>
      <c r="D30" s="45">
        <v>98.97</v>
      </c>
      <c r="E30" s="43" t="s">
        <v>127</v>
      </c>
      <c r="F30" s="43" t="s">
        <v>130</v>
      </c>
      <c r="G30" s="46">
        <v>1</v>
      </c>
      <c r="H30" s="46">
        <v>0</v>
      </c>
      <c r="I30" s="21">
        <v>41000</v>
      </c>
      <c r="J30" s="21">
        <v>41091</v>
      </c>
      <c r="K30" s="43" t="s">
        <v>309</v>
      </c>
      <c r="L30" s="48" t="s">
        <v>440</v>
      </c>
      <c r="M30" s="49"/>
      <c r="N30" s="56"/>
      <c r="O30" s="56"/>
      <c r="P30" s="43" t="s">
        <v>792</v>
      </c>
      <c r="Q30" s="49">
        <f t="shared" si="0"/>
        <v>98.97</v>
      </c>
    </row>
    <row r="31" spans="1:17" s="50" customFormat="1" ht="28.5" x14ac:dyDescent="0.25">
      <c r="A31" s="43" t="s">
        <v>401</v>
      </c>
      <c r="B31" s="51" t="s">
        <v>144</v>
      </c>
      <c r="C31" s="127" t="s">
        <v>621</v>
      </c>
      <c r="D31" s="45">
        <f>34.856/1.85</f>
        <v>18.841081081081082</v>
      </c>
      <c r="E31" s="43" t="s">
        <v>127</v>
      </c>
      <c r="F31" s="43" t="s">
        <v>130</v>
      </c>
      <c r="G31" s="46">
        <v>0</v>
      </c>
      <c r="H31" s="46">
        <v>1</v>
      </c>
      <c r="I31" s="21">
        <v>40695</v>
      </c>
      <c r="J31" s="21">
        <v>40756</v>
      </c>
      <c r="K31" s="43" t="s">
        <v>309</v>
      </c>
      <c r="L31" s="48" t="s">
        <v>271</v>
      </c>
      <c r="M31" s="49"/>
      <c r="N31" s="56"/>
      <c r="O31" s="56"/>
      <c r="P31" s="43" t="s">
        <v>792</v>
      </c>
      <c r="Q31" s="49">
        <f t="shared" si="0"/>
        <v>0</v>
      </c>
    </row>
    <row r="32" spans="1:17" s="50" customFormat="1" ht="24" x14ac:dyDescent="0.25">
      <c r="A32" s="43" t="s">
        <v>184</v>
      </c>
      <c r="B32" s="51" t="s">
        <v>360</v>
      </c>
      <c r="C32" s="127" t="s">
        <v>621</v>
      </c>
      <c r="D32" s="45">
        <f>21.24/1.75</f>
        <v>12.137142857142857</v>
      </c>
      <c r="E32" s="43" t="s">
        <v>127</v>
      </c>
      <c r="F32" s="43" t="s">
        <v>130</v>
      </c>
      <c r="G32" s="46">
        <v>0</v>
      </c>
      <c r="H32" s="46">
        <v>1</v>
      </c>
      <c r="I32" s="21">
        <v>41091</v>
      </c>
      <c r="J32" s="21" t="s">
        <v>293</v>
      </c>
      <c r="K32" s="43" t="s">
        <v>309</v>
      </c>
      <c r="L32" s="48" t="s">
        <v>272</v>
      </c>
      <c r="M32" s="49"/>
      <c r="P32" s="43" t="s">
        <v>792</v>
      </c>
      <c r="Q32" s="49">
        <f t="shared" si="0"/>
        <v>0</v>
      </c>
    </row>
    <row r="33" spans="1:17" s="50" customFormat="1" ht="24" x14ac:dyDescent="0.25">
      <c r="A33" s="43" t="s">
        <v>184</v>
      </c>
      <c r="B33" s="51" t="s">
        <v>4</v>
      </c>
      <c r="C33" s="127" t="s">
        <v>621</v>
      </c>
      <c r="D33" s="69">
        <v>18.491</v>
      </c>
      <c r="E33" s="43" t="s">
        <v>127</v>
      </c>
      <c r="F33" s="43" t="s">
        <v>130</v>
      </c>
      <c r="G33" s="46">
        <v>0</v>
      </c>
      <c r="H33" s="46">
        <v>1</v>
      </c>
      <c r="I33" s="21">
        <v>41487</v>
      </c>
      <c r="J33" s="21">
        <v>41579</v>
      </c>
      <c r="K33" s="70" t="s">
        <v>309</v>
      </c>
      <c r="L33" s="48" t="s">
        <v>522</v>
      </c>
      <c r="M33" s="49"/>
      <c r="P33" s="43" t="s">
        <v>792</v>
      </c>
      <c r="Q33" s="49">
        <f t="shared" si="0"/>
        <v>0</v>
      </c>
    </row>
    <row r="34" spans="1:17" s="50" customFormat="1" ht="24" x14ac:dyDescent="0.25">
      <c r="A34" s="43" t="s">
        <v>184</v>
      </c>
      <c r="B34" s="51" t="s">
        <v>361</v>
      </c>
      <c r="C34" s="127" t="s">
        <v>621</v>
      </c>
      <c r="D34" s="69">
        <f>69.45/1.75</f>
        <v>39.68571428571429</v>
      </c>
      <c r="E34" s="43" t="s">
        <v>127</v>
      </c>
      <c r="F34" s="43" t="s">
        <v>130</v>
      </c>
      <c r="G34" s="46">
        <v>0</v>
      </c>
      <c r="H34" s="46">
        <v>1</v>
      </c>
      <c r="I34" s="21">
        <v>41091</v>
      </c>
      <c r="J34" s="21" t="s">
        <v>293</v>
      </c>
      <c r="K34" s="70" t="s">
        <v>309</v>
      </c>
      <c r="L34" s="48" t="s">
        <v>272</v>
      </c>
      <c r="M34" s="49"/>
      <c r="P34" s="43" t="s">
        <v>792</v>
      </c>
      <c r="Q34" s="49">
        <f t="shared" si="0"/>
        <v>0</v>
      </c>
    </row>
    <row r="35" spans="1:17" s="50" customFormat="1" ht="24" x14ac:dyDescent="0.25">
      <c r="A35" s="43" t="s">
        <v>184</v>
      </c>
      <c r="B35" s="51" t="s">
        <v>5</v>
      </c>
      <c r="C35" s="127" t="s">
        <v>621</v>
      </c>
      <c r="D35" s="69">
        <v>56.72</v>
      </c>
      <c r="E35" s="43" t="s">
        <v>127</v>
      </c>
      <c r="F35" s="43" t="s">
        <v>130</v>
      </c>
      <c r="G35" s="46">
        <v>0</v>
      </c>
      <c r="H35" s="46">
        <v>1</v>
      </c>
      <c r="I35" s="21">
        <v>41487</v>
      </c>
      <c r="J35" s="21">
        <v>41609</v>
      </c>
      <c r="K35" s="70" t="s">
        <v>309</v>
      </c>
      <c r="L35" s="48" t="s">
        <v>523</v>
      </c>
      <c r="M35" s="49"/>
      <c r="N35" s="56"/>
      <c r="O35" s="56"/>
      <c r="P35" s="43" t="s">
        <v>792</v>
      </c>
      <c r="Q35" s="49">
        <f t="shared" si="0"/>
        <v>0</v>
      </c>
    </row>
    <row r="36" spans="1:17" s="56" customFormat="1" ht="24" x14ac:dyDescent="0.25">
      <c r="A36" s="43" t="s">
        <v>184</v>
      </c>
      <c r="B36" s="51" t="s">
        <v>42</v>
      </c>
      <c r="C36" s="127" t="s">
        <v>621</v>
      </c>
      <c r="D36" s="69">
        <v>45.46</v>
      </c>
      <c r="E36" s="43" t="s">
        <v>127</v>
      </c>
      <c r="F36" s="43" t="s">
        <v>130</v>
      </c>
      <c r="G36" s="46">
        <v>0</v>
      </c>
      <c r="H36" s="46">
        <v>1</v>
      </c>
      <c r="I36" s="21">
        <v>41456</v>
      </c>
      <c r="J36" s="21">
        <v>41609</v>
      </c>
      <c r="K36" s="70" t="s">
        <v>309</v>
      </c>
      <c r="L36" s="48" t="s">
        <v>524</v>
      </c>
      <c r="M36" s="49"/>
      <c r="P36" s="43" t="s">
        <v>792</v>
      </c>
      <c r="Q36" s="49">
        <f t="shared" si="0"/>
        <v>0</v>
      </c>
    </row>
    <row r="37" spans="1:17" s="56" customFormat="1" ht="36" x14ac:dyDescent="0.25">
      <c r="A37" s="43" t="s">
        <v>185</v>
      </c>
      <c r="B37" s="51" t="s">
        <v>145</v>
      </c>
      <c r="C37" s="127" t="s">
        <v>620</v>
      </c>
      <c r="D37" s="45">
        <f>10.57/1.85</f>
        <v>5.7135135135135133</v>
      </c>
      <c r="E37" s="43" t="s">
        <v>127</v>
      </c>
      <c r="F37" s="43" t="s">
        <v>130</v>
      </c>
      <c r="G37" s="46">
        <v>1</v>
      </c>
      <c r="H37" s="46">
        <v>0</v>
      </c>
      <c r="I37" s="21">
        <v>40695</v>
      </c>
      <c r="J37" s="21">
        <v>40878</v>
      </c>
      <c r="K37" s="43" t="s">
        <v>309</v>
      </c>
      <c r="L37" s="48" t="s">
        <v>273</v>
      </c>
      <c r="M37" s="49"/>
      <c r="N37" s="50"/>
      <c r="O37" s="50"/>
      <c r="P37" s="43" t="s">
        <v>792</v>
      </c>
      <c r="Q37" s="49">
        <f t="shared" si="0"/>
        <v>5.7135135135135133</v>
      </c>
    </row>
    <row r="38" spans="1:17" s="50" customFormat="1" ht="28.5" x14ac:dyDescent="0.25">
      <c r="A38" s="43" t="s">
        <v>186</v>
      </c>
      <c r="B38" s="51" t="s">
        <v>288</v>
      </c>
      <c r="C38" s="127" t="s">
        <v>622</v>
      </c>
      <c r="D38" s="45">
        <v>4749.21</v>
      </c>
      <c r="E38" s="43" t="s">
        <v>398</v>
      </c>
      <c r="F38" s="43" t="s">
        <v>131</v>
      </c>
      <c r="G38" s="46">
        <v>1</v>
      </c>
      <c r="H38" s="46">
        <v>0</v>
      </c>
      <c r="I38" s="21">
        <v>40542</v>
      </c>
      <c r="J38" s="21">
        <v>41779</v>
      </c>
      <c r="K38" s="43" t="s">
        <v>309</v>
      </c>
      <c r="L38" s="48" t="s">
        <v>634</v>
      </c>
      <c r="M38" s="17"/>
      <c r="P38" s="43" t="s">
        <v>791</v>
      </c>
      <c r="Q38" s="49">
        <f t="shared" si="0"/>
        <v>4749.21</v>
      </c>
    </row>
    <row r="39" spans="1:17" s="50" customFormat="1" ht="28.5" x14ac:dyDescent="0.25">
      <c r="A39" s="43" t="s">
        <v>286</v>
      </c>
      <c r="B39" s="51" t="s">
        <v>289</v>
      </c>
      <c r="C39" s="127" t="s">
        <v>622</v>
      </c>
      <c r="D39" s="45">
        <v>1363.27</v>
      </c>
      <c r="E39" s="43" t="s">
        <v>398</v>
      </c>
      <c r="F39" s="43" t="s">
        <v>131</v>
      </c>
      <c r="G39" s="46">
        <v>1</v>
      </c>
      <c r="H39" s="46">
        <v>0</v>
      </c>
      <c r="I39" s="21">
        <v>40542</v>
      </c>
      <c r="J39" s="21">
        <v>41019</v>
      </c>
      <c r="K39" s="43" t="s">
        <v>309</v>
      </c>
      <c r="L39" s="48" t="s">
        <v>635</v>
      </c>
      <c r="M39" s="17"/>
      <c r="P39" s="43" t="s">
        <v>791</v>
      </c>
      <c r="Q39" s="49">
        <f t="shared" si="0"/>
        <v>1363.27</v>
      </c>
    </row>
    <row r="40" spans="1:17" s="56" customFormat="1" ht="28.5" x14ac:dyDescent="0.25">
      <c r="A40" s="43" t="s">
        <v>287</v>
      </c>
      <c r="B40" s="51" t="s">
        <v>314</v>
      </c>
      <c r="C40" s="127" t="s">
        <v>622</v>
      </c>
      <c r="D40" s="45">
        <v>298</v>
      </c>
      <c r="E40" s="43" t="s">
        <v>398</v>
      </c>
      <c r="F40" s="43" t="s">
        <v>131</v>
      </c>
      <c r="G40" s="46">
        <v>1</v>
      </c>
      <c r="H40" s="46">
        <v>0</v>
      </c>
      <c r="I40" s="21">
        <v>40827</v>
      </c>
      <c r="J40" s="21">
        <v>41779</v>
      </c>
      <c r="K40" s="43" t="s">
        <v>309</v>
      </c>
      <c r="L40" s="48" t="s">
        <v>636</v>
      </c>
      <c r="M40" s="17"/>
      <c r="P40" s="43" t="s">
        <v>791</v>
      </c>
      <c r="Q40" s="49">
        <f t="shared" si="0"/>
        <v>298</v>
      </c>
    </row>
    <row r="41" spans="1:17" s="56" customFormat="1" ht="36" x14ac:dyDescent="0.25">
      <c r="A41" s="43" t="s">
        <v>336</v>
      </c>
      <c r="B41" s="51" t="s">
        <v>326</v>
      </c>
      <c r="C41" s="127" t="s">
        <v>619</v>
      </c>
      <c r="D41" s="45">
        <v>146.178</v>
      </c>
      <c r="E41" s="43" t="s">
        <v>127</v>
      </c>
      <c r="F41" s="43" t="s">
        <v>130</v>
      </c>
      <c r="G41" s="46">
        <v>0.12</v>
      </c>
      <c r="H41" s="46">
        <v>0.88</v>
      </c>
      <c r="I41" s="21">
        <v>41122</v>
      </c>
      <c r="J41" s="21">
        <v>41244</v>
      </c>
      <c r="K41" s="43" t="s">
        <v>309</v>
      </c>
      <c r="L41" s="48" t="s">
        <v>26</v>
      </c>
      <c r="M41" s="49"/>
      <c r="P41" s="43" t="s">
        <v>792</v>
      </c>
      <c r="Q41" s="49">
        <f t="shared" si="0"/>
        <v>17.541359999999997</v>
      </c>
    </row>
    <row r="42" spans="1:17" s="50" customFormat="1" ht="36" x14ac:dyDescent="0.25">
      <c r="A42" s="43" t="s">
        <v>337</v>
      </c>
      <c r="B42" s="51" t="s">
        <v>327</v>
      </c>
      <c r="C42" s="127" t="s">
        <v>619</v>
      </c>
      <c r="D42" s="45">
        <f>63.78/1.75</f>
        <v>36.445714285714288</v>
      </c>
      <c r="E42" s="43" t="s">
        <v>127</v>
      </c>
      <c r="F42" s="43" t="s">
        <v>130</v>
      </c>
      <c r="G42" s="46">
        <v>0</v>
      </c>
      <c r="H42" s="46">
        <v>1</v>
      </c>
      <c r="I42" s="21">
        <v>41065</v>
      </c>
      <c r="J42" s="21">
        <v>41244</v>
      </c>
      <c r="K42" s="43" t="s">
        <v>309</v>
      </c>
      <c r="L42" s="48" t="s">
        <v>441</v>
      </c>
      <c r="M42" s="49"/>
      <c r="P42" s="43" t="s">
        <v>792</v>
      </c>
      <c r="Q42" s="49">
        <f t="shared" si="0"/>
        <v>0</v>
      </c>
    </row>
    <row r="43" spans="1:17" s="50" customFormat="1" ht="36" x14ac:dyDescent="0.25">
      <c r="A43" s="43" t="s">
        <v>337</v>
      </c>
      <c r="B43" s="51" t="s">
        <v>2</v>
      </c>
      <c r="C43" s="127" t="s">
        <v>620</v>
      </c>
      <c r="D43" s="69">
        <f>10.819/2.285</f>
        <v>4.734792122538293</v>
      </c>
      <c r="E43" s="43" t="s">
        <v>127</v>
      </c>
      <c r="F43" s="43" t="s">
        <v>130</v>
      </c>
      <c r="G43" s="46">
        <v>0.51</v>
      </c>
      <c r="H43" s="46">
        <v>0.49</v>
      </c>
      <c r="I43" s="21">
        <v>41518</v>
      </c>
      <c r="J43" s="21">
        <v>41609</v>
      </c>
      <c r="K43" s="70" t="s">
        <v>309</v>
      </c>
      <c r="L43" s="48" t="s">
        <v>526</v>
      </c>
      <c r="M43" s="49"/>
      <c r="N43" s="55"/>
      <c r="O43" s="55"/>
      <c r="P43" s="43" t="s">
        <v>792</v>
      </c>
      <c r="Q43" s="49">
        <f t="shared" si="0"/>
        <v>2.4147439824945294</v>
      </c>
    </row>
    <row r="44" spans="1:17" s="50" customFormat="1" ht="48" x14ac:dyDescent="0.25">
      <c r="A44" s="43" t="s">
        <v>338</v>
      </c>
      <c r="B44" s="51" t="s">
        <v>328</v>
      </c>
      <c r="C44" s="127" t="s">
        <v>619</v>
      </c>
      <c r="D44" s="45">
        <f>181.45+0.2</f>
        <v>181.64999999999998</v>
      </c>
      <c r="E44" s="43" t="s">
        <v>127</v>
      </c>
      <c r="F44" s="43" t="s">
        <v>130</v>
      </c>
      <c r="G44" s="46">
        <v>0.64</v>
      </c>
      <c r="H44" s="46">
        <v>0.36</v>
      </c>
      <c r="I44" s="21">
        <v>41091</v>
      </c>
      <c r="J44" s="21">
        <v>41244</v>
      </c>
      <c r="K44" s="43" t="s">
        <v>309</v>
      </c>
      <c r="L44" s="48" t="s">
        <v>442</v>
      </c>
      <c r="M44" s="49"/>
      <c r="N44" s="55"/>
      <c r="O44" s="55"/>
      <c r="P44" s="43" t="s">
        <v>792</v>
      </c>
      <c r="Q44" s="49">
        <f t="shared" si="0"/>
        <v>116.25599999999999</v>
      </c>
    </row>
    <row r="45" spans="1:17" s="56" customFormat="1" ht="36" x14ac:dyDescent="0.25">
      <c r="A45" s="43" t="s">
        <v>339</v>
      </c>
      <c r="B45" s="51" t="s">
        <v>329</v>
      </c>
      <c r="C45" s="127" t="s">
        <v>620</v>
      </c>
      <c r="D45" s="45">
        <f>23.707+4.8</f>
        <v>28.507000000000001</v>
      </c>
      <c r="E45" s="43" t="s">
        <v>127</v>
      </c>
      <c r="F45" s="43" t="s">
        <v>130</v>
      </c>
      <c r="G45" s="46">
        <v>0.02</v>
      </c>
      <c r="H45" s="46">
        <v>0.98</v>
      </c>
      <c r="I45" s="21">
        <v>41122</v>
      </c>
      <c r="J45" s="21">
        <v>41244</v>
      </c>
      <c r="K45" s="43" t="s">
        <v>309</v>
      </c>
      <c r="L45" s="48" t="s">
        <v>333</v>
      </c>
      <c r="M45" s="49"/>
      <c r="N45" s="50"/>
      <c r="O45" s="50"/>
      <c r="P45" s="43" t="s">
        <v>792</v>
      </c>
      <c r="Q45" s="49">
        <f t="shared" si="0"/>
        <v>0.57014000000000009</v>
      </c>
    </row>
    <row r="46" spans="1:17" s="56" customFormat="1" ht="48" x14ac:dyDescent="0.25">
      <c r="A46" s="43" t="s">
        <v>340</v>
      </c>
      <c r="B46" s="51" t="s">
        <v>330</v>
      </c>
      <c r="C46" s="127" t="s">
        <v>619</v>
      </c>
      <c r="D46" s="45">
        <v>24.2</v>
      </c>
      <c r="E46" s="43" t="s">
        <v>127</v>
      </c>
      <c r="F46" s="43" t="s">
        <v>130</v>
      </c>
      <c r="G46" s="46">
        <v>0.37</v>
      </c>
      <c r="H46" s="46">
        <v>0.63</v>
      </c>
      <c r="I46" s="21">
        <v>41122</v>
      </c>
      <c r="J46" s="21">
        <v>41244</v>
      </c>
      <c r="K46" s="43" t="s">
        <v>309</v>
      </c>
      <c r="L46" s="48" t="s">
        <v>443</v>
      </c>
      <c r="M46" s="49"/>
      <c r="N46" s="50"/>
      <c r="O46" s="50"/>
      <c r="P46" s="43" t="s">
        <v>792</v>
      </c>
      <c r="Q46" s="49">
        <f t="shared" si="0"/>
        <v>8.9539999999999988</v>
      </c>
    </row>
    <row r="47" spans="1:17" s="50" customFormat="1" ht="36" x14ac:dyDescent="0.25">
      <c r="A47" s="43" t="s">
        <v>341</v>
      </c>
      <c r="B47" s="51" t="s">
        <v>355</v>
      </c>
      <c r="C47" s="127" t="s">
        <v>620</v>
      </c>
      <c r="D47" s="45">
        <v>65.849999999999994</v>
      </c>
      <c r="E47" s="43" t="s">
        <v>127</v>
      </c>
      <c r="F47" s="43" t="s">
        <v>130</v>
      </c>
      <c r="G47" s="46">
        <v>1</v>
      </c>
      <c r="H47" s="46">
        <v>0</v>
      </c>
      <c r="I47" s="21">
        <v>41244</v>
      </c>
      <c r="J47" s="21">
        <v>41365</v>
      </c>
      <c r="K47" s="43" t="s">
        <v>309</v>
      </c>
      <c r="L47" s="48" t="s">
        <v>9</v>
      </c>
      <c r="M47" s="49"/>
      <c r="P47" s="43" t="s">
        <v>792</v>
      </c>
      <c r="Q47" s="49">
        <f t="shared" si="0"/>
        <v>65.849999999999994</v>
      </c>
    </row>
    <row r="48" spans="1:17" s="50" customFormat="1" ht="36" x14ac:dyDescent="0.25">
      <c r="A48" s="43" t="s">
        <v>341</v>
      </c>
      <c r="B48" s="51" t="s">
        <v>355</v>
      </c>
      <c r="C48" s="127" t="s">
        <v>620</v>
      </c>
      <c r="D48" s="45">
        <v>19.88</v>
      </c>
      <c r="E48" s="43" t="s">
        <v>127</v>
      </c>
      <c r="F48" s="43" t="s">
        <v>130</v>
      </c>
      <c r="G48" s="46">
        <v>0</v>
      </c>
      <c r="H48" s="46">
        <v>1</v>
      </c>
      <c r="I48" s="21">
        <v>41244</v>
      </c>
      <c r="J48" s="21">
        <v>41306</v>
      </c>
      <c r="K48" s="43" t="s">
        <v>309</v>
      </c>
      <c r="L48" s="48" t="s">
        <v>8</v>
      </c>
      <c r="M48" s="49"/>
      <c r="N48" s="56"/>
      <c r="O48" s="56"/>
      <c r="P48" s="43" t="s">
        <v>792</v>
      </c>
      <c r="Q48" s="49">
        <f t="shared" si="0"/>
        <v>0</v>
      </c>
    </row>
    <row r="49" spans="1:17" s="55" customFormat="1" ht="24" x14ac:dyDescent="0.25">
      <c r="A49" s="43" t="s">
        <v>342</v>
      </c>
      <c r="B49" s="51" t="s">
        <v>331</v>
      </c>
      <c r="C49" s="127" t="s">
        <v>620</v>
      </c>
      <c r="D49" s="45">
        <v>11.895</v>
      </c>
      <c r="E49" s="43" t="s">
        <v>127</v>
      </c>
      <c r="F49" s="43" t="s">
        <v>130</v>
      </c>
      <c r="G49" s="46">
        <v>1</v>
      </c>
      <c r="H49" s="46">
        <v>0</v>
      </c>
      <c r="I49" s="21">
        <v>41183</v>
      </c>
      <c r="J49" s="21">
        <v>41244</v>
      </c>
      <c r="K49" s="43" t="s">
        <v>309</v>
      </c>
      <c r="L49" s="48" t="s">
        <v>10</v>
      </c>
      <c r="M49" s="49"/>
      <c r="N49" s="56"/>
      <c r="O49" s="56"/>
      <c r="P49" s="43" t="s">
        <v>792</v>
      </c>
      <c r="Q49" s="49">
        <f t="shared" si="0"/>
        <v>11.895</v>
      </c>
    </row>
    <row r="50" spans="1:17" s="50" customFormat="1" ht="36" x14ac:dyDescent="0.25">
      <c r="A50" s="43" t="s">
        <v>343</v>
      </c>
      <c r="B50" s="51" t="s">
        <v>332</v>
      </c>
      <c r="C50" s="127" t="s">
        <v>620</v>
      </c>
      <c r="D50" s="45">
        <v>28.92</v>
      </c>
      <c r="E50" s="43" t="s">
        <v>127</v>
      </c>
      <c r="F50" s="43" t="s">
        <v>130</v>
      </c>
      <c r="G50" s="46">
        <v>0</v>
      </c>
      <c r="H50" s="46">
        <v>1</v>
      </c>
      <c r="I50" s="21">
        <v>41183</v>
      </c>
      <c r="J50" s="21">
        <v>41244</v>
      </c>
      <c r="K50" s="43" t="s">
        <v>309</v>
      </c>
      <c r="L50" s="48" t="s">
        <v>444</v>
      </c>
      <c r="M50" s="49"/>
      <c r="N50" s="56"/>
      <c r="O50" s="56"/>
      <c r="P50" s="43" t="s">
        <v>792</v>
      </c>
      <c r="Q50" s="49">
        <f t="shared" si="0"/>
        <v>0</v>
      </c>
    </row>
    <row r="51" spans="1:17" s="56" customFormat="1" ht="36" x14ac:dyDescent="0.25">
      <c r="A51" s="43" t="s">
        <v>344</v>
      </c>
      <c r="B51" s="51" t="s">
        <v>413</v>
      </c>
      <c r="C51" s="127" t="s">
        <v>620</v>
      </c>
      <c r="D51" s="45">
        <v>2.34</v>
      </c>
      <c r="E51" s="43" t="s">
        <v>127</v>
      </c>
      <c r="F51" s="43" t="s">
        <v>130</v>
      </c>
      <c r="G51" s="46">
        <v>1</v>
      </c>
      <c r="H51" s="46">
        <v>0</v>
      </c>
      <c r="I51" s="21">
        <v>41183</v>
      </c>
      <c r="J51" s="21">
        <v>41244</v>
      </c>
      <c r="K51" s="43" t="s">
        <v>309</v>
      </c>
      <c r="L51" s="48" t="s">
        <v>446</v>
      </c>
      <c r="M51" s="49"/>
      <c r="N51" s="50"/>
      <c r="O51" s="50"/>
      <c r="P51" s="43" t="s">
        <v>792</v>
      </c>
      <c r="Q51" s="49">
        <f t="shared" si="0"/>
        <v>2.34</v>
      </c>
    </row>
    <row r="52" spans="1:17" s="50" customFormat="1" ht="36" x14ac:dyDescent="0.25">
      <c r="A52" s="43" t="s">
        <v>344</v>
      </c>
      <c r="B52" s="51" t="s">
        <v>414</v>
      </c>
      <c r="C52" s="127" t="s">
        <v>620</v>
      </c>
      <c r="D52" s="45">
        <v>4.8499999999999996</v>
      </c>
      <c r="E52" s="43" t="s">
        <v>127</v>
      </c>
      <c r="F52" s="43" t="s">
        <v>130</v>
      </c>
      <c r="G52" s="46">
        <v>0</v>
      </c>
      <c r="H52" s="46">
        <v>1</v>
      </c>
      <c r="I52" s="21">
        <v>41183</v>
      </c>
      <c r="J52" s="21">
        <v>41244</v>
      </c>
      <c r="K52" s="43" t="s">
        <v>309</v>
      </c>
      <c r="L52" s="48" t="s">
        <v>445</v>
      </c>
      <c r="M52" s="49"/>
      <c r="N52" s="56"/>
      <c r="O52" s="56"/>
      <c r="P52" s="43" t="s">
        <v>792</v>
      </c>
      <c r="Q52" s="49">
        <f t="shared" si="0"/>
        <v>0</v>
      </c>
    </row>
    <row r="53" spans="1:17" s="56" customFormat="1" ht="24" x14ac:dyDescent="0.25">
      <c r="A53" s="43" t="s">
        <v>344</v>
      </c>
      <c r="B53" s="51" t="s">
        <v>417</v>
      </c>
      <c r="C53" s="127" t="s">
        <v>621</v>
      </c>
      <c r="D53" s="45">
        <v>7.093</v>
      </c>
      <c r="E53" s="43" t="s">
        <v>127</v>
      </c>
      <c r="F53" s="43" t="s">
        <v>130</v>
      </c>
      <c r="G53" s="46">
        <v>1</v>
      </c>
      <c r="H53" s="46">
        <v>0</v>
      </c>
      <c r="I53" s="21">
        <v>41183</v>
      </c>
      <c r="J53" s="21">
        <v>41244</v>
      </c>
      <c r="K53" s="43" t="s">
        <v>309</v>
      </c>
      <c r="L53" s="48" t="s">
        <v>447</v>
      </c>
      <c r="M53" s="49"/>
      <c r="P53" s="43" t="s">
        <v>792</v>
      </c>
      <c r="Q53" s="49">
        <f t="shared" si="0"/>
        <v>7.093</v>
      </c>
    </row>
    <row r="54" spans="1:17" s="56" customFormat="1" ht="34.5" customHeight="1" x14ac:dyDescent="0.25">
      <c r="A54" s="43" t="s">
        <v>81</v>
      </c>
      <c r="B54" s="51" t="s">
        <v>400</v>
      </c>
      <c r="C54" s="128" t="s">
        <v>622</v>
      </c>
      <c r="D54" s="45">
        <v>9848.41</v>
      </c>
      <c r="E54" s="43" t="s">
        <v>398</v>
      </c>
      <c r="F54" s="43" t="s">
        <v>131</v>
      </c>
      <c r="G54" s="46">
        <v>1</v>
      </c>
      <c r="H54" s="46">
        <v>0</v>
      </c>
      <c r="I54" s="21">
        <v>41458</v>
      </c>
      <c r="J54" s="21">
        <v>41456</v>
      </c>
      <c r="K54" s="43" t="s">
        <v>309</v>
      </c>
      <c r="L54" s="58" t="s">
        <v>637</v>
      </c>
      <c r="M54" s="17"/>
      <c r="P54" s="43" t="s">
        <v>791</v>
      </c>
      <c r="Q54" s="49">
        <f t="shared" si="0"/>
        <v>9848.41</v>
      </c>
    </row>
    <row r="55" spans="1:17" s="54" customFormat="1" ht="28.5" x14ac:dyDescent="0.25">
      <c r="A55" s="43" t="s">
        <v>82</v>
      </c>
      <c r="B55" s="51" t="s">
        <v>399</v>
      </c>
      <c r="C55" s="128" t="s">
        <v>622</v>
      </c>
      <c r="D55" s="45">
        <v>3502.59</v>
      </c>
      <c r="E55" s="43" t="s">
        <v>613</v>
      </c>
      <c r="F55" s="43" t="s">
        <v>131</v>
      </c>
      <c r="G55" s="46">
        <v>1</v>
      </c>
      <c r="H55" s="46">
        <v>0</v>
      </c>
      <c r="I55" s="21">
        <v>41548</v>
      </c>
      <c r="J55" s="21">
        <v>42125</v>
      </c>
      <c r="K55" s="13" t="s">
        <v>544</v>
      </c>
      <c r="L55" s="58" t="s">
        <v>638</v>
      </c>
      <c r="M55" s="17"/>
      <c r="N55" s="50"/>
      <c r="O55" s="50"/>
      <c r="P55" s="43" t="s">
        <v>791</v>
      </c>
      <c r="Q55" s="49">
        <f t="shared" si="0"/>
        <v>3502.59</v>
      </c>
    </row>
    <row r="56" spans="1:17" s="53" customFormat="1" ht="50.1" customHeight="1" x14ac:dyDescent="0.25">
      <c r="A56" s="43" t="s">
        <v>367</v>
      </c>
      <c r="B56" s="51" t="s">
        <v>368</v>
      </c>
      <c r="C56" s="127" t="s">
        <v>620</v>
      </c>
      <c r="D56" s="45">
        <v>438.596</v>
      </c>
      <c r="E56" s="43" t="s">
        <v>127</v>
      </c>
      <c r="F56" s="43" t="s">
        <v>130</v>
      </c>
      <c r="G56" s="46">
        <v>0</v>
      </c>
      <c r="H56" s="46">
        <v>1</v>
      </c>
      <c r="I56" s="21">
        <v>42644</v>
      </c>
      <c r="J56" s="21">
        <v>42705</v>
      </c>
      <c r="K56" s="43" t="s">
        <v>132</v>
      </c>
      <c r="L56" s="48" t="s">
        <v>657</v>
      </c>
      <c r="M56" s="51"/>
      <c r="N56" s="50"/>
      <c r="O56" s="50"/>
      <c r="P56" s="43" t="s">
        <v>792</v>
      </c>
      <c r="Q56" s="49">
        <f t="shared" si="0"/>
        <v>0</v>
      </c>
    </row>
    <row r="57" spans="1:17" s="53" customFormat="1" ht="36" x14ac:dyDescent="0.25">
      <c r="A57" s="43" t="s">
        <v>12</v>
      </c>
      <c r="B57" s="51" t="s">
        <v>735</v>
      </c>
      <c r="C57" s="127" t="s">
        <v>620</v>
      </c>
      <c r="D57" s="45">
        <v>243.7</v>
      </c>
      <c r="E57" s="43" t="s">
        <v>127</v>
      </c>
      <c r="F57" s="43" t="s">
        <v>130</v>
      </c>
      <c r="G57" s="46">
        <v>0.33</v>
      </c>
      <c r="H57" s="46">
        <v>0.67</v>
      </c>
      <c r="I57" s="21">
        <v>42278</v>
      </c>
      <c r="J57" s="21">
        <v>42339</v>
      </c>
      <c r="K57" s="43" t="s">
        <v>132</v>
      </c>
      <c r="L57" s="48" t="s">
        <v>655</v>
      </c>
      <c r="M57" s="49"/>
      <c r="N57" s="50"/>
      <c r="O57" s="50"/>
      <c r="P57" s="43" t="s">
        <v>792</v>
      </c>
      <c r="Q57" s="49">
        <f t="shared" si="0"/>
        <v>80.421000000000006</v>
      </c>
    </row>
    <row r="58" spans="1:17" s="56" customFormat="1" ht="24" x14ac:dyDescent="0.25">
      <c r="A58" s="43" t="s">
        <v>27</v>
      </c>
      <c r="B58" s="51" t="s">
        <v>29</v>
      </c>
      <c r="C58" s="127" t="s">
        <v>620</v>
      </c>
      <c r="D58" s="69">
        <f>(84+11.6)/2.285</f>
        <v>41.838074398249447</v>
      </c>
      <c r="E58" s="43" t="s">
        <v>127</v>
      </c>
      <c r="F58" s="43" t="s">
        <v>130</v>
      </c>
      <c r="G58" s="46">
        <v>0.47</v>
      </c>
      <c r="H58" s="46">
        <v>0.53</v>
      </c>
      <c r="I58" s="21">
        <v>41518</v>
      </c>
      <c r="J58" s="21">
        <v>41609</v>
      </c>
      <c r="K58" s="70" t="s">
        <v>309</v>
      </c>
      <c r="L58" s="48" t="s">
        <v>32</v>
      </c>
      <c r="M58" s="49"/>
      <c r="P58" s="43" t="s">
        <v>792</v>
      </c>
      <c r="Q58" s="49">
        <f t="shared" si="0"/>
        <v>19.663894967177239</v>
      </c>
    </row>
    <row r="59" spans="1:17" s="50" customFormat="1" ht="36" x14ac:dyDescent="0.25">
      <c r="A59" s="13" t="s">
        <v>30</v>
      </c>
      <c r="B59" s="14" t="s">
        <v>13</v>
      </c>
      <c r="C59" s="127" t="s">
        <v>620</v>
      </c>
      <c r="D59" s="15">
        <v>1.44</v>
      </c>
      <c r="E59" s="13" t="s">
        <v>427</v>
      </c>
      <c r="F59" s="13" t="s">
        <v>130</v>
      </c>
      <c r="G59" s="46">
        <v>0</v>
      </c>
      <c r="H59" s="46">
        <v>1</v>
      </c>
      <c r="I59" s="21">
        <v>41214</v>
      </c>
      <c r="J59" s="21">
        <v>41244</v>
      </c>
      <c r="K59" s="13" t="s">
        <v>309</v>
      </c>
      <c r="L59" s="41" t="s">
        <v>14</v>
      </c>
      <c r="M59" s="17"/>
      <c r="N59" s="20"/>
      <c r="O59" s="20"/>
      <c r="P59" s="43" t="s">
        <v>792</v>
      </c>
      <c r="Q59" s="49">
        <f t="shared" si="0"/>
        <v>0</v>
      </c>
    </row>
    <row r="60" spans="1:17" s="54" customFormat="1" ht="36" x14ac:dyDescent="0.25">
      <c r="A60" s="13" t="s">
        <v>31</v>
      </c>
      <c r="B60" s="14" t="s">
        <v>679</v>
      </c>
      <c r="C60" s="127" t="s">
        <v>621</v>
      </c>
      <c r="D60" s="15">
        <v>315.82</v>
      </c>
      <c r="E60" s="13" t="s">
        <v>127</v>
      </c>
      <c r="F60" s="26" t="s">
        <v>130</v>
      </c>
      <c r="G60" s="46">
        <v>0.76</v>
      </c>
      <c r="H60" s="46">
        <v>0.24</v>
      </c>
      <c r="I60" s="21">
        <v>42430</v>
      </c>
      <c r="J60" s="21">
        <v>42552</v>
      </c>
      <c r="K60" s="13" t="s">
        <v>132</v>
      </c>
      <c r="L60" s="41" t="s">
        <v>696</v>
      </c>
      <c r="M60" s="17"/>
      <c r="N60" s="18"/>
      <c r="O60" s="18"/>
      <c r="P60" s="43" t="s">
        <v>792</v>
      </c>
      <c r="Q60" s="49">
        <f t="shared" si="0"/>
        <v>240.0232</v>
      </c>
    </row>
    <row r="61" spans="1:17" s="50" customFormat="1" ht="24" x14ac:dyDescent="0.25">
      <c r="A61" s="43" t="s">
        <v>33</v>
      </c>
      <c r="B61" s="51" t="s">
        <v>47</v>
      </c>
      <c r="C61" s="127" t="s">
        <v>620</v>
      </c>
      <c r="D61" s="45">
        <v>54.914000000000001</v>
      </c>
      <c r="E61" s="43" t="s">
        <v>127</v>
      </c>
      <c r="F61" s="43" t="s">
        <v>130</v>
      </c>
      <c r="G61" s="46">
        <v>0.57999999999999996</v>
      </c>
      <c r="H61" s="46">
        <v>0.42</v>
      </c>
      <c r="I61" s="21">
        <v>42186</v>
      </c>
      <c r="J61" s="21">
        <v>42339</v>
      </c>
      <c r="K61" s="43" t="s">
        <v>132</v>
      </c>
      <c r="L61" s="48" t="s">
        <v>658</v>
      </c>
      <c r="M61" s="49"/>
      <c r="N61" s="56"/>
      <c r="O61" s="56"/>
      <c r="P61" s="43" t="s">
        <v>792</v>
      </c>
      <c r="Q61" s="49">
        <f t="shared" si="0"/>
        <v>31.85012</v>
      </c>
    </row>
    <row r="62" spans="1:17" s="56" customFormat="1" ht="18.75" customHeight="1" x14ac:dyDescent="0.25">
      <c r="A62" s="43" t="s">
        <v>34</v>
      </c>
      <c r="B62" s="51" t="s">
        <v>48</v>
      </c>
      <c r="C62" s="127" t="s">
        <v>620</v>
      </c>
      <c r="D62" s="69">
        <f>13.452/2.285</f>
        <v>5.8870897155361046</v>
      </c>
      <c r="E62" s="43" t="s">
        <v>127</v>
      </c>
      <c r="F62" s="43" t="s">
        <v>130</v>
      </c>
      <c r="G62" s="46">
        <v>0.15</v>
      </c>
      <c r="H62" s="46">
        <v>0.85</v>
      </c>
      <c r="I62" s="21">
        <v>41518</v>
      </c>
      <c r="J62" s="21">
        <v>41609</v>
      </c>
      <c r="K62" s="70" t="s">
        <v>309</v>
      </c>
      <c r="L62" s="48" t="s">
        <v>532</v>
      </c>
      <c r="M62" s="49"/>
      <c r="P62" s="43" t="s">
        <v>792</v>
      </c>
      <c r="Q62" s="49">
        <f t="shared" si="0"/>
        <v>0.88306345733041569</v>
      </c>
    </row>
    <row r="63" spans="1:17" s="50" customFormat="1" ht="24" x14ac:dyDescent="0.25">
      <c r="A63" s="43" t="s">
        <v>35</v>
      </c>
      <c r="B63" s="51" t="s">
        <v>49</v>
      </c>
      <c r="C63" s="127" t="s">
        <v>620</v>
      </c>
      <c r="D63" s="69">
        <f>2.866/2.285</f>
        <v>1.2542669584245076</v>
      </c>
      <c r="E63" s="43" t="s">
        <v>127</v>
      </c>
      <c r="F63" s="43" t="s">
        <v>130</v>
      </c>
      <c r="G63" s="46">
        <v>0</v>
      </c>
      <c r="H63" s="46">
        <v>1</v>
      </c>
      <c r="I63" s="21">
        <v>41426</v>
      </c>
      <c r="J63" s="21">
        <v>41609</v>
      </c>
      <c r="K63" s="70" t="s">
        <v>309</v>
      </c>
      <c r="L63" s="48" t="s">
        <v>531</v>
      </c>
      <c r="M63" s="49"/>
      <c r="N63" s="56"/>
      <c r="O63" s="56"/>
      <c r="P63" s="43" t="s">
        <v>792</v>
      </c>
      <c r="Q63" s="49">
        <f t="shared" si="0"/>
        <v>0</v>
      </c>
    </row>
    <row r="64" spans="1:17" s="56" customFormat="1" ht="24" x14ac:dyDescent="0.25">
      <c r="A64" s="43" t="s">
        <v>36</v>
      </c>
      <c r="B64" s="51" t="s">
        <v>50</v>
      </c>
      <c r="C64" s="127" t="s">
        <v>620</v>
      </c>
      <c r="D64" s="45">
        <v>30.28</v>
      </c>
      <c r="E64" s="43" t="s">
        <v>127</v>
      </c>
      <c r="F64" s="43" t="s">
        <v>130</v>
      </c>
      <c r="G64" s="46">
        <v>0.28000000000000003</v>
      </c>
      <c r="H64" s="46">
        <v>0.72</v>
      </c>
      <c r="I64" s="21">
        <v>41518</v>
      </c>
      <c r="J64" s="21">
        <v>41609</v>
      </c>
      <c r="K64" s="70" t="s">
        <v>309</v>
      </c>
      <c r="L64" s="48" t="s">
        <v>533</v>
      </c>
      <c r="M64" s="49"/>
      <c r="P64" s="43" t="s">
        <v>792</v>
      </c>
      <c r="Q64" s="49">
        <f t="shared" si="0"/>
        <v>8.4784000000000006</v>
      </c>
    </row>
    <row r="65" spans="1:17" s="56" customFormat="1" ht="36" x14ac:dyDescent="0.25">
      <c r="A65" s="43" t="s">
        <v>551</v>
      </c>
      <c r="B65" s="51" t="s">
        <v>3</v>
      </c>
      <c r="C65" s="127" t="s">
        <v>619</v>
      </c>
      <c r="D65" s="69">
        <f>35.201/2.285</f>
        <v>15.405251641137856</v>
      </c>
      <c r="E65" s="43" t="s">
        <v>127</v>
      </c>
      <c r="F65" s="43" t="s">
        <v>130</v>
      </c>
      <c r="G65" s="46">
        <v>0.59</v>
      </c>
      <c r="H65" s="46">
        <v>0.41</v>
      </c>
      <c r="I65" s="21">
        <v>41518</v>
      </c>
      <c r="J65" s="21">
        <v>41609</v>
      </c>
      <c r="K65" s="70" t="s">
        <v>309</v>
      </c>
      <c r="L65" s="48" t="s">
        <v>525</v>
      </c>
      <c r="M65" s="49"/>
      <c r="N65" s="50"/>
      <c r="O65" s="50"/>
      <c r="P65" s="43" t="s">
        <v>792</v>
      </c>
      <c r="Q65" s="49">
        <f t="shared" si="0"/>
        <v>9.0890984682713345</v>
      </c>
    </row>
    <row r="66" spans="1:17" s="50" customFormat="1" ht="48" x14ac:dyDescent="0.25">
      <c r="A66" s="43" t="s">
        <v>552</v>
      </c>
      <c r="B66" s="51" t="s">
        <v>6</v>
      </c>
      <c r="C66" s="127" t="s">
        <v>619</v>
      </c>
      <c r="D66" s="69">
        <f>133.82/2.285</f>
        <v>58.564551422319468</v>
      </c>
      <c r="E66" s="43" t="s">
        <v>127</v>
      </c>
      <c r="F66" s="43" t="s">
        <v>130</v>
      </c>
      <c r="G66" s="46">
        <v>0.39</v>
      </c>
      <c r="H66" s="46">
        <v>0.61</v>
      </c>
      <c r="I66" s="21">
        <v>41518</v>
      </c>
      <c r="J66" s="21">
        <v>41609</v>
      </c>
      <c r="K66" s="70" t="s">
        <v>309</v>
      </c>
      <c r="L66" s="48" t="s">
        <v>527</v>
      </c>
      <c r="M66" s="49"/>
      <c r="N66" s="55"/>
      <c r="O66" s="55"/>
      <c r="P66" s="43" t="s">
        <v>792</v>
      </c>
      <c r="Q66" s="49">
        <f t="shared" si="0"/>
        <v>22.840175054704595</v>
      </c>
    </row>
    <row r="67" spans="1:17" s="56" customFormat="1" ht="36" x14ac:dyDescent="0.25">
      <c r="A67" s="43" t="s">
        <v>553</v>
      </c>
      <c r="B67" s="51" t="s">
        <v>686</v>
      </c>
      <c r="C67" s="127" t="s">
        <v>620</v>
      </c>
      <c r="D67" s="45">
        <v>4.3499999999999996</v>
      </c>
      <c r="E67" s="43" t="s">
        <v>127</v>
      </c>
      <c r="F67" s="43" t="s">
        <v>130</v>
      </c>
      <c r="G67" s="46">
        <v>1</v>
      </c>
      <c r="H67" s="46">
        <v>0</v>
      </c>
      <c r="I67" s="47">
        <v>41883</v>
      </c>
      <c r="J67" s="47">
        <v>41974</v>
      </c>
      <c r="K67" s="43" t="s">
        <v>309</v>
      </c>
      <c r="L67" s="48" t="s">
        <v>659</v>
      </c>
      <c r="M67" s="49"/>
      <c r="N67" s="57"/>
      <c r="O67" s="57"/>
      <c r="P67" s="43" t="s">
        <v>792</v>
      </c>
      <c r="Q67" s="49">
        <f t="shared" si="0"/>
        <v>4.3499999999999996</v>
      </c>
    </row>
    <row r="68" spans="1:17" s="50" customFormat="1" ht="50.1" customHeight="1" x14ac:dyDescent="0.25">
      <c r="A68" s="43" t="s">
        <v>554</v>
      </c>
      <c r="B68" s="51" t="s">
        <v>7</v>
      </c>
      <c r="C68" s="127" t="s">
        <v>619</v>
      </c>
      <c r="D68" s="69">
        <f>100.574/2.285</f>
        <v>44.014879649890588</v>
      </c>
      <c r="E68" s="43" t="s">
        <v>127</v>
      </c>
      <c r="F68" s="43" t="s">
        <v>130</v>
      </c>
      <c r="G68" s="46">
        <v>0.84</v>
      </c>
      <c r="H68" s="46">
        <v>0.16</v>
      </c>
      <c r="I68" s="21">
        <v>41518</v>
      </c>
      <c r="J68" s="21">
        <v>41609</v>
      </c>
      <c r="K68" s="70" t="s">
        <v>309</v>
      </c>
      <c r="L68" s="48" t="s">
        <v>528</v>
      </c>
      <c r="M68" s="49"/>
      <c r="N68" s="56"/>
      <c r="O68" s="56"/>
      <c r="P68" s="43" t="s">
        <v>792</v>
      </c>
      <c r="Q68" s="49">
        <f t="shared" si="0"/>
        <v>36.97249890590809</v>
      </c>
    </row>
    <row r="69" spans="1:17" s="55" customFormat="1" ht="36" x14ac:dyDescent="0.25">
      <c r="A69" s="43" t="s">
        <v>555</v>
      </c>
      <c r="B69" s="51" t="s">
        <v>492</v>
      </c>
      <c r="C69" s="127" t="s">
        <v>620</v>
      </c>
      <c r="D69" s="69">
        <v>78.8</v>
      </c>
      <c r="E69" s="43" t="s">
        <v>127</v>
      </c>
      <c r="F69" s="43" t="s">
        <v>130</v>
      </c>
      <c r="G69" s="46">
        <v>0.33</v>
      </c>
      <c r="H69" s="46">
        <v>0.67</v>
      </c>
      <c r="I69" s="21">
        <v>41518</v>
      </c>
      <c r="J69" s="21">
        <v>41609</v>
      </c>
      <c r="K69" s="70" t="s">
        <v>309</v>
      </c>
      <c r="L69" s="48" t="s">
        <v>487</v>
      </c>
      <c r="M69" s="49"/>
      <c r="N69" s="53"/>
      <c r="O69" s="53"/>
      <c r="P69" s="43" t="s">
        <v>792</v>
      </c>
      <c r="Q69" s="49">
        <f t="shared" si="0"/>
        <v>26.004000000000001</v>
      </c>
    </row>
    <row r="70" spans="1:17" s="50" customFormat="1" ht="36" x14ac:dyDescent="0.25">
      <c r="A70" s="43" t="s">
        <v>556</v>
      </c>
      <c r="B70" s="51" t="s">
        <v>11</v>
      </c>
      <c r="C70" s="127" t="s">
        <v>620</v>
      </c>
      <c r="D70" s="69">
        <f>4.567/2.285</f>
        <v>1.998687089715536</v>
      </c>
      <c r="E70" s="43" t="s">
        <v>127</v>
      </c>
      <c r="F70" s="43" t="s">
        <v>130</v>
      </c>
      <c r="G70" s="46">
        <v>0</v>
      </c>
      <c r="H70" s="46">
        <v>1</v>
      </c>
      <c r="I70" s="47">
        <v>41518</v>
      </c>
      <c r="J70" s="47">
        <v>41609</v>
      </c>
      <c r="K70" s="70" t="s">
        <v>309</v>
      </c>
      <c r="L70" s="48" t="s">
        <v>486</v>
      </c>
      <c r="M70" s="49"/>
      <c r="N70" s="53"/>
      <c r="O70" s="53"/>
      <c r="P70" s="43" t="s">
        <v>792</v>
      </c>
      <c r="Q70" s="49">
        <f t="shared" si="0"/>
        <v>0</v>
      </c>
    </row>
    <row r="71" spans="1:17" s="56" customFormat="1" ht="36" x14ac:dyDescent="0.25">
      <c r="A71" s="43" t="s">
        <v>566</v>
      </c>
      <c r="B71" s="51" t="s">
        <v>688</v>
      </c>
      <c r="C71" s="127" t="s">
        <v>620</v>
      </c>
      <c r="D71" s="45">
        <v>16.462</v>
      </c>
      <c r="E71" s="43" t="s">
        <v>127</v>
      </c>
      <c r="F71" s="43" t="s">
        <v>130</v>
      </c>
      <c r="G71" s="46">
        <v>0.88</v>
      </c>
      <c r="H71" s="46">
        <v>0.12</v>
      </c>
      <c r="I71" s="47">
        <v>42248</v>
      </c>
      <c r="J71" s="47">
        <v>42339</v>
      </c>
      <c r="K71" s="43" t="s">
        <v>132</v>
      </c>
      <c r="L71" s="48" t="s">
        <v>697</v>
      </c>
      <c r="M71" s="49"/>
      <c r="N71" s="50"/>
      <c r="O71" s="50"/>
      <c r="P71" s="43" t="s">
        <v>792</v>
      </c>
      <c r="Q71" s="49">
        <f t="shared" si="0"/>
        <v>14.486559999999999</v>
      </c>
    </row>
    <row r="72" spans="1:17" s="56" customFormat="1" ht="36" x14ac:dyDescent="0.25">
      <c r="A72" s="43" t="s">
        <v>557</v>
      </c>
      <c r="B72" s="51" t="s">
        <v>415</v>
      </c>
      <c r="C72" s="127" t="s">
        <v>620</v>
      </c>
      <c r="D72" s="45">
        <v>20.411999999999999</v>
      </c>
      <c r="E72" s="43" t="s">
        <v>127</v>
      </c>
      <c r="F72" s="43" t="s">
        <v>130</v>
      </c>
      <c r="G72" s="46">
        <v>0</v>
      </c>
      <c r="H72" s="46">
        <v>1</v>
      </c>
      <c r="I72" s="21">
        <v>41548</v>
      </c>
      <c r="J72" s="21">
        <v>41609</v>
      </c>
      <c r="K72" s="43" t="s">
        <v>309</v>
      </c>
      <c r="L72" s="48" t="s">
        <v>529</v>
      </c>
      <c r="M72" s="49"/>
      <c r="N72" s="50"/>
      <c r="O72" s="50"/>
      <c r="P72" s="43" t="s">
        <v>792</v>
      </c>
      <c r="Q72" s="49">
        <f t="shared" si="0"/>
        <v>0</v>
      </c>
    </row>
    <row r="73" spans="1:17" s="56" customFormat="1" ht="36" x14ac:dyDescent="0.25">
      <c r="A73" s="43" t="s">
        <v>558</v>
      </c>
      <c r="B73" s="51" t="s">
        <v>416</v>
      </c>
      <c r="C73" s="127" t="s">
        <v>620</v>
      </c>
      <c r="D73" s="45">
        <v>13.94</v>
      </c>
      <c r="E73" s="43" t="s">
        <v>127</v>
      </c>
      <c r="F73" s="43" t="s">
        <v>130</v>
      </c>
      <c r="G73" s="46">
        <v>0</v>
      </c>
      <c r="H73" s="46">
        <v>1</v>
      </c>
      <c r="I73" s="21">
        <v>41883</v>
      </c>
      <c r="J73" s="21">
        <v>41974</v>
      </c>
      <c r="K73" s="43" t="s">
        <v>132</v>
      </c>
      <c r="L73" s="48" t="s">
        <v>530</v>
      </c>
      <c r="M73" s="49"/>
      <c r="P73" s="43" t="s">
        <v>792</v>
      </c>
      <c r="Q73" s="49">
        <f t="shared" si="0"/>
        <v>0</v>
      </c>
    </row>
    <row r="74" spans="1:17" s="18" customFormat="1" ht="36" x14ac:dyDescent="0.25">
      <c r="A74" s="26" t="s">
        <v>51</v>
      </c>
      <c r="B74" s="24" t="s">
        <v>64</v>
      </c>
      <c r="C74" s="129" t="s">
        <v>624</v>
      </c>
      <c r="D74" s="15">
        <v>406.14</v>
      </c>
      <c r="E74" s="13" t="s">
        <v>129</v>
      </c>
      <c r="F74" s="13" t="s">
        <v>131</v>
      </c>
      <c r="G74" s="46">
        <v>1</v>
      </c>
      <c r="H74" s="46">
        <v>0</v>
      </c>
      <c r="I74" s="21">
        <v>41456</v>
      </c>
      <c r="J74" s="16">
        <v>41548</v>
      </c>
      <c r="K74" s="13" t="s">
        <v>233</v>
      </c>
      <c r="L74" s="41" t="s">
        <v>639</v>
      </c>
      <c r="M74" s="17"/>
      <c r="N74" s="20"/>
      <c r="O74" s="20"/>
      <c r="P74" s="43" t="s">
        <v>791</v>
      </c>
      <c r="Q74" s="49">
        <f t="shared" si="0"/>
        <v>406.14</v>
      </c>
    </row>
    <row r="75" spans="1:17" s="18" customFormat="1" ht="28.5" x14ac:dyDescent="0.25">
      <c r="A75" s="26" t="s">
        <v>615</v>
      </c>
      <c r="B75" s="51" t="s">
        <v>612</v>
      </c>
      <c r="C75" s="127" t="s">
        <v>622</v>
      </c>
      <c r="D75" s="45">
        <v>1224.76</v>
      </c>
      <c r="E75" s="43" t="s">
        <v>613</v>
      </c>
      <c r="F75" s="43" t="s">
        <v>131</v>
      </c>
      <c r="G75" s="46">
        <v>1</v>
      </c>
      <c r="H75" s="46">
        <v>0</v>
      </c>
      <c r="I75" s="21">
        <v>41852</v>
      </c>
      <c r="J75" s="21">
        <v>42064</v>
      </c>
      <c r="K75" s="43" t="s">
        <v>309</v>
      </c>
      <c r="L75" s="48" t="s">
        <v>614</v>
      </c>
      <c r="M75" s="17"/>
      <c r="N75" s="20"/>
      <c r="O75" s="20"/>
      <c r="P75" s="43" t="s">
        <v>791</v>
      </c>
      <c r="Q75" s="49">
        <f t="shared" si="0"/>
        <v>1224.76</v>
      </c>
    </row>
    <row r="76" spans="1:17" s="18" customFormat="1" ht="42.75" x14ac:dyDescent="0.25">
      <c r="A76" s="26" t="s">
        <v>689</v>
      </c>
      <c r="B76" s="14" t="s">
        <v>653</v>
      </c>
      <c r="C76" s="13" t="s">
        <v>620</v>
      </c>
      <c r="D76" s="14">
        <v>239</v>
      </c>
      <c r="E76" s="13" t="s">
        <v>127</v>
      </c>
      <c r="F76" s="13" t="s">
        <v>130</v>
      </c>
      <c r="G76" s="151">
        <v>0.85</v>
      </c>
      <c r="H76" s="151">
        <v>0.15</v>
      </c>
      <c r="I76" s="21">
        <v>42186</v>
      </c>
      <c r="J76" s="21">
        <v>42339</v>
      </c>
      <c r="K76" s="14" t="s">
        <v>132</v>
      </c>
      <c r="L76" s="14" t="s">
        <v>656</v>
      </c>
      <c r="M76" s="49"/>
      <c r="N76" s="20"/>
      <c r="O76" s="20"/>
      <c r="P76" s="43" t="s">
        <v>792</v>
      </c>
      <c r="Q76" s="49">
        <f t="shared" si="0"/>
        <v>203.15</v>
      </c>
    </row>
    <row r="77" spans="1:17" s="18" customFormat="1" ht="42.75" x14ac:dyDescent="0.25">
      <c r="A77" s="26" t="s">
        <v>690</v>
      </c>
      <c r="B77" s="14" t="s">
        <v>654</v>
      </c>
      <c r="C77" s="13" t="s">
        <v>620</v>
      </c>
      <c r="D77" s="14">
        <v>26.5</v>
      </c>
      <c r="E77" s="13" t="s">
        <v>127</v>
      </c>
      <c r="F77" s="13" t="s">
        <v>130</v>
      </c>
      <c r="G77" s="151">
        <v>0.83</v>
      </c>
      <c r="H77" s="151">
        <v>0.17</v>
      </c>
      <c r="I77" s="47">
        <v>42186</v>
      </c>
      <c r="J77" s="47">
        <v>42339</v>
      </c>
      <c r="K77" s="14" t="s">
        <v>132</v>
      </c>
      <c r="L77" s="14" t="s">
        <v>687</v>
      </c>
      <c r="M77" s="49"/>
      <c r="N77" s="20"/>
      <c r="O77" s="20"/>
      <c r="P77" s="43" t="s">
        <v>792</v>
      </c>
      <c r="Q77" s="49">
        <f t="shared" si="0"/>
        <v>21.994999999999997</v>
      </c>
    </row>
    <row r="78" spans="1:17" s="18" customFormat="1" ht="24" x14ac:dyDescent="0.25">
      <c r="A78" s="43" t="s">
        <v>739</v>
      </c>
      <c r="B78" s="51" t="s">
        <v>740</v>
      </c>
      <c r="C78" s="43">
        <v>3</v>
      </c>
      <c r="D78" s="176">
        <v>1000</v>
      </c>
      <c r="E78" s="43" t="s">
        <v>129</v>
      </c>
      <c r="F78" s="43" t="s">
        <v>130</v>
      </c>
      <c r="G78" s="177">
        <v>1</v>
      </c>
      <c r="H78" s="177">
        <v>0</v>
      </c>
      <c r="I78" s="47">
        <v>42248</v>
      </c>
      <c r="J78" s="47">
        <v>42401</v>
      </c>
      <c r="K78" s="51" t="s">
        <v>132</v>
      </c>
      <c r="L78" s="48" t="s">
        <v>745</v>
      </c>
      <c r="M78" s="49"/>
      <c r="N78" s="20"/>
      <c r="O78" s="20"/>
      <c r="P78" s="43" t="s">
        <v>792</v>
      </c>
      <c r="Q78" s="49">
        <f t="shared" ref="Q78:Q83" si="1">+$D78*G78</f>
        <v>1000</v>
      </c>
    </row>
    <row r="79" spans="1:17" s="18" customFormat="1" ht="36" x14ac:dyDescent="0.25">
      <c r="A79" s="43" t="s">
        <v>741</v>
      </c>
      <c r="B79" s="51" t="s">
        <v>742</v>
      </c>
      <c r="C79" s="127" t="s">
        <v>620</v>
      </c>
      <c r="D79" s="176">
        <v>50</v>
      </c>
      <c r="E79" s="43" t="s">
        <v>127</v>
      </c>
      <c r="F79" s="43" t="s">
        <v>130</v>
      </c>
      <c r="G79" s="177">
        <v>0</v>
      </c>
      <c r="H79" s="177">
        <v>1</v>
      </c>
      <c r="I79" s="47">
        <v>42248</v>
      </c>
      <c r="J79" s="47">
        <v>42339</v>
      </c>
      <c r="K79" s="51" t="s">
        <v>132</v>
      </c>
      <c r="L79" s="48" t="s">
        <v>747</v>
      </c>
      <c r="M79" s="49"/>
      <c r="N79" s="20"/>
      <c r="O79" s="20"/>
      <c r="P79" s="43" t="s">
        <v>792</v>
      </c>
      <c r="Q79" s="49">
        <f t="shared" si="1"/>
        <v>0</v>
      </c>
    </row>
    <row r="80" spans="1:17" s="18" customFormat="1" ht="36" x14ac:dyDescent="0.25">
      <c r="A80" s="43" t="s">
        <v>743</v>
      </c>
      <c r="B80" s="51" t="s">
        <v>744</v>
      </c>
      <c r="C80" s="127" t="s">
        <v>620</v>
      </c>
      <c r="D80" s="176">
        <v>226</v>
      </c>
      <c r="E80" s="43" t="s">
        <v>127</v>
      </c>
      <c r="F80" s="43" t="s">
        <v>130</v>
      </c>
      <c r="G80" s="177">
        <v>1</v>
      </c>
      <c r="H80" s="177">
        <v>0</v>
      </c>
      <c r="I80" s="47">
        <v>42248</v>
      </c>
      <c r="J80" s="47">
        <v>42339</v>
      </c>
      <c r="K80" s="51" t="s">
        <v>132</v>
      </c>
      <c r="L80" s="48" t="s">
        <v>746</v>
      </c>
      <c r="M80" s="49"/>
      <c r="N80" s="20"/>
      <c r="O80" s="20"/>
      <c r="P80" s="43" t="s">
        <v>792</v>
      </c>
      <c r="Q80" s="49">
        <f t="shared" si="1"/>
        <v>226</v>
      </c>
    </row>
    <row r="81" spans="1:17" s="18" customFormat="1" ht="36" x14ac:dyDescent="0.25">
      <c r="A81" s="43" t="s">
        <v>758</v>
      </c>
      <c r="B81" s="51" t="s">
        <v>777</v>
      </c>
      <c r="C81" s="127" t="s">
        <v>620</v>
      </c>
      <c r="D81" s="176">
        <v>15</v>
      </c>
      <c r="E81" s="43" t="s">
        <v>127</v>
      </c>
      <c r="F81" s="43" t="s">
        <v>130</v>
      </c>
      <c r="G81" s="177">
        <v>1</v>
      </c>
      <c r="H81" s="177">
        <v>0</v>
      </c>
      <c r="I81" s="47">
        <v>42248</v>
      </c>
      <c r="J81" s="47">
        <v>42339</v>
      </c>
      <c r="K81" s="51" t="s">
        <v>132</v>
      </c>
      <c r="L81" s="48" t="s">
        <v>776</v>
      </c>
      <c r="M81" s="49"/>
      <c r="N81" s="20"/>
      <c r="O81" s="20"/>
      <c r="P81" s="43" t="s">
        <v>792</v>
      </c>
      <c r="Q81" s="49">
        <f t="shared" si="1"/>
        <v>15</v>
      </c>
    </row>
    <row r="82" spans="1:17" s="18" customFormat="1" ht="36" x14ac:dyDescent="0.25">
      <c r="A82" s="43" t="s">
        <v>779</v>
      </c>
      <c r="B82" s="51" t="s">
        <v>780</v>
      </c>
      <c r="C82" s="127" t="s">
        <v>620</v>
      </c>
      <c r="D82" s="176">
        <v>7</v>
      </c>
      <c r="E82" s="43" t="s">
        <v>127</v>
      </c>
      <c r="F82" s="43" t="s">
        <v>130</v>
      </c>
      <c r="G82" s="177">
        <v>1</v>
      </c>
      <c r="H82" s="177">
        <v>0</v>
      </c>
      <c r="I82" s="47">
        <v>42248</v>
      </c>
      <c r="J82" s="47">
        <v>42339</v>
      </c>
      <c r="K82" s="51" t="s">
        <v>132</v>
      </c>
      <c r="L82" s="48" t="s">
        <v>781</v>
      </c>
      <c r="M82" s="49"/>
      <c r="N82" s="20"/>
      <c r="O82" s="20"/>
      <c r="P82" s="43" t="s">
        <v>792</v>
      </c>
      <c r="Q82" s="49">
        <f t="shared" si="1"/>
        <v>7</v>
      </c>
    </row>
    <row r="83" spans="1:17" s="18" customFormat="1" ht="14.25" x14ac:dyDescent="0.25">
      <c r="A83" s="160"/>
      <c r="B83" s="162"/>
      <c r="C83" s="160"/>
      <c r="D83" s="178"/>
      <c r="E83" s="160"/>
      <c r="F83" s="160"/>
      <c r="G83" s="179"/>
      <c r="H83" s="179"/>
      <c r="I83" s="166"/>
      <c r="J83" s="166"/>
      <c r="K83" s="162"/>
      <c r="L83" s="167"/>
      <c r="M83" s="158"/>
      <c r="N83" s="20"/>
      <c r="O83" s="20"/>
      <c r="P83" s="43" t="s">
        <v>792</v>
      </c>
      <c r="Q83" s="49">
        <f t="shared" si="1"/>
        <v>0</v>
      </c>
    </row>
    <row r="84" spans="1:17" s="18" customFormat="1" ht="14.25" x14ac:dyDescent="0.25">
      <c r="A84" s="43"/>
      <c r="B84" s="51"/>
      <c r="C84" s="43"/>
      <c r="D84" s="51"/>
      <c r="E84" s="43"/>
      <c r="F84" s="43"/>
      <c r="G84" s="177"/>
      <c r="H84" s="177"/>
      <c r="I84" s="47"/>
      <c r="J84" s="47"/>
      <c r="K84" s="51"/>
      <c r="L84" s="51"/>
      <c r="M84" s="49"/>
      <c r="N84" s="20"/>
      <c r="O84" s="20"/>
      <c r="P84" s="170"/>
      <c r="Q84" s="171"/>
    </row>
    <row r="85" spans="1:17" s="18" customFormat="1" ht="30" customHeight="1" x14ac:dyDescent="0.25">
      <c r="A85" s="141" t="s">
        <v>52</v>
      </c>
      <c r="B85" s="141"/>
      <c r="C85" s="106"/>
      <c r="D85" s="86">
        <f>SUM(D13:D77)</f>
        <v>42020.352089020984</v>
      </c>
      <c r="E85" s="107"/>
      <c r="F85" s="108"/>
      <c r="G85" s="86">
        <f>SUMPRODUCT(G13:G77,$D$13:$D$77)</f>
        <v>33198.194130249401</v>
      </c>
      <c r="H85" s="86">
        <f>SUMPRODUCT(H13:H77,$D$13:$D$77)</f>
        <v>8822.1579587715805</v>
      </c>
      <c r="I85" s="109"/>
      <c r="J85" s="109"/>
      <c r="K85" s="110"/>
      <c r="L85" s="111"/>
      <c r="M85" s="112"/>
      <c r="P85" s="170"/>
      <c r="Q85" s="171"/>
    </row>
    <row r="86" spans="1:17" s="18" customFormat="1" ht="15" x14ac:dyDescent="0.25">
      <c r="A86" s="87"/>
      <c r="B86" s="87"/>
      <c r="C86" s="87"/>
      <c r="D86" s="88"/>
      <c r="E86" s="89"/>
      <c r="F86" s="90"/>
      <c r="G86" s="91"/>
      <c r="H86" s="92"/>
      <c r="I86" s="93"/>
      <c r="J86" s="93"/>
      <c r="K86" s="94"/>
      <c r="L86" s="95"/>
      <c r="M86" s="96"/>
      <c r="P86" s="170"/>
      <c r="Q86" s="171"/>
    </row>
    <row r="87" spans="1:17" s="18" customFormat="1" ht="30.75" customHeight="1" x14ac:dyDescent="0.25">
      <c r="A87" s="139" t="s">
        <v>56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3"/>
      <c r="P87" s="170"/>
      <c r="Q87" s="171"/>
    </row>
    <row r="88" spans="1:17" s="50" customFormat="1" ht="28.5" x14ac:dyDescent="0.25">
      <c r="A88" s="43" t="s">
        <v>146</v>
      </c>
      <c r="B88" s="51" t="s">
        <v>390</v>
      </c>
      <c r="C88" s="127" t="s">
        <v>620</v>
      </c>
      <c r="D88" s="45">
        <f>542/1.964</f>
        <v>275.96741344195522</v>
      </c>
      <c r="E88" s="43" t="s">
        <v>169</v>
      </c>
      <c r="F88" s="43" t="s">
        <v>130</v>
      </c>
      <c r="G88" s="46">
        <v>0</v>
      </c>
      <c r="H88" s="46">
        <v>1</v>
      </c>
      <c r="I88" s="21">
        <v>40878</v>
      </c>
      <c r="J88" s="21">
        <v>41395</v>
      </c>
      <c r="K88" s="43" t="s">
        <v>309</v>
      </c>
      <c r="L88" s="48" t="s">
        <v>450</v>
      </c>
      <c r="M88" s="49"/>
      <c r="P88" s="43" t="s">
        <v>792</v>
      </c>
      <c r="Q88" s="49">
        <f t="shared" ref="Q88:Q117" si="2">+$D88*G88</f>
        <v>0</v>
      </c>
    </row>
    <row r="89" spans="1:17" s="50" customFormat="1" ht="28.5" x14ac:dyDescent="0.25">
      <c r="A89" s="43" t="s">
        <v>147</v>
      </c>
      <c r="B89" s="51" t="s">
        <v>391</v>
      </c>
      <c r="C89" s="127" t="s">
        <v>620</v>
      </c>
      <c r="D89" s="45">
        <f>395.235/1.964</f>
        <v>201.23981670061102</v>
      </c>
      <c r="E89" s="43" t="s">
        <v>169</v>
      </c>
      <c r="F89" s="43" t="s">
        <v>130</v>
      </c>
      <c r="G89" s="46">
        <v>0</v>
      </c>
      <c r="H89" s="46">
        <v>1</v>
      </c>
      <c r="I89" s="21">
        <v>40483</v>
      </c>
      <c r="J89" s="21">
        <v>41395</v>
      </c>
      <c r="K89" s="43" t="s">
        <v>309</v>
      </c>
      <c r="L89" s="48" t="s">
        <v>448</v>
      </c>
      <c r="M89" s="49"/>
      <c r="P89" s="43" t="s">
        <v>792</v>
      </c>
      <c r="Q89" s="49">
        <f t="shared" si="2"/>
        <v>0</v>
      </c>
    </row>
    <row r="90" spans="1:17" s="56" customFormat="1" ht="28.5" x14ac:dyDescent="0.25">
      <c r="A90" s="43" t="s">
        <v>148</v>
      </c>
      <c r="B90" s="51" t="s">
        <v>488</v>
      </c>
      <c r="C90" s="127" t="s">
        <v>620</v>
      </c>
      <c r="D90" s="45">
        <v>569.41099999999994</v>
      </c>
      <c r="E90" s="43" t="s">
        <v>129</v>
      </c>
      <c r="F90" s="43" t="s">
        <v>130</v>
      </c>
      <c r="G90" s="46">
        <v>1</v>
      </c>
      <c r="H90" s="46">
        <v>0</v>
      </c>
      <c r="I90" s="47">
        <v>42095</v>
      </c>
      <c r="J90" s="47">
        <v>42430</v>
      </c>
      <c r="K90" s="43" t="s">
        <v>132</v>
      </c>
      <c r="L90" s="48" t="s">
        <v>449</v>
      </c>
      <c r="M90" s="49"/>
      <c r="P90" s="43" t="s">
        <v>792</v>
      </c>
      <c r="Q90" s="49">
        <f t="shared" si="2"/>
        <v>569.41099999999994</v>
      </c>
    </row>
    <row r="91" spans="1:17" s="57" customFormat="1" ht="28.5" x14ac:dyDescent="0.25">
      <c r="A91" s="43" t="s">
        <v>149</v>
      </c>
      <c r="B91" s="51" t="s">
        <v>754</v>
      </c>
      <c r="C91" s="127" t="s">
        <v>620</v>
      </c>
      <c r="D91" s="45">
        <v>285.85899999999998</v>
      </c>
      <c r="E91" s="43" t="s">
        <v>129</v>
      </c>
      <c r="F91" s="43" t="s">
        <v>130</v>
      </c>
      <c r="G91" s="46">
        <v>1</v>
      </c>
      <c r="H91" s="46">
        <v>0</v>
      </c>
      <c r="I91" s="47">
        <v>42278</v>
      </c>
      <c r="J91" s="47">
        <v>42614</v>
      </c>
      <c r="K91" s="43" t="s">
        <v>132</v>
      </c>
      <c r="L91" s="48" t="s">
        <v>755</v>
      </c>
      <c r="M91" s="49"/>
      <c r="P91" s="43" t="s">
        <v>792</v>
      </c>
      <c r="Q91" s="49">
        <f t="shared" si="2"/>
        <v>285.85899999999998</v>
      </c>
    </row>
    <row r="92" spans="1:17" s="56" customFormat="1" ht="28.5" x14ac:dyDescent="0.25">
      <c r="A92" s="43" t="s">
        <v>150</v>
      </c>
      <c r="B92" s="51" t="s">
        <v>572</v>
      </c>
      <c r="C92" s="127" t="s">
        <v>620</v>
      </c>
      <c r="D92" s="45">
        <v>1213</v>
      </c>
      <c r="E92" s="43" t="s">
        <v>129</v>
      </c>
      <c r="F92" s="43" t="s">
        <v>130</v>
      </c>
      <c r="G92" s="46">
        <v>1</v>
      </c>
      <c r="H92" s="46">
        <v>0</v>
      </c>
      <c r="I92" s="47">
        <v>42156</v>
      </c>
      <c r="J92" s="47">
        <v>42614</v>
      </c>
      <c r="K92" s="43" t="s">
        <v>132</v>
      </c>
      <c r="L92" s="48" t="s">
        <v>667</v>
      </c>
      <c r="M92" s="49"/>
      <c r="P92" s="43" t="s">
        <v>792</v>
      </c>
      <c r="Q92" s="49">
        <f t="shared" si="2"/>
        <v>1213</v>
      </c>
    </row>
    <row r="93" spans="1:17" s="56" customFormat="1" ht="28.5" x14ac:dyDescent="0.25">
      <c r="A93" s="43" t="s">
        <v>151</v>
      </c>
      <c r="B93" s="51" t="s">
        <v>161</v>
      </c>
      <c r="C93" s="127" t="s">
        <v>620</v>
      </c>
      <c r="D93" s="45">
        <v>285.08800000000002</v>
      </c>
      <c r="E93" s="43" t="s">
        <v>129</v>
      </c>
      <c r="F93" s="43" t="s">
        <v>130</v>
      </c>
      <c r="G93" s="46">
        <v>1</v>
      </c>
      <c r="H93" s="46">
        <v>0</v>
      </c>
      <c r="I93" s="47">
        <v>42095</v>
      </c>
      <c r="J93" s="47">
        <v>42430</v>
      </c>
      <c r="K93" s="43" t="s">
        <v>132</v>
      </c>
      <c r="L93" s="48" t="s">
        <v>451</v>
      </c>
      <c r="M93" s="51"/>
      <c r="P93" s="43" t="s">
        <v>792</v>
      </c>
      <c r="Q93" s="49">
        <f t="shared" si="2"/>
        <v>285.08800000000002</v>
      </c>
    </row>
    <row r="94" spans="1:17" s="50" customFormat="1" ht="28.5" x14ac:dyDescent="0.25">
      <c r="A94" s="43" t="s">
        <v>152</v>
      </c>
      <c r="B94" s="51" t="s">
        <v>162</v>
      </c>
      <c r="C94" s="127" t="s">
        <v>620</v>
      </c>
      <c r="D94" s="45">
        <v>307.01799999999997</v>
      </c>
      <c r="E94" s="43" t="s">
        <v>169</v>
      </c>
      <c r="F94" s="43" t="s">
        <v>130</v>
      </c>
      <c r="G94" s="46">
        <v>0</v>
      </c>
      <c r="H94" s="46">
        <v>1</v>
      </c>
      <c r="I94" s="47">
        <v>42095</v>
      </c>
      <c r="J94" s="47">
        <v>42430</v>
      </c>
      <c r="K94" s="43" t="s">
        <v>132</v>
      </c>
      <c r="L94" s="48" t="s">
        <v>452</v>
      </c>
      <c r="M94" s="49"/>
      <c r="P94" s="43" t="s">
        <v>792</v>
      </c>
      <c r="Q94" s="49">
        <f t="shared" si="2"/>
        <v>0</v>
      </c>
    </row>
    <row r="95" spans="1:17" s="28" customFormat="1" ht="24" x14ac:dyDescent="0.25">
      <c r="A95" s="26" t="s">
        <v>153</v>
      </c>
      <c r="B95" s="25" t="s">
        <v>163</v>
      </c>
      <c r="C95" s="127" t="s">
        <v>620</v>
      </c>
      <c r="D95" s="27">
        <f>6565.702-67</f>
        <v>6498.7020000000002</v>
      </c>
      <c r="E95" s="26" t="s">
        <v>129</v>
      </c>
      <c r="F95" s="26" t="s">
        <v>130</v>
      </c>
      <c r="G95" s="81">
        <v>0.39</v>
      </c>
      <c r="H95" s="81">
        <v>0.61</v>
      </c>
      <c r="I95" s="47">
        <v>42430</v>
      </c>
      <c r="J95" s="47">
        <v>42705</v>
      </c>
      <c r="K95" s="26" t="s">
        <v>132</v>
      </c>
      <c r="L95" s="42" t="s">
        <v>453</v>
      </c>
      <c r="M95" s="62"/>
      <c r="P95" s="43" t="s">
        <v>792</v>
      </c>
      <c r="Q95" s="49">
        <f t="shared" si="2"/>
        <v>2534.4937800000002</v>
      </c>
    </row>
    <row r="96" spans="1:17" s="50" customFormat="1" ht="24" x14ac:dyDescent="0.25">
      <c r="A96" s="43" t="s">
        <v>154</v>
      </c>
      <c r="B96" s="51" t="s">
        <v>164</v>
      </c>
      <c r="C96" s="127" t="s">
        <v>620</v>
      </c>
      <c r="D96" s="45">
        <f>371.053+492</f>
        <v>863.053</v>
      </c>
      <c r="E96" s="43" t="s">
        <v>129</v>
      </c>
      <c r="F96" s="43" t="s">
        <v>130</v>
      </c>
      <c r="G96" s="46">
        <v>1</v>
      </c>
      <c r="H96" s="46">
        <v>0</v>
      </c>
      <c r="I96" s="21">
        <v>41183</v>
      </c>
      <c r="J96" s="47">
        <v>41913</v>
      </c>
      <c r="K96" s="43" t="s">
        <v>491</v>
      </c>
      <c r="L96" s="48" t="s">
        <v>454</v>
      </c>
      <c r="M96" s="49"/>
      <c r="P96" s="43" t="s">
        <v>792</v>
      </c>
      <c r="Q96" s="49">
        <f t="shared" si="2"/>
        <v>863.053</v>
      </c>
    </row>
    <row r="97" spans="1:17" s="50" customFormat="1" ht="28.5" x14ac:dyDescent="0.25">
      <c r="A97" s="43" t="s">
        <v>155</v>
      </c>
      <c r="B97" s="51" t="s">
        <v>730</v>
      </c>
      <c r="C97" s="127" t="s">
        <v>620</v>
      </c>
      <c r="D97" s="45">
        <f>645.73+50</f>
        <v>695.73</v>
      </c>
      <c r="E97" s="43" t="s">
        <v>129</v>
      </c>
      <c r="F97" s="43" t="s">
        <v>130</v>
      </c>
      <c r="G97" s="46">
        <v>0.73</v>
      </c>
      <c r="H97" s="46">
        <v>0.27</v>
      </c>
      <c r="I97" s="21">
        <v>41395</v>
      </c>
      <c r="J97" s="47">
        <v>41913</v>
      </c>
      <c r="K97" s="43" t="s">
        <v>491</v>
      </c>
      <c r="L97" s="48" t="s">
        <v>456</v>
      </c>
      <c r="M97" s="49"/>
      <c r="P97" s="43" t="s">
        <v>792</v>
      </c>
      <c r="Q97" s="49">
        <f t="shared" si="2"/>
        <v>507.88290000000001</v>
      </c>
    </row>
    <row r="98" spans="1:17" s="50" customFormat="1" ht="28.5" x14ac:dyDescent="0.25">
      <c r="A98" s="43" t="s">
        <v>156</v>
      </c>
      <c r="B98" s="51" t="s">
        <v>165</v>
      </c>
      <c r="C98" s="127" t="s">
        <v>620</v>
      </c>
      <c r="D98" s="45">
        <f>426.31-50</f>
        <v>376.31</v>
      </c>
      <c r="E98" s="43" t="s">
        <v>129</v>
      </c>
      <c r="F98" s="43" t="s">
        <v>130</v>
      </c>
      <c r="G98" s="46">
        <v>1</v>
      </c>
      <c r="H98" s="46">
        <v>0</v>
      </c>
      <c r="I98" s="47">
        <v>42064</v>
      </c>
      <c r="J98" s="47">
        <v>42339</v>
      </c>
      <c r="K98" s="43" t="s">
        <v>132</v>
      </c>
      <c r="L98" s="48" t="s">
        <v>457</v>
      </c>
      <c r="M98" s="49"/>
      <c r="P98" s="43" t="s">
        <v>792</v>
      </c>
      <c r="Q98" s="49">
        <f t="shared" si="2"/>
        <v>376.31</v>
      </c>
    </row>
    <row r="99" spans="1:17" s="50" customFormat="1" ht="28.5" x14ac:dyDescent="0.25">
      <c r="A99" s="43" t="s">
        <v>157</v>
      </c>
      <c r="B99" s="51" t="s">
        <v>166</v>
      </c>
      <c r="C99" s="127" t="s">
        <v>620</v>
      </c>
      <c r="D99" s="45">
        <v>2668.41</v>
      </c>
      <c r="E99" s="43" t="s">
        <v>129</v>
      </c>
      <c r="F99" s="43" t="s">
        <v>130</v>
      </c>
      <c r="G99" s="46">
        <v>1</v>
      </c>
      <c r="H99" s="46">
        <v>0</v>
      </c>
      <c r="I99" s="47">
        <v>42125</v>
      </c>
      <c r="J99" s="47">
        <v>42522</v>
      </c>
      <c r="K99" s="43" t="s">
        <v>132</v>
      </c>
      <c r="L99" s="48" t="s">
        <v>677</v>
      </c>
      <c r="M99" s="49"/>
      <c r="P99" s="43" t="s">
        <v>792</v>
      </c>
      <c r="Q99" s="49">
        <f t="shared" si="2"/>
        <v>2668.41</v>
      </c>
    </row>
    <row r="100" spans="1:17" s="50" customFormat="1" ht="28.5" x14ac:dyDescent="0.25">
      <c r="A100" s="43" t="s">
        <v>158</v>
      </c>
      <c r="B100" s="51" t="s">
        <v>167</v>
      </c>
      <c r="C100" s="127" t="s">
        <v>620</v>
      </c>
      <c r="D100" s="45">
        <v>593.42100000000005</v>
      </c>
      <c r="E100" s="43" t="s">
        <v>129</v>
      </c>
      <c r="F100" s="43" t="s">
        <v>130</v>
      </c>
      <c r="G100" s="46">
        <v>1</v>
      </c>
      <c r="H100" s="46">
        <v>0</v>
      </c>
      <c r="I100" s="47">
        <v>42036</v>
      </c>
      <c r="J100" s="47">
        <v>42339</v>
      </c>
      <c r="K100" s="43" t="s">
        <v>132</v>
      </c>
      <c r="L100" s="48" t="s">
        <v>429</v>
      </c>
      <c r="M100" s="51"/>
      <c r="P100" s="43" t="s">
        <v>792</v>
      </c>
      <c r="Q100" s="49">
        <f t="shared" si="2"/>
        <v>593.42100000000005</v>
      </c>
    </row>
    <row r="101" spans="1:17" s="50" customFormat="1" ht="28.5" x14ac:dyDescent="0.25">
      <c r="A101" s="43" t="s">
        <v>159</v>
      </c>
      <c r="B101" s="51" t="s">
        <v>46</v>
      </c>
      <c r="C101" s="127" t="s">
        <v>620</v>
      </c>
      <c r="D101" s="45">
        <v>483.61</v>
      </c>
      <c r="E101" s="43" t="s">
        <v>129</v>
      </c>
      <c r="F101" s="43" t="s">
        <v>130</v>
      </c>
      <c r="G101" s="46">
        <v>0.63</v>
      </c>
      <c r="H101" s="46">
        <v>0.37</v>
      </c>
      <c r="I101" s="21">
        <v>41426</v>
      </c>
      <c r="J101" s="47">
        <v>41852</v>
      </c>
      <c r="K101" s="70" t="s">
        <v>309</v>
      </c>
      <c r="L101" s="48" t="s">
        <v>375</v>
      </c>
      <c r="M101" s="49"/>
      <c r="P101" s="43" t="s">
        <v>792</v>
      </c>
      <c r="Q101" s="49">
        <f t="shared" si="2"/>
        <v>304.67430000000002</v>
      </c>
    </row>
    <row r="102" spans="1:17" s="50" customFormat="1" ht="27.6" customHeight="1" x14ac:dyDescent="0.25">
      <c r="A102" s="43" t="s">
        <v>160</v>
      </c>
      <c r="B102" s="51" t="s">
        <v>65</v>
      </c>
      <c r="C102" s="127" t="s">
        <v>620</v>
      </c>
      <c r="D102" s="45">
        <v>1235</v>
      </c>
      <c r="E102" s="43" t="s">
        <v>129</v>
      </c>
      <c r="F102" s="43" t="s">
        <v>130</v>
      </c>
      <c r="G102" s="46">
        <v>1</v>
      </c>
      <c r="H102" s="46">
        <v>0</v>
      </c>
      <c r="I102" s="47">
        <v>42248</v>
      </c>
      <c r="J102" s="47">
        <v>42675</v>
      </c>
      <c r="K102" s="43" t="s">
        <v>132</v>
      </c>
      <c r="L102" s="48" t="s">
        <v>778</v>
      </c>
      <c r="M102" s="49"/>
      <c r="P102" s="43" t="s">
        <v>792</v>
      </c>
      <c r="Q102" s="49">
        <f t="shared" si="2"/>
        <v>1235</v>
      </c>
    </row>
    <row r="103" spans="1:17" s="50" customFormat="1" ht="28.5" x14ac:dyDescent="0.25">
      <c r="A103" s="43" t="s">
        <v>168</v>
      </c>
      <c r="B103" s="51" t="s">
        <v>580</v>
      </c>
      <c r="C103" s="127" t="s">
        <v>622</v>
      </c>
      <c r="D103" s="45">
        <v>17990.240000000002</v>
      </c>
      <c r="E103" s="43" t="s">
        <v>121</v>
      </c>
      <c r="F103" s="43" t="s">
        <v>131</v>
      </c>
      <c r="G103" s="46">
        <v>0.26</v>
      </c>
      <c r="H103" s="46">
        <v>0.74</v>
      </c>
      <c r="I103" s="47">
        <v>41760</v>
      </c>
      <c r="J103" s="47">
        <v>42675</v>
      </c>
      <c r="K103" s="43" t="s">
        <v>0</v>
      </c>
      <c r="L103" s="48" t="s">
        <v>633</v>
      </c>
      <c r="M103" s="152"/>
      <c r="P103" s="43" t="s">
        <v>791</v>
      </c>
      <c r="Q103" s="49">
        <f t="shared" si="2"/>
        <v>4677.4624000000003</v>
      </c>
    </row>
    <row r="104" spans="1:17" s="50" customFormat="1" ht="28.5" x14ac:dyDescent="0.25">
      <c r="A104" s="43" t="s">
        <v>315</v>
      </c>
      <c r="B104" s="51" t="s">
        <v>79</v>
      </c>
      <c r="C104" s="127" t="s">
        <v>621</v>
      </c>
      <c r="D104" s="45">
        <v>4720.8500000000004</v>
      </c>
      <c r="E104" s="43" t="s">
        <v>129</v>
      </c>
      <c r="F104" s="43" t="s">
        <v>130</v>
      </c>
      <c r="G104" s="46">
        <v>1</v>
      </c>
      <c r="H104" s="46">
        <v>0</v>
      </c>
      <c r="I104" s="47">
        <v>41518</v>
      </c>
      <c r="J104" s="47">
        <v>42278</v>
      </c>
      <c r="K104" s="145" t="s">
        <v>233</v>
      </c>
      <c r="L104" s="48" t="s">
        <v>458</v>
      </c>
      <c r="M104" s="152"/>
      <c r="P104" s="43" t="s">
        <v>792</v>
      </c>
      <c r="Q104" s="49">
        <f t="shared" si="2"/>
        <v>4720.8500000000004</v>
      </c>
    </row>
    <row r="105" spans="1:17" s="18" customFormat="1" ht="28.5" x14ac:dyDescent="0.25">
      <c r="A105" s="43" t="s">
        <v>83</v>
      </c>
      <c r="B105" s="51" t="s">
        <v>80</v>
      </c>
      <c r="C105" s="127" t="s">
        <v>621</v>
      </c>
      <c r="D105" s="45">
        <v>5461.16</v>
      </c>
      <c r="E105" s="43" t="s">
        <v>129</v>
      </c>
      <c r="F105" s="43" t="s">
        <v>130</v>
      </c>
      <c r="G105" s="46">
        <v>0.36</v>
      </c>
      <c r="H105" s="46">
        <v>0.64</v>
      </c>
      <c r="I105" s="47">
        <v>41518</v>
      </c>
      <c r="J105" s="47">
        <v>42339</v>
      </c>
      <c r="K105" s="145" t="s">
        <v>233</v>
      </c>
      <c r="L105" s="48" t="s">
        <v>459</v>
      </c>
      <c r="M105" s="152"/>
      <c r="P105" s="43" t="s">
        <v>792</v>
      </c>
      <c r="Q105" s="49">
        <f t="shared" si="2"/>
        <v>1966.0175999999999</v>
      </c>
    </row>
    <row r="106" spans="1:17" s="18" customFormat="1" ht="57" x14ac:dyDescent="0.25">
      <c r="A106" s="43" t="s">
        <v>84</v>
      </c>
      <c r="B106" s="51" t="s">
        <v>756</v>
      </c>
      <c r="C106" s="127" t="s">
        <v>621</v>
      </c>
      <c r="D106" s="45">
        <v>11336.05</v>
      </c>
      <c r="E106" s="43" t="s">
        <v>129</v>
      </c>
      <c r="F106" s="43" t="s">
        <v>574</v>
      </c>
      <c r="G106" s="46">
        <v>0.05</v>
      </c>
      <c r="H106" s="46">
        <v>0.95</v>
      </c>
      <c r="I106" s="47">
        <v>42248</v>
      </c>
      <c r="J106" s="47">
        <v>42675</v>
      </c>
      <c r="K106" s="145" t="s">
        <v>132</v>
      </c>
      <c r="L106" s="48" t="s">
        <v>757</v>
      </c>
      <c r="M106" s="152"/>
      <c r="P106" s="43" t="s">
        <v>792</v>
      </c>
      <c r="Q106" s="49">
        <f t="shared" si="2"/>
        <v>566.80250000000001</v>
      </c>
    </row>
    <row r="107" spans="1:17" s="18" customFormat="1" ht="28.5" x14ac:dyDescent="0.25">
      <c r="A107" s="13" t="s">
        <v>363</v>
      </c>
      <c r="B107" s="14" t="s">
        <v>392</v>
      </c>
      <c r="C107" s="127" t="s">
        <v>620</v>
      </c>
      <c r="D107" s="15">
        <v>361.625</v>
      </c>
      <c r="E107" s="13" t="s">
        <v>169</v>
      </c>
      <c r="F107" s="13" t="s">
        <v>130</v>
      </c>
      <c r="G107" s="46">
        <v>0</v>
      </c>
      <c r="H107" s="46">
        <v>1</v>
      </c>
      <c r="I107" s="16">
        <v>40057</v>
      </c>
      <c r="J107" s="16">
        <v>41306</v>
      </c>
      <c r="K107" s="13" t="s">
        <v>309</v>
      </c>
      <c r="L107" s="41" t="s">
        <v>469</v>
      </c>
      <c r="M107" s="152"/>
      <c r="P107" s="43" t="s">
        <v>792</v>
      </c>
      <c r="Q107" s="49">
        <f t="shared" si="2"/>
        <v>0</v>
      </c>
    </row>
    <row r="108" spans="1:17" s="28" customFormat="1" ht="28.5" x14ac:dyDescent="0.25">
      <c r="A108" s="43" t="s">
        <v>386</v>
      </c>
      <c r="B108" s="25" t="s">
        <v>393</v>
      </c>
      <c r="C108" s="130" t="s">
        <v>620</v>
      </c>
      <c r="D108" s="27">
        <v>567.07600000000002</v>
      </c>
      <c r="E108" s="26" t="s">
        <v>129</v>
      </c>
      <c r="F108" s="26" t="s">
        <v>130</v>
      </c>
      <c r="G108" s="46">
        <v>1</v>
      </c>
      <c r="H108" s="46">
        <v>0</v>
      </c>
      <c r="I108" s="21">
        <v>40087</v>
      </c>
      <c r="J108" s="21">
        <v>41395</v>
      </c>
      <c r="K108" s="26" t="s">
        <v>491</v>
      </c>
      <c r="L108" s="42" t="s">
        <v>470</v>
      </c>
      <c r="M108" s="152"/>
      <c r="P108" s="43" t="s">
        <v>792</v>
      </c>
      <c r="Q108" s="49">
        <f t="shared" si="2"/>
        <v>567.07600000000002</v>
      </c>
    </row>
    <row r="109" spans="1:17" s="18" customFormat="1" ht="24" x14ac:dyDescent="0.25">
      <c r="A109" s="13" t="s">
        <v>383</v>
      </c>
      <c r="B109" s="14" t="s">
        <v>731</v>
      </c>
      <c r="C109" s="127" t="s">
        <v>620</v>
      </c>
      <c r="D109" s="15">
        <v>315.31200000000001</v>
      </c>
      <c r="E109" s="13" t="s">
        <v>169</v>
      </c>
      <c r="F109" s="13" t="s">
        <v>130</v>
      </c>
      <c r="G109" s="46">
        <v>0</v>
      </c>
      <c r="H109" s="46">
        <v>1</v>
      </c>
      <c r="I109" s="16">
        <v>40513</v>
      </c>
      <c r="J109" s="16">
        <v>41061</v>
      </c>
      <c r="K109" s="13" t="s">
        <v>309</v>
      </c>
      <c r="L109" s="41" t="s">
        <v>460</v>
      </c>
      <c r="M109" s="152"/>
      <c r="P109" s="43" t="s">
        <v>792</v>
      </c>
      <c r="Q109" s="49">
        <f t="shared" si="2"/>
        <v>0</v>
      </c>
    </row>
    <row r="110" spans="1:17" s="18" customFormat="1" ht="24" x14ac:dyDescent="0.25">
      <c r="A110" s="13" t="s">
        <v>384</v>
      </c>
      <c r="B110" s="14" t="s">
        <v>371</v>
      </c>
      <c r="C110" s="127" t="s">
        <v>620</v>
      </c>
      <c r="D110" s="15">
        <v>17.428000000000001</v>
      </c>
      <c r="E110" s="13" t="s">
        <v>169</v>
      </c>
      <c r="F110" s="13" t="s">
        <v>130</v>
      </c>
      <c r="G110" s="46">
        <v>0</v>
      </c>
      <c r="H110" s="46">
        <v>1</v>
      </c>
      <c r="I110" s="21">
        <v>40087</v>
      </c>
      <c r="J110" s="21">
        <v>40148</v>
      </c>
      <c r="K110" s="13" t="s">
        <v>309</v>
      </c>
      <c r="L110" s="41" t="s">
        <v>471</v>
      </c>
      <c r="M110" s="152"/>
      <c r="P110" s="43" t="s">
        <v>792</v>
      </c>
      <c r="Q110" s="49">
        <f t="shared" si="2"/>
        <v>0</v>
      </c>
    </row>
    <row r="111" spans="1:17" s="18" customFormat="1" ht="71.25" x14ac:dyDescent="0.25">
      <c r="A111" s="13" t="s">
        <v>385</v>
      </c>
      <c r="B111" s="14" t="s">
        <v>394</v>
      </c>
      <c r="C111" s="127" t="s">
        <v>620</v>
      </c>
      <c r="D111" s="15">
        <f>327.195/1.75</f>
        <v>186.96857142857144</v>
      </c>
      <c r="E111" s="13" t="s">
        <v>169</v>
      </c>
      <c r="F111" s="13" t="s">
        <v>130</v>
      </c>
      <c r="G111" s="46">
        <v>0</v>
      </c>
      <c r="H111" s="46">
        <v>1</v>
      </c>
      <c r="I111" s="21">
        <v>40118</v>
      </c>
      <c r="J111" s="21">
        <v>41334</v>
      </c>
      <c r="K111" s="13" t="s">
        <v>491</v>
      </c>
      <c r="L111" s="41" t="s">
        <v>472</v>
      </c>
      <c r="M111" s="152"/>
      <c r="P111" s="43" t="s">
        <v>792</v>
      </c>
      <c r="Q111" s="49">
        <f t="shared" si="2"/>
        <v>0</v>
      </c>
    </row>
    <row r="112" spans="1:17" s="22" customFormat="1" ht="28.5" x14ac:dyDescent="0.25">
      <c r="A112" s="43" t="s">
        <v>387</v>
      </c>
      <c r="B112" s="14" t="s">
        <v>666</v>
      </c>
      <c r="C112" s="127" t="s">
        <v>620</v>
      </c>
      <c r="D112" s="15">
        <v>379.08</v>
      </c>
      <c r="E112" s="13" t="s">
        <v>129</v>
      </c>
      <c r="F112" s="13" t="s">
        <v>130</v>
      </c>
      <c r="G112" s="46">
        <v>0</v>
      </c>
      <c r="H112" s="46">
        <v>1</v>
      </c>
      <c r="I112" s="47">
        <v>42095</v>
      </c>
      <c r="J112" s="47">
        <v>42430</v>
      </c>
      <c r="K112" s="13" t="s">
        <v>132</v>
      </c>
      <c r="L112" s="41" t="s">
        <v>495</v>
      </c>
      <c r="M112" s="152"/>
      <c r="P112" s="43" t="s">
        <v>792</v>
      </c>
      <c r="Q112" s="49">
        <f t="shared" si="2"/>
        <v>0</v>
      </c>
    </row>
    <row r="113" spans="1:17" s="18" customFormat="1" ht="28.5" x14ac:dyDescent="0.25">
      <c r="A113" s="13" t="s">
        <v>404</v>
      </c>
      <c r="B113" s="14" t="s">
        <v>665</v>
      </c>
      <c r="C113" s="127" t="s">
        <v>620</v>
      </c>
      <c r="D113" s="15">
        <v>379.08300000000003</v>
      </c>
      <c r="E113" s="13" t="s">
        <v>129</v>
      </c>
      <c r="F113" s="13" t="s">
        <v>130</v>
      </c>
      <c r="G113" s="46">
        <v>1</v>
      </c>
      <c r="H113" s="46">
        <v>0</v>
      </c>
      <c r="I113" s="47">
        <v>42095</v>
      </c>
      <c r="J113" s="47">
        <v>42430</v>
      </c>
      <c r="K113" s="13" t="s">
        <v>132</v>
      </c>
      <c r="L113" s="41" t="s">
        <v>495</v>
      </c>
      <c r="M113" s="152"/>
      <c r="P113" s="43" t="s">
        <v>792</v>
      </c>
      <c r="Q113" s="49">
        <f t="shared" si="2"/>
        <v>379.08300000000003</v>
      </c>
    </row>
    <row r="114" spans="1:17" s="18" customFormat="1" ht="42.75" x14ac:dyDescent="0.25">
      <c r="A114" s="13" t="s">
        <v>405</v>
      </c>
      <c r="B114" s="23" t="s">
        <v>37</v>
      </c>
      <c r="C114" s="127" t="s">
        <v>622</v>
      </c>
      <c r="D114" s="15">
        <v>90013.51</v>
      </c>
      <c r="E114" s="13" t="s">
        <v>403</v>
      </c>
      <c r="F114" s="13" t="s">
        <v>130</v>
      </c>
      <c r="G114" s="46">
        <v>0</v>
      </c>
      <c r="H114" s="46">
        <v>1</v>
      </c>
      <c r="I114" s="21">
        <v>39652</v>
      </c>
      <c r="J114" s="21">
        <v>41284</v>
      </c>
      <c r="K114" s="43" t="s">
        <v>309</v>
      </c>
      <c r="L114" s="41" t="s">
        <v>627</v>
      </c>
      <c r="M114" s="147"/>
      <c r="P114" s="43" t="s">
        <v>791</v>
      </c>
      <c r="Q114" s="49">
        <f t="shared" si="2"/>
        <v>0</v>
      </c>
    </row>
    <row r="115" spans="1:17" s="20" customFormat="1" ht="42.75" x14ac:dyDescent="0.25">
      <c r="A115" s="13" t="s">
        <v>406</v>
      </c>
      <c r="B115" s="23" t="s">
        <v>38</v>
      </c>
      <c r="C115" s="127" t="s">
        <v>622</v>
      </c>
      <c r="D115" s="15">
        <v>68332.61</v>
      </c>
      <c r="E115" s="13" t="s">
        <v>403</v>
      </c>
      <c r="F115" s="13" t="s">
        <v>130</v>
      </c>
      <c r="G115" s="46">
        <v>0</v>
      </c>
      <c r="H115" s="46">
        <v>1</v>
      </c>
      <c r="I115" s="21">
        <v>39652</v>
      </c>
      <c r="J115" s="21">
        <v>41619</v>
      </c>
      <c r="K115" s="43" t="s">
        <v>309</v>
      </c>
      <c r="L115" s="41" t="s">
        <v>628</v>
      </c>
      <c r="M115" s="147"/>
      <c r="P115" s="43" t="s">
        <v>791</v>
      </c>
      <c r="Q115" s="49">
        <f t="shared" si="2"/>
        <v>0</v>
      </c>
    </row>
    <row r="116" spans="1:17" s="20" customFormat="1" ht="57" x14ac:dyDescent="0.25">
      <c r="A116" s="43" t="s">
        <v>407</v>
      </c>
      <c r="B116" s="23" t="s">
        <v>39</v>
      </c>
      <c r="C116" s="127" t="s">
        <v>622</v>
      </c>
      <c r="D116" s="15">
        <v>34947.47</v>
      </c>
      <c r="E116" s="13" t="s">
        <v>403</v>
      </c>
      <c r="F116" s="13" t="s">
        <v>130</v>
      </c>
      <c r="G116" s="46">
        <v>0</v>
      </c>
      <c r="H116" s="46">
        <v>1</v>
      </c>
      <c r="I116" s="21">
        <v>39872</v>
      </c>
      <c r="J116" s="21">
        <v>42131</v>
      </c>
      <c r="K116" s="43" t="s">
        <v>309</v>
      </c>
      <c r="L116" s="41" t="s">
        <v>629</v>
      </c>
      <c r="M116" s="147"/>
      <c r="P116" s="43" t="s">
        <v>791</v>
      </c>
      <c r="Q116" s="49">
        <f t="shared" si="2"/>
        <v>0</v>
      </c>
    </row>
    <row r="117" spans="1:17" s="20" customFormat="1" ht="28.5" x14ac:dyDescent="0.25">
      <c r="A117" s="13" t="s">
        <v>408</v>
      </c>
      <c r="B117" s="23" t="s">
        <v>40</v>
      </c>
      <c r="C117" s="127" t="s">
        <v>622</v>
      </c>
      <c r="D117" s="15">
        <v>55934.93</v>
      </c>
      <c r="E117" s="13" t="s">
        <v>403</v>
      </c>
      <c r="F117" s="13" t="s">
        <v>130</v>
      </c>
      <c r="G117" s="46">
        <v>0</v>
      </c>
      <c r="H117" s="46">
        <v>1</v>
      </c>
      <c r="I117" s="21">
        <v>39652</v>
      </c>
      <c r="J117" s="21">
        <v>42125</v>
      </c>
      <c r="K117" s="13" t="s">
        <v>233</v>
      </c>
      <c r="L117" s="41" t="s">
        <v>626</v>
      </c>
      <c r="M117" s="147"/>
      <c r="P117" s="43" t="s">
        <v>791</v>
      </c>
      <c r="Q117" s="49">
        <f t="shared" si="2"/>
        <v>0</v>
      </c>
    </row>
    <row r="118" spans="1:17" s="18" customFormat="1" ht="28.5" x14ac:dyDescent="0.25">
      <c r="A118" s="43" t="s">
        <v>409</v>
      </c>
      <c r="B118" s="23" t="s">
        <v>41</v>
      </c>
      <c r="C118" s="127" t="s">
        <v>622</v>
      </c>
      <c r="D118" s="15">
        <v>58110.85</v>
      </c>
      <c r="E118" s="13" t="s">
        <v>403</v>
      </c>
      <c r="F118" s="13" t="s">
        <v>130</v>
      </c>
      <c r="G118" s="46">
        <v>0</v>
      </c>
      <c r="H118" s="46">
        <v>1</v>
      </c>
      <c r="I118" s="21">
        <v>39652</v>
      </c>
      <c r="J118" s="21">
        <v>42125</v>
      </c>
      <c r="K118" s="13" t="s">
        <v>233</v>
      </c>
      <c r="L118" s="41" t="s">
        <v>630</v>
      </c>
      <c r="M118" s="147"/>
      <c r="P118" s="43" t="s">
        <v>791</v>
      </c>
      <c r="Q118" s="49">
        <f t="shared" ref="Q118:Q138" si="3">+$D118*G118</f>
        <v>0</v>
      </c>
    </row>
    <row r="119" spans="1:17" s="18" customFormat="1" ht="24" x14ac:dyDescent="0.25">
      <c r="A119" s="43" t="s">
        <v>543</v>
      </c>
      <c r="B119" s="14" t="s">
        <v>573</v>
      </c>
      <c r="C119" s="127" t="s">
        <v>620</v>
      </c>
      <c r="D119" s="15">
        <v>255.31299999999999</v>
      </c>
      <c r="E119" s="13" t="s">
        <v>129</v>
      </c>
      <c r="F119" s="13" t="s">
        <v>130</v>
      </c>
      <c r="G119" s="46">
        <v>0.6</v>
      </c>
      <c r="H119" s="46">
        <v>0.4</v>
      </c>
      <c r="I119" s="47">
        <v>42036</v>
      </c>
      <c r="J119" s="47">
        <v>42339</v>
      </c>
      <c r="K119" s="13" t="s">
        <v>132</v>
      </c>
      <c r="L119" s="41" t="s">
        <v>496</v>
      </c>
      <c r="M119" s="147"/>
      <c r="P119" s="43" t="s">
        <v>792</v>
      </c>
      <c r="Q119" s="49">
        <f t="shared" si="3"/>
        <v>153.18779999999998</v>
      </c>
    </row>
    <row r="120" spans="1:17" s="20" customFormat="1" ht="36" x14ac:dyDescent="0.25">
      <c r="A120" s="13" t="s">
        <v>468</v>
      </c>
      <c r="B120" s="25" t="s">
        <v>575</v>
      </c>
      <c r="C120" s="131" t="s">
        <v>622</v>
      </c>
      <c r="D120" s="153">
        <v>17956.98</v>
      </c>
      <c r="E120" s="63" t="s">
        <v>129</v>
      </c>
      <c r="F120" s="63" t="s">
        <v>131</v>
      </c>
      <c r="G120" s="74">
        <v>1</v>
      </c>
      <c r="H120" s="74">
        <v>0</v>
      </c>
      <c r="I120" s="21">
        <v>41609</v>
      </c>
      <c r="J120" s="21">
        <v>42430</v>
      </c>
      <c r="K120" s="13" t="s">
        <v>544</v>
      </c>
      <c r="L120" s="64" t="s">
        <v>632</v>
      </c>
      <c r="M120" s="147"/>
      <c r="P120" s="43" t="s">
        <v>791</v>
      </c>
      <c r="Q120" s="49">
        <f t="shared" si="3"/>
        <v>17956.98</v>
      </c>
    </row>
    <row r="121" spans="1:17" s="20" customFormat="1" ht="28.5" x14ac:dyDescent="0.25">
      <c r="A121" s="13" t="s">
        <v>548</v>
      </c>
      <c r="B121" s="25" t="s">
        <v>576</v>
      </c>
      <c r="C121" s="131" t="s">
        <v>622</v>
      </c>
      <c r="D121" s="153">
        <v>10315.75</v>
      </c>
      <c r="E121" s="63" t="s">
        <v>129</v>
      </c>
      <c r="F121" s="63" t="s">
        <v>131</v>
      </c>
      <c r="G121" s="74">
        <v>1</v>
      </c>
      <c r="H121" s="74">
        <v>0</v>
      </c>
      <c r="I121" s="21">
        <v>41609</v>
      </c>
      <c r="J121" s="21">
        <v>42644</v>
      </c>
      <c r="K121" s="13" t="s">
        <v>233</v>
      </c>
      <c r="L121" s="64" t="s">
        <v>545</v>
      </c>
      <c r="M121" s="147"/>
      <c r="P121" s="43" t="s">
        <v>791</v>
      </c>
      <c r="Q121" s="49">
        <f t="shared" si="3"/>
        <v>10315.75</v>
      </c>
    </row>
    <row r="122" spans="1:17" s="20" customFormat="1" ht="28.5" x14ac:dyDescent="0.25">
      <c r="A122" s="13" t="s">
        <v>549</v>
      </c>
      <c r="B122" s="25" t="s">
        <v>577</v>
      </c>
      <c r="C122" s="131" t="s">
        <v>622</v>
      </c>
      <c r="D122" s="153">
        <v>5727.21</v>
      </c>
      <c r="E122" s="63" t="s">
        <v>129</v>
      </c>
      <c r="F122" s="63" t="s">
        <v>131</v>
      </c>
      <c r="G122" s="46">
        <v>1</v>
      </c>
      <c r="H122" s="46">
        <v>0</v>
      </c>
      <c r="I122" s="21">
        <v>41671</v>
      </c>
      <c r="J122" s="21">
        <v>42705</v>
      </c>
      <c r="K122" s="13" t="s">
        <v>233</v>
      </c>
      <c r="L122" s="64" t="s">
        <v>546</v>
      </c>
      <c r="M122" s="147"/>
      <c r="P122" s="43" t="s">
        <v>791</v>
      </c>
      <c r="Q122" s="49">
        <f t="shared" si="3"/>
        <v>5727.21</v>
      </c>
    </row>
    <row r="123" spans="1:17" s="20" customFormat="1" ht="28.5" x14ac:dyDescent="0.25">
      <c r="A123" s="13" t="s">
        <v>550</v>
      </c>
      <c r="B123" s="25" t="s">
        <v>578</v>
      </c>
      <c r="C123" s="131" t="s">
        <v>622</v>
      </c>
      <c r="D123" s="153">
        <f>742*126/2.5858</f>
        <v>36155.928532755825</v>
      </c>
      <c r="E123" s="65" t="s">
        <v>121</v>
      </c>
      <c r="F123" s="26" t="s">
        <v>131</v>
      </c>
      <c r="G123" s="74">
        <v>0</v>
      </c>
      <c r="H123" s="74">
        <v>1</v>
      </c>
      <c r="I123" s="21">
        <v>42005</v>
      </c>
      <c r="J123" s="21">
        <v>42675</v>
      </c>
      <c r="K123" s="13" t="s">
        <v>544</v>
      </c>
      <c r="L123" s="64" t="s">
        <v>547</v>
      </c>
      <c r="M123" s="147"/>
      <c r="P123" s="43" t="s">
        <v>791</v>
      </c>
      <c r="Q123" s="49">
        <f t="shared" si="3"/>
        <v>0</v>
      </c>
    </row>
    <row r="124" spans="1:17" s="59" customFormat="1" ht="28.5" x14ac:dyDescent="0.25">
      <c r="A124" s="13" t="s">
        <v>559</v>
      </c>
      <c r="B124" s="51" t="s">
        <v>76</v>
      </c>
      <c r="C124" s="127" t="s">
        <v>620</v>
      </c>
      <c r="D124" s="45">
        <v>283.11776985743381</v>
      </c>
      <c r="E124" s="43" t="s">
        <v>169</v>
      </c>
      <c r="F124" s="43" t="s">
        <v>130</v>
      </c>
      <c r="G124" s="46">
        <v>0</v>
      </c>
      <c r="H124" s="46">
        <v>1</v>
      </c>
      <c r="I124" s="21">
        <v>40878</v>
      </c>
      <c r="J124" s="21">
        <v>41395</v>
      </c>
      <c r="K124" s="43" t="s">
        <v>309</v>
      </c>
      <c r="L124" s="48" t="s">
        <v>448</v>
      </c>
      <c r="M124" s="152"/>
      <c r="P124" s="43" t="s">
        <v>792</v>
      </c>
      <c r="Q124" s="49">
        <f t="shared" si="3"/>
        <v>0</v>
      </c>
    </row>
    <row r="125" spans="1:17" s="53" customFormat="1" ht="28.5" x14ac:dyDescent="0.25">
      <c r="A125" s="13" t="s">
        <v>579</v>
      </c>
      <c r="B125" s="51" t="s">
        <v>489</v>
      </c>
      <c r="C125" s="127" t="s">
        <v>620</v>
      </c>
      <c r="D125" s="45">
        <v>487.25</v>
      </c>
      <c r="E125" s="43" t="s">
        <v>129</v>
      </c>
      <c r="F125" s="43" t="s">
        <v>130</v>
      </c>
      <c r="G125" s="46">
        <v>1</v>
      </c>
      <c r="H125" s="46">
        <v>0</v>
      </c>
      <c r="I125" s="21">
        <v>41518</v>
      </c>
      <c r="J125" s="47">
        <v>42186</v>
      </c>
      <c r="K125" s="43" t="s">
        <v>233</v>
      </c>
      <c r="L125" s="48" t="s">
        <v>455</v>
      </c>
      <c r="M125" s="152"/>
      <c r="P125" s="43" t="s">
        <v>792</v>
      </c>
      <c r="Q125" s="49">
        <f t="shared" si="3"/>
        <v>487.25</v>
      </c>
    </row>
    <row r="126" spans="1:17" s="53" customFormat="1" ht="28.5" x14ac:dyDescent="0.25">
      <c r="A126" s="13" t="s">
        <v>582</v>
      </c>
      <c r="B126" s="51" t="s">
        <v>490</v>
      </c>
      <c r="C126" s="127" t="s">
        <v>620</v>
      </c>
      <c r="D126" s="45">
        <v>386.93</v>
      </c>
      <c r="E126" s="43" t="s">
        <v>129</v>
      </c>
      <c r="F126" s="43" t="s">
        <v>130</v>
      </c>
      <c r="G126" s="46">
        <v>1</v>
      </c>
      <c r="H126" s="46">
        <v>0</v>
      </c>
      <c r="I126" s="47">
        <v>42036</v>
      </c>
      <c r="J126" s="47">
        <v>42401</v>
      </c>
      <c r="K126" s="43" t="s">
        <v>132</v>
      </c>
      <c r="L126" s="48" t="s">
        <v>455</v>
      </c>
      <c r="M126" s="152"/>
      <c r="P126" s="43" t="s">
        <v>792</v>
      </c>
      <c r="Q126" s="49">
        <f t="shared" si="3"/>
        <v>386.93</v>
      </c>
    </row>
    <row r="127" spans="1:17" s="53" customFormat="1" ht="24" x14ac:dyDescent="0.25">
      <c r="A127" s="13" t="s">
        <v>608</v>
      </c>
      <c r="B127" s="51" t="s">
        <v>542</v>
      </c>
      <c r="C127" s="127" t="s">
        <v>620</v>
      </c>
      <c r="D127" s="45">
        <v>527.91</v>
      </c>
      <c r="E127" s="43" t="s">
        <v>129</v>
      </c>
      <c r="F127" s="43" t="s">
        <v>130</v>
      </c>
      <c r="G127" s="46">
        <v>0.88</v>
      </c>
      <c r="H127" s="46">
        <v>0.12</v>
      </c>
      <c r="I127" s="47">
        <v>42036</v>
      </c>
      <c r="J127" s="47">
        <v>42401</v>
      </c>
      <c r="K127" s="43" t="s">
        <v>132</v>
      </c>
      <c r="L127" s="48" t="s">
        <v>455</v>
      </c>
      <c r="M127" s="152"/>
      <c r="P127" s="43" t="s">
        <v>792</v>
      </c>
      <c r="Q127" s="49">
        <f t="shared" si="3"/>
        <v>464.56079999999997</v>
      </c>
    </row>
    <row r="128" spans="1:17" s="61" customFormat="1" ht="42.75" x14ac:dyDescent="0.25">
      <c r="A128" s="13" t="s">
        <v>645</v>
      </c>
      <c r="B128" s="51" t="s">
        <v>70</v>
      </c>
      <c r="C128" s="127" t="s">
        <v>620</v>
      </c>
      <c r="D128" s="45">
        <v>336.18200000000002</v>
      </c>
      <c r="E128" s="43" t="s">
        <v>169</v>
      </c>
      <c r="F128" s="43" t="s">
        <v>130</v>
      </c>
      <c r="G128" s="46">
        <v>0</v>
      </c>
      <c r="H128" s="46">
        <v>1</v>
      </c>
      <c r="I128" s="21">
        <v>41518</v>
      </c>
      <c r="J128" s="47">
        <v>41944</v>
      </c>
      <c r="K128" s="43" t="s">
        <v>309</v>
      </c>
      <c r="L128" s="48" t="s">
        <v>69</v>
      </c>
      <c r="M128" s="152"/>
      <c r="P128" s="43" t="s">
        <v>792</v>
      </c>
      <c r="Q128" s="49">
        <f t="shared" si="3"/>
        <v>0</v>
      </c>
    </row>
    <row r="129" spans="1:17" s="61" customFormat="1" ht="24" x14ac:dyDescent="0.25">
      <c r="A129" s="13" t="s">
        <v>646</v>
      </c>
      <c r="B129" s="51" t="s">
        <v>596</v>
      </c>
      <c r="C129" s="127" t="s">
        <v>620</v>
      </c>
      <c r="D129" s="45">
        <v>6842.1049999999996</v>
      </c>
      <c r="E129" s="43" t="s">
        <v>129</v>
      </c>
      <c r="F129" s="43" t="s">
        <v>130</v>
      </c>
      <c r="G129" s="46">
        <v>1</v>
      </c>
      <c r="H129" s="46">
        <v>0</v>
      </c>
      <c r="I129" s="47">
        <v>42186</v>
      </c>
      <c r="J129" s="47">
        <v>42705</v>
      </c>
      <c r="K129" s="43" t="s">
        <v>132</v>
      </c>
      <c r="L129" s="48" t="s">
        <v>597</v>
      </c>
      <c r="M129" s="152"/>
      <c r="P129" s="43" t="s">
        <v>792</v>
      </c>
      <c r="Q129" s="49">
        <f t="shared" si="3"/>
        <v>6842.1049999999996</v>
      </c>
    </row>
    <row r="130" spans="1:17" s="61" customFormat="1" ht="28.5" x14ac:dyDescent="0.25">
      <c r="A130" s="13" t="s">
        <v>647</v>
      </c>
      <c r="B130" s="51" t="s">
        <v>583</v>
      </c>
      <c r="C130" s="127" t="s">
        <v>622</v>
      </c>
      <c r="D130" s="45">
        <v>14862.031999999999</v>
      </c>
      <c r="E130" s="43" t="s">
        <v>129</v>
      </c>
      <c r="F130" s="43" t="s">
        <v>131</v>
      </c>
      <c r="G130" s="46">
        <v>1</v>
      </c>
      <c r="H130" s="46">
        <v>0</v>
      </c>
      <c r="I130" s="47">
        <v>40817</v>
      </c>
      <c r="J130" s="47">
        <v>40817</v>
      </c>
      <c r="K130" s="43" t="s">
        <v>309</v>
      </c>
      <c r="L130" s="48" t="s">
        <v>584</v>
      </c>
      <c r="M130" s="152"/>
      <c r="P130" s="43" t="s">
        <v>791</v>
      </c>
      <c r="Q130" s="49">
        <f t="shared" si="3"/>
        <v>14862.031999999999</v>
      </c>
    </row>
    <row r="131" spans="1:17" s="61" customFormat="1" ht="51" x14ac:dyDescent="0.25">
      <c r="A131" s="13" t="s">
        <v>648</v>
      </c>
      <c r="B131" s="51" t="s">
        <v>581</v>
      </c>
      <c r="C131" s="127" t="s">
        <v>622</v>
      </c>
      <c r="D131" s="45">
        <v>22527.599999999999</v>
      </c>
      <c r="E131" s="43" t="s">
        <v>129</v>
      </c>
      <c r="F131" s="43" t="s">
        <v>131</v>
      </c>
      <c r="G131" s="46">
        <v>0.43</v>
      </c>
      <c r="H131" s="46">
        <v>0.56999999999999995</v>
      </c>
      <c r="I131" s="47">
        <v>41760</v>
      </c>
      <c r="J131" s="47">
        <v>42705</v>
      </c>
      <c r="K131" s="13" t="s">
        <v>233</v>
      </c>
      <c r="L131" s="154" t="s">
        <v>631</v>
      </c>
      <c r="M131" s="147"/>
      <c r="P131" s="43" t="s">
        <v>791</v>
      </c>
      <c r="Q131" s="49">
        <f t="shared" si="3"/>
        <v>9686.8679999999986</v>
      </c>
    </row>
    <row r="132" spans="1:17" s="61" customFormat="1" ht="28.5" x14ac:dyDescent="0.25">
      <c r="A132" s="13" t="s">
        <v>649</v>
      </c>
      <c r="B132" s="51" t="s">
        <v>611</v>
      </c>
      <c r="C132" s="127" t="s">
        <v>620</v>
      </c>
      <c r="D132" s="45">
        <v>45.15</v>
      </c>
      <c r="E132" s="43" t="s">
        <v>169</v>
      </c>
      <c r="F132" s="43" t="s">
        <v>130</v>
      </c>
      <c r="G132" s="46">
        <v>0</v>
      </c>
      <c r="H132" s="46">
        <v>1</v>
      </c>
      <c r="I132" s="47">
        <v>42125</v>
      </c>
      <c r="J132" s="47">
        <v>42278</v>
      </c>
      <c r="K132" s="43" t="s">
        <v>233</v>
      </c>
      <c r="L132" s="48" t="s">
        <v>609</v>
      </c>
      <c r="M132" s="152"/>
      <c r="P132" s="43" t="s">
        <v>792</v>
      </c>
      <c r="Q132" s="49">
        <f t="shared" si="3"/>
        <v>0</v>
      </c>
    </row>
    <row r="133" spans="1:17" s="61" customFormat="1" ht="42.75" x14ac:dyDescent="0.25">
      <c r="A133" s="13" t="s">
        <v>699</v>
      </c>
      <c r="B133" s="51" t="s">
        <v>765</v>
      </c>
      <c r="C133" s="127" t="s">
        <v>620</v>
      </c>
      <c r="D133" s="45">
        <v>194</v>
      </c>
      <c r="E133" s="43" t="s">
        <v>169</v>
      </c>
      <c r="F133" s="43" t="s">
        <v>130</v>
      </c>
      <c r="G133" s="46">
        <v>0</v>
      </c>
      <c r="H133" s="46">
        <v>1</v>
      </c>
      <c r="I133" s="47">
        <v>42156</v>
      </c>
      <c r="J133" s="47">
        <v>42339</v>
      </c>
      <c r="K133" s="43" t="s">
        <v>132</v>
      </c>
      <c r="L133" s="48" t="s">
        <v>711</v>
      </c>
      <c r="M133" s="152"/>
      <c r="P133" s="43" t="s">
        <v>792</v>
      </c>
      <c r="Q133" s="49">
        <f t="shared" si="3"/>
        <v>0</v>
      </c>
    </row>
    <row r="134" spans="1:17" s="61" customFormat="1" ht="28.5" x14ac:dyDescent="0.25">
      <c r="A134" s="13" t="s">
        <v>710</v>
      </c>
      <c r="B134" s="51" t="s">
        <v>700</v>
      </c>
      <c r="C134" s="127" t="s">
        <v>620</v>
      </c>
      <c r="D134" s="45">
        <v>41</v>
      </c>
      <c r="E134" s="43" t="s">
        <v>169</v>
      </c>
      <c r="F134" s="43" t="s">
        <v>130</v>
      </c>
      <c r="G134" s="46">
        <v>0</v>
      </c>
      <c r="H134" s="46">
        <v>1</v>
      </c>
      <c r="I134" s="47">
        <v>42156</v>
      </c>
      <c r="J134" s="47">
        <v>42339</v>
      </c>
      <c r="K134" s="43" t="s">
        <v>233</v>
      </c>
      <c r="L134" s="48" t="s">
        <v>711</v>
      </c>
      <c r="M134" s="49"/>
      <c r="P134" s="43" t="s">
        <v>792</v>
      </c>
      <c r="Q134" s="49">
        <f t="shared" si="3"/>
        <v>0</v>
      </c>
    </row>
    <row r="135" spans="1:17" s="61" customFormat="1" ht="57" x14ac:dyDescent="0.25">
      <c r="A135" s="43" t="s">
        <v>732</v>
      </c>
      <c r="B135" s="51" t="s">
        <v>729</v>
      </c>
      <c r="C135" s="127" t="s">
        <v>620</v>
      </c>
      <c r="D135" s="45">
        <v>338</v>
      </c>
      <c r="E135" s="43" t="s">
        <v>129</v>
      </c>
      <c r="F135" s="43" t="s">
        <v>130</v>
      </c>
      <c r="G135" s="46">
        <v>1</v>
      </c>
      <c r="H135" s="46">
        <v>0</v>
      </c>
      <c r="I135" s="47">
        <v>42248</v>
      </c>
      <c r="J135" s="47">
        <v>42461</v>
      </c>
      <c r="K135" s="43" t="s">
        <v>132</v>
      </c>
      <c r="L135" s="48" t="s">
        <v>759</v>
      </c>
      <c r="M135" s="49"/>
      <c r="P135" s="43" t="s">
        <v>792</v>
      </c>
      <c r="Q135" s="49">
        <f t="shared" si="3"/>
        <v>338</v>
      </c>
    </row>
    <row r="136" spans="1:17" s="61" customFormat="1" ht="28.5" x14ac:dyDescent="0.25">
      <c r="A136" s="43" t="s">
        <v>733</v>
      </c>
      <c r="B136" s="51" t="s">
        <v>734</v>
      </c>
      <c r="C136" s="127" t="s">
        <v>620</v>
      </c>
      <c r="D136" s="45">
        <v>1000</v>
      </c>
      <c r="E136" s="43" t="s">
        <v>129</v>
      </c>
      <c r="F136" s="43" t="s">
        <v>130</v>
      </c>
      <c r="G136" s="46">
        <v>1</v>
      </c>
      <c r="H136" s="46">
        <v>0</v>
      </c>
      <c r="I136" s="47">
        <v>42401</v>
      </c>
      <c r="J136" s="47">
        <v>42705</v>
      </c>
      <c r="K136" s="43" t="s">
        <v>132</v>
      </c>
      <c r="L136" s="48" t="s">
        <v>759</v>
      </c>
      <c r="M136" s="49"/>
      <c r="P136" s="43" t="s">
        <v>792</v>
      </c>
      <c r="Q136" s="49">
        <f t="shared" si="3"/>
        <v>1000</v>
      </c>
    </row>
    <row r="137" spans="1:17" s="61" customFormat="1" ht="24" x14ac:dyDescent="0.25">
      <c r="A137" s="43" t="s">
        <v>763</v>
      </c>
      <c r="B137" s="51" t="s">
        <v>760</v>
      </c>
      <c r="C137" s="127" t="s">
        <v>620</v>
      </c>
      <c r="D137" s="45">
        <f>1929.82*0.6</f>
        <v>1157.8919999999998</v>
      </c>
      <c r="E137" s="43" t="s">
        <v>129</v>
      </c>
      <c r="F137" s="43" t="s">
        <v>130</v>
      </c>
      <c r="G137" s="46">
        <v>1</v>
      </c>
      <c r="H137" s="46">
        <v>0</v>
      </c>
      <c r="I137" s="47">
        <v>42278</v>
      </c>
      <c r="J137" s="47">
        <v>42705</v>
      </c>
      <c r="K137" s="43" t="s">
        <v>132</v>
      </c>
      <c r="L137" s="48" t="s">
        <v>762</v>
      </c>
      <c r="M137" s="49"/>
      <c r="P137" s="43" t="s">
        <v>792</v>
      </c>
      <c r="Q137" s="49">
        <f t="shared" si="3"/>
        <v>1157.8919999999998</v>
      </c>
    </row>
    <row r="138" spans="1:17" s="61" customFormat="1" ht="24" x14ac:dyDescent="0.25">
      <c r="A138" s="43" t="s">
        <v>764</v>
      </c>
      <c r="B138" s="51" t="s">
        <v>761</v>
      </c>
      <c r="C138" s="127" t="s">
        <v>620</v>
      </c>
      <c r="D138" s="45">
        <f>1929.82*0.4</f>
        <v>771.928</v>
      </c>
      <c r="E138" s="43" t="s">
        <v>129</v>
      </c>
      <c r="F138" s="43" t="s">
        <v>130</v>
      </c>
      <c r="G138" s="46">
        <v>1</v>
      </c>
      <c r="H138" s="46">
        <v>0</v>
      </c>
      <c r="I138" s="47">
        <v>42278</v>
      </c>
      <c r="J138" s="47">
        <v>42705</v>
      </c>
      <c r="K138" s="43" t="s">
        <v>132</v>
      </c>
      <c r="L138" s="48" t="s">
        <v>762</v>
      </c>
      <c r="M138" s="49"/>
      <c r="P138" s="43" t="s">
        <v>792</v>
      </c>
      <c r="Q138" s="49">
        <f t="shared" si="3"/>
        <v>771.928</v>
      </c>
    </row>
    <row r="139" spans="1:17" s="61" customFormat="1" ht="14.25" x14ac:dyDescent="0.25">
      <c r="A139" s="161"/>
      <c r="B139" s="162"/>
      <c r="C139" s="163"/>
      <c r="D139" s="164"/>
      <c r="E139" s="160"/>
      <c r="F139" s="160"/>
      <c r="G139" s="165"/>
      <c r="H139" s="165"/>
      <c r="I139" s="166"/>
      <c r="J139" s="166"/>
      <c r="K139" s="160"/>
      <c r="L139" s="167"/>
      <c r="M139" s="49"/>
      <c r="P139" s="170"/>
      <c r="Q139" s="171"/>
    </row>
    <row r="140" spans="1:17" s="20" customFormat="1" ht="29.25" customHeight="1" x14ac:dyDescent="0.25">
      <c r="A140" s="141" t="s">
        <v>54</v>
      </c>
      <c r="B140" s="140"/>
      <c r="C140" s="106"/>
      <c r="D140" s="86">
        <f>SUM(D88:D132)</f>
        <v>482315.52010418434</v>
      </c>
      <c r="E140" s="107"/>
      <c r="F140" s="108"/>
      <c r="G140" s="86">
        <f>SUMPRODUCT(G88:G132,$D$88:$D$132)</f>
        <v>91196.768079999994</v>
      </c>
      <c r="H140" s="86">
        <f>SUMPRODUCT(H88:H132,$D$88:$D$132)</f>
        <v>391118.75202418445</v>
      </c>
      <c r="I140" s="109"/>
      <c r="J140" s="109"/>
      <c r="K140" s="110"/>
      <c r="L140" s="111"/>
      <c r="M140" s="112"/>
      <c r="P140" s="170"/>
      <c r="Q140" s="171"/>
    </row>
    <row r="141" spans="1:17" s="20" customFormat="1" ht="15" x14ac:dyDescent="0.25">
      <c r="A141" s="87"/>
      <c r="B141" s="87"/>
      <c r="C141" s="87"/>
      <c r="D141" s="88"/>
      <c r="E141" s="89"/>
      <c r="F141" s="97"/>
      <c r="G141" s="91"/>
      <c r="H141" s="92"/>
      <c r="I141" s="93"/>
      <c r="J141" s="93"/>
      <c r="K141" s="94"/>
      <c r="L141" s="95"/>
      <c r="M141" s="96"/>
      <c r="P141" s="170"/>
      <c r="Q141" s="171"/>
    </row>
    <row r="142" spans="1:17" s="20" customFormat="1" ht="33.75" customHeight="1" x14ac:dyDescent="0.25">
      <c r="A142" s="139" t="s">
        <v>55</v>
      </c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3"/>
      <c r="P142" s="170"/>
      <c r="Q142" s="171"/>
    </row>
    <row r="143" spans="1:17" s="50" customFormat="1" ht="24" x14ac:dyDescent="0.25">
      <c r="A143" s="43" t="s">
        <v>187</v>
      </c>
      <c r="B143" s="51" t="s">
        <v>215</v>
      </c>
      <c r="C143" s="127" t="s">
        <v>620</v>
      </c>
      <c r="D143" s="45">
        <v>109.649</v>
      </c>
      <c r="E143" s="43" t="s">
        <v>127</v>
      </c>
      <c r="F143" s="43" t="s">
        <v>130</v>
      </c>
      <c r="G143" s="46">
        <v>0</v>
      </c>
      <c r="H143" s="46">
        <v>1</v>
      </c>
      <c r="I143" s="47">
        <v>42036</v>
      </c>
      <c r="J143" s="47">
        <v>42339</v>
      </c>
      <c r="K143" s="43" t="s">
        <v>132</v>
      </c>
      <c r="L143" s="48" t="s">
        <v>461</v>
      </c>
      <c r="M143" s="49"/>
      <c r="P143" s="43" t="s">
        <v>792</v>
      </c>
      <c r="Q143" s="49">
        <f t="shared" ref="Q143:Q174" si="4">+$D143*G143</f>
        <v>0</v>
      </c>
    </row>
    <row r="144" spans="1:17" s="50" customFormat="1" ht="28.5" x14ac:dyDescent="0.25">
      <c r="A144" s="43" t="s">
        <v>188</v>
      </c>
      <c r="B144" s="51" t="s">
        <v>216</v>
      </c>
      <c r="C144" s="127" t="s">
        <v>620</v>
      </c>
      <c r="D144" s="45">
        <f>1951.755-375.95-59.616</f>
        <v>1516.1890000000001</v>
      </c>
      <c r="E144" s="43" t="s">
        <v>230</v>
      </c>
      <c r="F144" s="43" t="s">
        <v>130</v>
      </c>
      <c r="G144" s="46">
        <v>0</v>
      </c>
      <c r="H144" s="46">
        <v>1</v>
      </c>
      <c r="I144" s="47">
        <v>42217</v>
      </c>
      <c r="J144" s="47">
        <v>42705</v>
      </c>
      <c r="K144" s="43" t="s">
        <v>132</v>
      </c>
      <c r="L144" s="48" t="s">
        <v>534</v>
      </c>
      <c r="M144" s="49"/>
      <c r="P144" s="43" t="s">
        <v>792</v>
      </c>
      <c r="Q144" s="49">
        <f t="shared" si="4"/>
        <v>0</v>
      </c>
    </row>
    <row r="145" spans="1:17" s="50" customFormat="1" ht="28.5" x14ac:dyDescent="0.25">
      <c r="A145" s="43" t="s">
        <v>189</v>
      </c>
      <c r="B145" s="51" t="s">
        <v>351</v>
      </c>
      <c r="C145" s="127" t="s">
        <v>620</v>
      </c>
      <c r="D145" s="45">
        <v>42</v>
      </c>
      <c r="E145" s="43" t="s">
        <v>169</v>
      </c>
      <c r="F145" s="43" t="s">
        <v>130</v>
      </c>
      <c r="G145" s="46">
        <v>0</v>
      </c>
      <c r="H145" s="46">
        <v>1</v>
      </c>
      <c r="I145" s="47">
        <v>42401</v>
      </c>
      <c r="J145" s="47">
        <v>42401</v>
      </c>
      <c r="K145" s="43" t="s">
        <v>132</v>
      </c>
      <c r="L145" s="52" t="s">
        <v>497</v>
      </c>
      <c r="M145" s="49"/>
      <c r="P145" s="43" t="s">
        <v>792</v>
      </c>
      <c r="Q145" s="49">
        <f t="shared" si="4"/>
        <v>0</v>
      </c>
    </row>
    <row r="146" spans="1:17" s="50" customFormat="1" ht="28.5" x14ac:dyDescent="0.25">
      <c r="A146" s="43" t="s">
        <v>190</v>
      </c>
      <c r="B146" s="51" t="s">
        <v>350</v>
      </c>
      <c r="C146" s="127" t="s">
        <v>620</v>
      </c>
      <c r="D146" s="45">
        <v>285.63</v>
      </c>
      <c r="E146" s="43" t="s">
        <v>169</v>
      </c>
      <c r="F146" s="43" t="s">
        <v>130</v>
      </c>
      <c r="G146" s="46">
        <v>0</v>
      </c>
      <c r="H146" s="46">
        <v>1</v>
      </c>
      <c r="I146" s="21">
        <v>41395</v>
      </c>
      <c r="J146" s="47">
        <v>41944</v>
      </c>
      <c r="K146" s="70" t="s">
        <v>309</v>
      </c>
      <c r="L146" s="52" t="s">
        <v>462</v>
      </c>
      <c r="M146" s="49"/>
      <c r="P146" s="43" t="s">
        <v>792</v>
      </c>
      <c r="Q146" s="49">
        <f t="shared" si="4"/>
        <v>0</v>
      </c>
    </row>
    <row r="147" spans="1:17" s="50" customFormat="1" ht="28.5" x14ac:dyDescent="0.25">
      <c r="A147" s="43" t="s">
        <v>191</v>
      </c>
      <c r="B147" s="51" t="s">
        <v>766</v>
      </c>
      <c r="C147" s="127" t="s">
        <v>620</v>
      </c>
      <c r="D147" s="45">
        <v>350</v>
      </c>
      <c r="E147" s="43" t="s">
        <v>169</v>
      </c>
      <c r="F147" s="43" t="s">
        <v>130</v>
      </c>
      <c r="G147" s="46">
        <v>0</v>
      </c>
      <c r="H147" s="46">
        <v>1</v>
      </c>
      <c r="I147" s="47">
        <v>42248</v>
      </c>
      <c r="J147" s="47">
        <v>42705</v>
      </c>
      <c r="K147" s="43" t="s">
        <v>132</v>
      </c>
      <c r="L147" s="52" t="s">
        <v>787</v>
      </c>
      <c r="M147" s="49"/>
      <c r="P147" s="43" t="s">
        <v>792</v>
      </c>
      <c r="Q147" s="49">
        <f t="shared" si="4"/>
        <v>0</v>
      </c>
    </row>
    <row r="148" spans="1:17" s="50" customFormat="1" ht="28.5" x14ac:dyDescent="0.25">
      <c r="A148" s="43" t="s">
        <v>192</v>
      </c>
      <c r="B148" s="51" t="s">
        <v>698</v>
      </c>
      <c r="C148" s="127" t="s">
        <v>620</v>
      </c>
      <c r="D148" s="45">
        <f>1117.701-350</f>
        <v>767.70100000000002</v>
      </c>
      <c r="E148" s="43" t="s">
        <v>129</v>
      </c>
      <c r="F148" s="43" t="s">
        <v>130</v>
      </c>
      <c r="G148" s="46">
        <v>0.8</v>
      </c>
      <c r="H148" s="46">
        <v>0.2</v>
      </c>
      <c r="I148" s="47">
        <v>42156</v>
      </c>
      <c r="J148" s="47">
        <v>42705</v>
      </c>
      <c r="K148" s="43" t="s">
        <v>132</v>
      </c>
      <c r="L148" s="52" t="s">
        <v>660</v>
      </c>
      <c r="M148" s="49"/>
      <c r="P148" s="43" t="s">
        <v>792</v>
      </c>
      <c r="Q148" s="49">
        <f t="shared" si="4"/>
        <v>614.16080000000011</v>
      </c>
    </row>
    <row r="149" spans="1:17" s="50" customFormat="1" ht="28.5" x14ac:dyDescent="0.25">
      <c r="A149" s="43" t="s">
        <v>193</v>
      </c>
      <c r="B149" s="51" t="s">
        <v>15</v>
      </c>
      <c r="C149" s="127" t="s">
        <v>620</v>
      </c>
      <c r="D149" s="45">
        <v>855.26300000000003</v>
      </c>
      <c r="E149" s="43" t="s">
        <v>129</v>
      </c>
      <c r="F149" s="43" t="s">
        <v>130</v>
      </c>
      <c r="G149" s="46">
        <v>1</v>
      </c>
      <c r="H149" s="46">
        <v>0</v>
      </c>
      <c r="I149" s="47">
        <v>42186</v>
      </c>
      <c r="J149" s="47">
        <v>42705</v>
      </c>
      <c r="K149" s="43" t="s">
        <v>132</v>
      </c>
      <c r="L149" s="52" t="s">
        <v>661</v>
      </c>
      <c r="M149" s="51"/>
      <c r="P149" s="43" t="s">
        <v>792</v>
      </c>
      <c r="Q149" s="49">
        <f t="shared" si="4"/>
        <v>855.26300000000003</v>
      </c>
    </row>
    <row r="150" spans="1:17" s="50" customFormat="1" ht="28.5" x14ac:dyDescent="0.25">
      <c r="A150" s="43" t="s">
        <v>194</v>
      </c>
      <c r="B150" s="51" t="s">
        <v>334</v>
      </c>
      <c r="C150" s="127" t="s">
        <v>620</v>
      </c>
      <c r="D150" s="45">
        <f>1359.67/1.75</f>
        <v>776.95428571428579</v>
      </c>
      <c r="E150" s="43" t="s">
        <v>129</v>
      </c>
      <c r="F150" s="43" t="s">
        <v>130</v>
      </c>
      <c r="G150" s="46">
        <v>0.66</v>
      </c>
      <c r="H150" s="46">
        <v>0.34</v>
      </c>
      <c r="I150" s="21">
        <v>41061</v>
      </c>
      <c r="J150" s="47">
        <v>42705</v>
      </c>
      <c r="K150" s="43" t="s">
        <v>233</v>
      </c>
      <c r="L150" s="52" t="s">
        <v>678</v>
      </c>
      <c r="M150" s="51"/>
      <c r="P150" s="43" t="s">
        <v>792</v>
      </c>
      <c r="Q150" s="49">
        <f t="shared" si="4"/>
        <v>512.78982857142864</v>
      </c>
    </row>
    <row r="151" spans="1:17" s="50" customFormat="1" ht="28.5" x14ac:dyDescent="0.25">
      <c r="A151" s="43" t="s">
        <v>195</v>
      </c>
      <c r="B151" s="51" t="s">
        <v>790</v>
      </c>
      <c r="C151" s="127" t="s">
        <v>620</v>
      </c>
      <c r="D151" s="45">
        <f>351.03+506.15+79.01+1.18</f>
        <v>937.36999999999989</v>
      </c>
      <c r="E151" s="43" t="s">
        <v>129</v>
      </c>
      <c r="F151" s="43" t="s">
        <v>130</v>
      </c>
      <c r="G151" s="46">
        <v>1</v>
      </c>
      <c r="H151" s="46">
        <v>0</v>
      </c>
      <c r="I151" s="47">
        <v>42401</v>
      </c>
      <c r="J151" s="47">
        <v>42705</v>
      </c>
      <c r="K151" s="43" t="s">
        <v>132</v>
      </c>
      <c r="L151" s="52" t="s">
        <v>767</v>
      </c>
      <c r="M151" s="51"/>
      <c r="P151" s="43" t="s">
        <v>792</v>
      </c>
      <c r="Q151" s="49">
        <f t="shared" si="4"/>
        <v>937.36999999999989</v>
      </c>
    </row>
    <row r="152" spans="1:17" s="50" customFormat="1" ht="28.5" x14ac:dyDescent="0.25">
      <c r="A152" s="43" t="s">
        <v>196</v>
      </c>
      <c r="B152" s="51" t="s">
        <v>217</v>
      </c>
      <c r="C152" s="127" t="s">
        <v>620</v>
      </c>
      <c r="D152" s="45">
        <v>1425.2550000000001</v>
      </c>
      <c r="E152" s="43" t="s">
        <v>127</v>
      </c>
      <c r="F152" s="43" t="s">
        <v>130</v>
      </c>
      <c r="G152" s="46">
        <v>0</v>
      </c>
      <c r="H152" s="46">
        <v>1</v>
      </c>
      <c r="I152" s="47">
        <v>42401</v>
      </c>
      <c r="J152" s="47">
        <v>42705</v>
      </c>
      <c r="K152" s="43" t="s">
        <v>132</v>
      </c>
      <c r="L152" s="52" t="s">
        <v>498</v>
      </c>
      <c r="M152" s="51"/>
      <c r="P152" s="43" t="s">
        <v>792</v>
      </c>
      <c r="Q152" s="49">
        <f t="shared" si="4"/>
        <v>0</v>
      </c>
    </row>
    <row r="153" spans="1:17" s="50" customFormat="1" ht="28.5" x14ac:dyDescent="0.25">
      <c r="A153" s="43" t="s">
        <v>197</v>
      </c>
      <c r="B153" s="51" t="s">
        <v>768</v>
      </c>
      <c r="C153" s="127" t="s">
        <v>620</v>
      </c>
      <c r="D153" s="45">
        <v>57</v>
      </c>
      <c r="E153" s="43" t="s">
        <v>129</v>
      </c>
      <c r="F153" s="43" t="s">
        <v>130</v>
      </c>
      <c r="G153" s="46">
        <v>1</v>
      </c>
      <c r="H153" s="46">
        <v>0</v>
      </c>
      <c r="I153" s="47">
        <v>42248</v>
      </c>
      <c r="J153" s="47">
        <v>42401</v>
      </c>
      <c r="K153" s="43" t="s">
        <v>132</v>
      </c>
      <c r="L153" s="52" t="s">
        <v>770</v>
      </c>
      <c r="M153" s="51"/>
      <c r="P153" s="43" t="s">
        <v>792</v>
      </c>
      <c r="Q153" s="49">
        <f t="shared" si="4"/>
        <v>57</v>
      </c>
    </row>
    <row r="154" spans="1:17" s="50" customFormat="1" ht="28.5" x14ac:dyDescent="0.25">
      <c r="A154" s="43" t="s">
        <v>198</v>
      </c>
      <c r="B154" s="51" t="s">
        <v>769</v>
      </c>
      <c r="C154" s="127" t="s">
        <v>620</v>
      </c>
      <c r="D154" s="45">
        <v>140.36799999999999</v>
      </c>
      <c r="E154" s="43" t="s">
        <v>129</v>
      </c>
      <c r="F154" s="43" t="s">
        <v>130</v>
      </c>
      <c r="G154" s="46">
        <v>1</v>
      </c>
      <c r="H154" s="46">
        <v>0</v>
      </c>
      <c r="I154" s="47">
        <v>42401</v>
      </c>
      <c r="J154" s="47">
        <v>42705</v>
      </c>
      <c r="K154" s="43" t="s">
        <v>132</v>
      </c>
      <c r="L154" s="52" t="s">
        <v>771</v>
      </c>
      <c r="M154" s="51"/>
      <c r="P154" s="43" t="s">
        <v>792</v>
      </c>
      <c r="Q154" s="49">
        <f t="shared" si="4"/>
        <v>140.36799999999999</v>
      </c>
    </row>
    <row r="155" spans="1:17" s="50" customFormat="1" ht="42.75" x14ac:dyDescent="0.25">
      <c r="A155" s="43" t="s">
        <v>199</v>
      </c>
      <c r="B155" s="51" t="s">
        <v>218</v>
      </c>
      <c r="C155" s="127" t="s">
        <v>620</v>
      </c>
      <c r="D155" s="45">
        <v>494.43</v>
      </c>
      <c r="E155" s="43" t="s">
        <v>232</v>
      </c>
      <c r="F155" s="43" t="s">
        <v>130</v>
      </c>
      <c r="G155" s="46">
        <v>0</v>
      </c>
      <c r="H155" s="46">
        <v>1</v>
      </c>
      <c r="I155" s="47">
        <v>40118</v>
      </c>
      <c r="J155" s="47">
        <v>42705</v>
      </c>
      <c r="K155" s="43" t="s">
        <v>233</v>
      </c>
      <c r="L155" s="52" t="s">
        <v>674</v>
      </c>
      <c r="M155" s="51"/>
      <c r="P155" s="43" t="s">
        <v>792</v>
      </c>
      <c r="Q155" s="49">
        <f t="shared" si="4"/>
        <v>0</v>
      </c>
    </row>
    <row r="156" spans="1:17" s="28" customFormat="1" ht="42.75" x14ac:dyDescent="0.25">
      <c r="A156" s="26" t="s">
        <v>200</v>
      </c>
      <c r="B156" s="25" t="s">
        <v>605</v>
      </c>
      <c r="C156" s="127" t="s">
        <v>620</v>
      </c>
      <c r="D156" s="27">
        <v>7738.8519999999999</v>
      </c>
      <c r="E156" s="26" t="s">
        <v>127</v>
      </c>
      <c r="F156" s="26" t="s">
        <v>130</v>
      </c>
      <c r="G156" s="81">
        <v>0.12</v>
      </c>
      <c r="H156" s="81">
        <v>0.88</v>
      </c>
      <c r="I156" s="21">
        <v>40118</v>
      </c>
      <c r="J156" s="21">
        <v>41699</v>
      </c>
      <c r="K156" s="26" t="s">
        <v>309</v>
      </c>
      <c r="L156" s="80" t="s">
        <v>586</v>
      </c>
      <c r="M156" s="25"/>
      <c r="P156" s="43" t="s">
        <v>792</v>
      </c>
      <c r="Q156" s="49">
        <f t="shared" si="4"/>
        <v>928.66224</v>
      </c>
    </row>
    <row r="157" spans="1:17" s="28" customFormat="1" ht="24" x14ac:dyDescent="0.25">
      <c r="A157" s="26" t="s">
        <v>201</v>
      </c>
      <c r="B157" s="25" t="s">
        <v>285</v>
      </c>
      <c r="C157" s="127" t="s">
        <v>620</v>
      </c>
      <c r="D157" s="27">
        <v>2633.49</v>
      </c>
      <c r="E157" s="26" t="s">
        <v>127</v>
      </c>
      <c r="F157" s="26" t="s">
        <v>130</v>
      </c>
      <c r="G157" s="81">
        <v>0.17</v>
      </c>
      <c r="H157" s="81">
        <v>0.83</v>
      </c>
      <c r="I157" s="21">
        <v>40118</v>
      </c>
      <c r="J157" s="21">
        <v>41640</v>
      </c>
      <c r="K157" s="26" t="s">
        <v>309</v>
      </c>
      <c r="L157" s="80" t="s">
        <v>587</v>
      </c>
      <c r="M157" s="25"/>
      <c r="P157" s="43" t="s">
        <v>792</v>
      </c>
      <c r="Q157" s="49">
        <f t="shared" si="4"/>
        <v>447.69330000000002</v>
      </c>
    </row>
    <row r="158" spans="1:17" s="53" customFormat="1" ht="28.5" x14ac:dyDescent="0.25">
      <c r="A158" s="43" t="s">
        <v>202</v>
      </c>
      <c r="B158" s="51" t="s">
        <v>594</v>
      </c>
      <c r="C158" s="127" t="s">
        <v>620</v>
      </c>
      <c r="D158" s="45">
        <v>3444.61</v>
      </c>
      <c r="E158" s="43" t="s">
        <v>127</v>
      </c>
      <c r="F158" s="43" t="s">
        <v>130</v>
      </c>
      <c r="G158" s="46">
        <v>0.35</v>
      </c>
      <c r="H158" s="46">
        <v>0.65</v>
      </c>
      <c r="I158" s="47">
        <v>41548</v>
      </c>
      <c r="J158" s="47">
        <v>42278</v>
      </c>
      <c r="K158" s="43" t="s">
        <v>233</v>
      </c>
      <c r="L158" s="52" t="s">
        <v>595</v>
      </c>
      <c r="M158" s="51"/>
      <c r="P158" s="43" t="s">
        <v>792</v>
      </c>
      <c r="Q158" s="49">
        <f t="shared" si="4"/>
        <v>1205.6134999999999</v>
      </c>
    </row>
    <row r="159" spans="1:17" s="28" customFormat="1" ht="24" x14ac:dyDescent="0.25">
      <c r="A159" s="26" t="s">
        <v>203</v>
      </c>
      <c r="B159" s="25" t="s">
        <v>607</v>
      </c>
      <c r="C159" s="127" t="s">
        <v>620</v>
      </c>
      <c r="D159" s="27">
        <v>490</v>
      </c>
      <c r="E159" s="26" t="s">
        <v>127</v>
      </c>
      <c r="F159" s="26" t="s">
        <v>130</v>
      </c>
      <c r="G159" s="81">
        <v>0</v>
      </c>
      <c r="H159" s="81">
        <v>1</v>
      </c>
      <c r="I159" s="21">
        <v>41883</v>
      </c>
      <c r="J159" s="21">
        <v>42339</v>
      </c>
      <c r="K159" s="26" t="s">
        <v>132</v>
      </c>
      <c r="L159" s="80" t="s">
        <v>598</v>
      </c>
      <c r="M159" s="25"/>
      <c r="P159" s="43" t="s">
        <v>792</v>
      </c>
      <c r="Q159" s="49">
        <f t="shared" si="4"/>
        <v>0</v>
      </c>
    </row>
    <row r="160" spans="1:17" s="82" customFormat="1" ht="24" x14ac:dyDescent="0.25">
      <c r="A160" s="26" t="s">
        <v>204</v>
      </c>
      <c r="B160" s="25" t="s">
        <v>610</v>
      </c>
      <c r="C160" s="127" t="s">
        <v>620</v>
      </c>
      <c r="D160" s="27">
        <f>1186.15-490</f>
        <v>696.15000000000009</v>
      </c>
      <c r="E160" s="26" t="s">
        <v>127</v>
      </c>
      <c r="F160" s="26" t="s">
        <v>130</v>
      </c>
      <c r="G160" s="81">
        <v>0</v>
      </c>
      <c r="H160" s="81">
        <v>1</v>
      </c>
      <c r="I160" s="21">
        <v>42036</v>
      </c>
      <c r="J160" s="21">
        <v>42339</v>
      </c>
      <c r="K160" s="26" t="s">
        <v>132</v>
      </c>
      <c r="L160" s="80" t="s">
        <v>606</v>
      </c>
      <c r="M160" s="25"/>
      <c r="P160" s="43" t="s">
        <v>792</v>
      </c>
      <c r="Q160" s="49">
        <f t="shared" si="4"/>
        <v>0</v>
      </c>
    </row>
    <row r="161" spans="1:17" s="28" customFormat="1" ht="28.5" x14ac:dyDescent="0.25">
      <c r="A161" s="26" t="s">
        <v>205</v>
      </c>
      <c r="B161" s="25" t="s">
        <v>588</v>
      </c>
      <c r="C161" s="127" t="s">
        <v>620</v>
      </c>
      <c r="D161" s="27">
        <v>594.74</v>
      </c>
      <c r="E161" s="26" t="s">
        <v>127</v>
      </c>
      <c r="F161" s="26" t="s">
        <v>130</v>
      </c>
      <c r="G161" s="81">
        <v>0.23</v>
      </c>
      <c r="H161" s="81">
        <v>0.77</v>
      </c>
      <c r="I161" s="21">
        <v>41640</v>
      </c>
      <c r="J161" s="21">
        <v>42036</v>
      </c>
      <c r="K161" s="26" t="s">
        <v>233</v>
      </c>
      <c r="L161" s="42" t="s">
        <v>652</v>
      </c>
      <c r="M161" s="62"/>
      <c r="P161" s="43" t="s">
        <v>792</v>
      </c>
      <c r="Q161" s="49">
        <f t="shared" si="4"/>
        <v>136.7902</v>
      </c>
    </row>
    <row r="162" spans="1:17" s="50" customFormat="1" ht="42.75" x14ac:dyDescent="0.25">
      <c r="A162" s="43" t="s">
        <v>206</v>
      </c>
      <c r="B162" s="51" t="s">
        <v>219</v>
      </c>
      <c r="C162" s="127" t="s">
        <v>620</v>
      </c>
      <c r="D162" s="45">
        <v>153.50800000000001</v>
      </c>
      <c r="E162" s="43" t="s">
        <v>231</v>
      </c>
      <c r="F162" s="43" t="s">
        <v>130</v>
      </c>
      <c r="G162" s="46">
        <v>0</v>
      </c>
      <c r="H162" s="46">
        <v>1</v>
      </c>
      <c r="I162" s="21">
        <v>41518</v>
      </c>
      <c r="J162" s="21">
        <v>41974</v>
      </c>
      <c r="K162" s="43" t="s">
        <v>132</v>
      </c>
      <c r="L162" s="52" t="s">
        <v>430</v>
      </c>
      <c r="M162" s="51"/>
      <c r="P162" s="43" t="s">
        <v>792</v>
      </c>
      <c r="Q162" s="49">
        <f t="shared" si="4"/>
        <v>0</v>
      </c>
    </row>
    <row r="163" spans="1:17" s="50" customFormat="1" ht="42.75" x14ac:dyDescent="0.25">
      <c r="A163" s="43" t="s">
        <v>207</v>
      </c>
      <c r="B163" s="51" t="s">
        <v>377</v>
      </c>
      <c r="C163" s="127" t="s">
        <v>620</v>
      </c>
      <c r="D163" s="45">
        <v>233.976</v>
      </c>
      <c r="E163" s="43" t="s">
        <v>129</v>
      </c>
      <c r="F163" s="43" t="s">
        <v>130</v>
      </c>
      <c r="G163" s="46">
        <v>1</v>
      </c>
      <c r="H163" s="46">
        <v>0</v>
      </c>
      <c r="I163" s="47">
        <v>42036</v>
      </c>
      <c r="J163" s="47">
        <v>42705</v>
      </c>
      <c r="K163" s="43" t="s">
        <v>132</v>
      </c>
      <c r="L163" s="52" t="s">
        <v>499</v>
      </c>
      <c r="M163" s="51"/>
      <c r="P163" s="43" t="s">
        <v>792</v>
      </c>
      <c r="Q163" s="49">
        <f t="shared" si="4"/>
        <v>233.976</v>
      </c>
    </row>
    <row r="164" spans="1:17" s="50" customFormat="1" ht="28.5" x14ac:dyDescent="0.25">
      <c r="A164" s="43" t="s">
        <v>208</v>
      </c>
      <c r="B164" s="51" t="s">
        <v>388</v>
      </c>
      <c r="C164" s="127" t="s">
        <v>620</v>
      </c>
      <c r="D164" s="45">
        <v>96.64</v>
      </c>
      <c r="E164" s="43" t="s">
        <v>127</v>
      </c>
      <c r="F164" s="43" t="s">
        <v>130</v>
      </c>
      <c r="G164" s="46">
        <v>1</v>
      </c>
      <c r="H164" s="46">
        <v>0</v>
      </c>
      <c r="I164" s="21">
        <v>41306</v>
      </c>
      <c r="J164" s="21">
        <v>42705</v>
      </c>
      <c r="K164" s="43" t="s">
        <v>233</v>
      </c>
      <c r="L164" s="52" t="s">
        <v>673</v>
      </c>
      <c r="M164" s="51"/>
      <c r="P164" s="43" t="s">
        <v>792</v>
      </c>
      <c r="Q164" s="49">
        <f t="shared" si="4"/>
        <v>96.64</v>
      </c>
    </row>
    <row r="165" spans="1:17" s="50" customFormat="1" ht="28.5" x14ac:dyDescent="0.25">
      <c r="A165" s="43" t="s">
        <v>209</v>
      </c>
      <c r="B165" s="51" t="s">
        <v>308</v>
      </c>
      <c r="C165" s="127" t="s">
        <v>620</v>
      </c>
      <c r="D165" s="45">
        <v>21.085000000000001</v>
      </c>
      <c r="E165" s="43" t="s">
        <v>127</v>
      </c>
      <c r="F165" s="43" t="s">
        <v>130</v>
      </c>
      <c r="G165" s="46">
        <v>1</v>
      </c>
      <c r="H165" s="46">
        <v>0</v>
      </c>
      <c r="I165" s="21">
        <v>40878</v>
      </c>
      <c r="J165" s="21">
        <v>41244</v>
      </c>
      <c r="K165" s="43" t="s">
        <v>309</v>
      </c>
      <c r="L165" s="52" t="s">
        <v>307</v>
      </c>
      <c r="M165" s="51"/>
      <c r="P165" s="43" t="s">
        <v>792</v>
      </c>
      <c r="Q165" s="49">
        <f t="shared" si="4"/>
        <v>21.085000000000001</v>
      </c>
    </row>
    <row r="166" spans="1:17" s="50" customFormat="1" ht="42.75" x14ac:dyDescent="0.25">
      <c r="A166" s="43" t="s">
        <v>210</v>
      </c>
      <c r="B166" s="51" t="s">
        <v>220</v>
      </c>
      <c r="C166" s="127" t="s">
        <v>620</v>
      </c>
      <c r="D166" s="45">
        <v>114.78400000000001</v>
      </c>
      <c r="E166" s="43" t="s">
        <v>231</v>
      </c>
      <c r="F166" s="43" t="s">
        <v>130</v>
      </c>
      <c r="G166" s="46">
        <v>0</v>
      </c>
      <c r="H166" s="46">
        <v>1</v>
      </c>
      <c r="I166" s="21">
        <v>40664</v>
      </c>
      <c r="J166" s="21">
        <v>42705</v>
      </c>
      <c r="K166" s="43" t="s">
        <v>233</v>
      </c>
      <c r="L166" s="52" t="s">
        <v>672</v>
      </c>
      <c r="M166" s="51"/>
      <c r="P166" s="43" t="s">
        <v>792</v>
      </c>
      <c r="Q166" s="49">
        <f t="shared" si="4"/>
        <v>0</v>
      </c>
    </row>
    <row r="167" spans="1:17" s="50" customFormat="1" ht="50.1" customHeight="1" x14ac:dyDescent="0.25">
      <c r="A167" s="43" t="s">
        <v>211</v>
      </c>
      <c r="B167" s="51" t="s">
        <v>352</v>
      </c>
      <c r="C167" s="127" t="s">
        <v>620</v>
      </c>
      <c r="D167" s="45">
        <v>213.59</v>
      </c>
      <c r="E167" s="43" t="s">
        <v>127</v>
      </c>
      <c r="F167" s="43" t="s">
        <v>130</v>
      </c>
      <c r="G167" s="46">
        <v>0.21</v>
      </c>
      <c r="H167" s="46">
        <v>0.79</v>
      </c>
      <c r="I167" s="47">
        <v>42036</v>
      </c>
      <c r="J167" s="47">
        <v>42278</v>
      </c>
      <c r="K167" s="43" t="s">
        <v>132</v>
      </c>
      <c r="L167" s="52" t="s">
        <v>463</v>
      </c>
      <c r="M167" s="51"/>
      <c r="P167" s="43" t="s">
        <v>792</v>
      </c>
      <c r="Q167" s="49">
        <f t="shared" si="4"/>
        <v>44.853899999999996</v>
      </c>
    </row>
    <row r="168" spans="1:17" s="50" customFormat="1" ht="42.75" x14ac:dyDescent="0.25">
      <c r="A168" s="43" t="s">
        <v>212</v>
      </c>
      <c r="B168" s="51" t="s">
        <v>221</v>
      </c>
      <c r="C168" s="127" t="s">
        <v>620</v>
      </c>
      <c r="D168" s="45">
        <v>472.923</v>
      </c>
      <c r="E168" s="43" t="s">
        <v>232</v>
      </c>
      <c r="F168" s="43" t="s">
        <v>130</v>
      </c>
      <c r="G168" s="46">
        <v>0</v>
      </c>
      <c r="H168" s="46">
        <v>1</v>
      </c>
      <c r="I168" s="21">
        <v>40118</v>
      </c>
      <c r="J168" s="21">
        <v>41974</v>
      </c>
      <c r="K168" s="43" t="s">
        <v>233</v>
      </c>
      <c r="L168" s="52" t="s">
        <v>335</v>
      </c>
      <c r="M168" s="51"/>
      <c r="P168" s="43" t="s">
        <v>792</v>
      </c>
      <c r="Q168" s="49">
        <f t="shared" si="4"/>
        <v>0</v>
      </c>
    </row>
    <row r="169" spans="1:17" s="50" customFormat="1" ht="28.5" x14ac:dyDescent="0.25">
      <c r="A169" s="43" t="s">
        <v>213</v>
      </c>
      <c r="B169" s="51" t="s">
        <v>222</v>
      </c>
      <c r="C169" s="127" t="s">
        <v>620</v>
      </c>
      <c r="D169" s="45">
        <v>87.718999999999994</v>
      </c>
      <c r="E169" s="43" t="s">
        <v>127</v>
      </c>
      <c r="F169" s="43" t="s">
        <v>130</v>
      </c>
      <c r="G169" s="46">
        <v>1</v>
      </c>
      <c r="H169" s="46">
        <v>0</v>
      </c>
      <c r="I169" s="47">
        <v>42036</v>
      </c>
      <c r="J169" s="47">
        <v>42278</v>
      </c>
      <c r="K169" s="43" t="s">
        <v>132</v>
      </c>
      <c r="L169" s="52" t="s">
        <v>500</v>
      </c>
      <c r="M169" s="51"/>
      <c r="P169" s="43" t="s">
        <v>792</v>
      </c>
      <c r="Q169" s="49">
        <f t="shared" si="4"/>
        <v>87.718999999999994</v>
      </c>
    </row>
    <row r="170" spans="1:17" s="50" customFormat="1" ht="28.5" x14ac:dyDescent="0.25">
      <c r="A170" s="43" t="s">
        <v>214</v>
      </c>
      <c r="B170" s="51" t="s">
        <v>223</v>
      </c>
      <c r="C170" s="127" t="s">
        <v>620</v>
      </c>
      <c r="D170" s="45">
        <v>105.26300000000001</v>
      </c>
      <c r="E170" s="43" t="s">
        <v>129</v>
      </c>
      <c r="F170" s="43" t="s">
        <v>130</v>
      </c>
      <c r="G170" s="46">
        <v>1</v>
      </c>
      <c r="H170" s="46">
        <v>0</v>
      </c>
      <c r="I170" s="47">
        <v>42036</v>
      </c>
      <c r="J170" s="47">
        <v>42278</v>
      </c>
      <c r="K170" s="43" t="s">
        <v>132</v>
      </c>
      <c r="L170" s="52" t="s">
        <v>501</v>
      </c>
      <c r="M170" s="51"/>
      <c r="P170" s="43" t="s">
        <v>792</v>
      </c>
      <c r="Q170" s="49">
        <f t="shared" si="4"/>
        <v>105.26300000000001</v>
      </c>
    </row>
    <row r="171" spans="1:17" s="50" customFormat="1" ht="42.75" x14ac:dyDescent="0.25">
      <c r="A171" s="43" t="s">
        <v>296</v>
      </c>
      <c r="B171" s="51" t="s">
        <v>224</v>
      </c>
      <c r="C171" s="128" t="s">
        <v>621</v>
      </c>
      <c r="D171" s="45">
        <v>533.19000000000005</v>
      </c>
      <c r="E171" s="43" t="s">
        <v>232</v>
      </c>
      <c r="F171" s="43" t="s">
        <v>130</v>
      </c>
      <c r="G171" s="46">
        <v>0</v>
      </c>
      <c r="H171" s="46">
        <v>1</v>
      </c>
      <c r="I171" s="47">
        <v>40603</v>
      </c>
      <c r="J171" s="47">
        <v>41974</v>
      </c>
      <c r="K171" s="43" t="s">
        <v>233</v>
      </c>
      <c r="L171" s="52" t="s">
        <v>317</v>
      </c>
      <c r="M171" s="51"/>
      <c r="P171" s="43" t="s">
        <v>792</v>
      </c>
      <c r="Q171" s="49">
        <f t="shared" si="4"/>
        <v>0</v>
      </c>
    </row>
    <row r="172" spans="1:17" s="50" customFormat="1" ht="28.5" x14ac:dyDescent="0.25">
      <c r="A172" s="43" t="s">
        <v>297</v>
      </c>
      <c r="B172" s="51" t="s">
        <v>78</v>
      </c>
      <c r="C172" s="128" t="s">
        <v>621</v>
      </c>
      <c r="D172" s="45">
        <v>1242.4569999999999</v>
      </c>
      <c r="E172" s="43" t="s">
        <v>127</v>
      </c>
      <c r="F172" s="43" t="s">
        <v>130</v>
      </c>
      <c r="G172" s="46">
        <v>0</v>
      </c>
      <c r="H172" s="46">
        <v>1</v>
      </c>
      <c r="I172" s="47">
        <v>40940</v>
      </c>
      <c r="J172" s="47">
        <v>41974</v>
      </c>
      <c r="K172" s="43" t="s">
        <v>233</v>
      </c>
      <c r="L172" s="52" t="s">
        <v>306</v>
      </c>
      <c r="M172" s="51"/>
      <c r="P172" s="43" t="s">
        <v>792</v>
      </c>
      <c r="Q172" s="49">
        <f t="shared" si="4"/>
        <v>0</v>
      </c>
    </row>
    <row r="173" spans="1:17" s="50" customFormat="1" ht="28.5" x14ac:dyDescent="0.25">
      <c r="A173" s="43" t="s">
        <v>298</v>
      </c>
      <c r="B173" s="51" t="s">
        <v>381</v>
      </c>
      <c r="C173" s="128" t="s">
        <v>621</v>
      </c>
      <c r="D173" s="45">
        <v>124.788</v>
      </c>
      <c r="E173" s="43" t="s">
        <v>127</v>
      </c>
      <c r="F173" s="43" t="s">
        <v>130</v>
      </c>
      <c r="G173" s="46">
        <v>0</v>
      </c>
      <c r="H173" s="46">
        <v>1</v>
      </c>
      <c r="I173" s="47">
        <v>41244</v>
      </c>
      <c r="J173" s="47">
        <v>41365</v>
      </c>
      <c r="K173" s="43" t="s">
        <v>309</v>
      </c>
      <c r="L173" s="52" t="s">
        <v>306</v>
      </c>
      <c r="M173" s="51"/>
      <c r="P173" s="43" t="s">
        <v>792</v>
      </c>
      <c r="Q173" s="49">
        <f t="shared" si="4"/>
        <v>0</v>
      </c>
    </row>
    <row r="174" spans="1:17" s="50" customFormat="1" ht="28.5" x14ac:dyDescent="0.25">
      <c r="A174" s="43" t="s">
        <v>299</v>
      </c>
      <c r="B174" s="51" t="s">
        <v>225</v>
      </c>
      <c r="C174" s="128" t="s">
        <v>621</v>
      </c>
      <c r="D174" s="45">
        <v>87.125</v>
      </c>
      <c r="E174" s="43" t="s">
        <v>127</v>
      </c>
      <c r="F174" s="43" t="s">
        <v>130</v>
      </c>
      <c r="G174" s="46">
        <v>0</v>
      </c>
      <c r="H174" s="46">
        <v>1</v>
      </c>
      <c r="I174" s="47">
        <v>40664</v>
      </c>
      <c r="J174" s="47">
        <v>41030</v>
      </c>
      <c r="K174" s="43" t="s">
        <v>309</v>
      </c>
      <c r="L174" s="52" t="s">
        <v>380</v>
      </c>
      <c r="M174" s="51"/>
      <c r="P174" s="43" t="s">
        <v>792</v>
      </c>
      <c r="Q174" s="49">
        <f t="shared" si="4"/>
        <v>0</v>
      </c>
    </row>
    <row r="175" spans="1:17" s="50" customFormat="1" ht="28.5" x14ac:dyDescent="0.25">
      <c r="A175" s="43" t="s">
        <v>300</v>
      </c>
      <c r="B175" s="51" t="s">
        <v>226</v>
      </c>
      <c r="C175" s="128" t="s">
        <v>621</v>
      </c>
      <c r="D175" s="45">
        <v>1059.8699999999999</v>
      </c>
      <c r="E175" s="43" t="s">
        <v>127</v>
      </c>
      <c r="F175" s="43" t="s">
        <v>130</v>
      </c>
      <c r="G175" s="46">
        <v>0</v>
      </c>
      <c r="H175" s="46">
        <v>1</v>
      </c>
      <c r="I175" s="47">
        <v>41244</v>
      </c>
      <c r="J175" s="47">
        <v>41974</v>
      </c>
      <c r="K175" s="43" t="s">
        <v>233</v>
      </c>
      <c r="L175" s="52" t="s">
        <v>382</v>
      </c>
      <c r="M175" s="51"/>
      <c r="P175" s="43" t="s">
        <v>792</v>
      </c>
      <c r="Q175" s="49">
        <f t="shared" ref="Q175:Q197" si="5">+$D175*G175</f>
        <v>0</v>
      </c>
    </row>
    <row r="176" spans="1:17" s="57" customFormat="1" ht="42.75" x14ac:dyDescent="0.25">
      <c r="A176" s="43" t="s">
        <v>301</v>
      </c>
      <c r="B176" s="51" t="s">
        <v>228</v>
      </c>
      <c r="C176" s="128" t="s">
        <v>621</v>
      </c>
      <c r="D176" s="45">
        <f>935.073-407</f>
        <v>528.07299999999998</v>
      </c>
      <c r="E176" s="43" t="s">
        <v>232</v>
      </c>
      <c r="F176" s="43" t="s">
        <v>130</v>
      </c>
      <c r="G176" s="46">
        <v>0</v>
      </c>
      <c r="H176" s="46">
        <v>1</v>
      </c>
      <c r="I176" s="47" t="s">
        <v>295</v>
      </c>
      <c r="J176" s="47">
        <v>42705</v>
      </c>
      <c r="K176" s="43" t="s">
        <v>233</v>
      </c>
      <c r="L176" s="52" t="s">
        <v>670</v>
      </c>
      <c r="M176" s="51"/>
      <c r="P176" s="43" t="s">
        <v>792</v>
      </c>
      <c r="Q176" s="49">
        <f t="shared" si="5"/>
        <v>0</v>
      </c>
    </row>
    <row r="177" spans="1:17" s="50" customFormat="1" ht="42.75" x14ac:dyDescent="0.25">
      <c r="A177" s="43" t="s">
        <v>302</v>
      </c>
      <c r="B177" s="51" t="s">
        <v>229</v>
      </c>
      <c r="C177" s="132" t="s">
        <v>623</v>
      </c>
      <c r="D177" s="45">
        <v>448.75799999999998</v>
      </c>
      <c r="E177" s="43" t="s">
        <v>232</v>
      </c>
      <c r="F177" s="43" t="s">
        <v>130</v>
      </c>
      <c r="G177" s="46">
        <v>0</v>
      </c>
      <c r="H177" s="46">
        <v>1</v>
      </c>
      <c r="I177" s="47">
        <v>40603</v>
      </c>
      <c r="J177" s="47">
        <v>42705</v>
      </c>
      <c r="K177" s="43" t="s">
        <v>233</v>
      </c>
      <c r="L177" s="52" t="s">
        <v>668</v>
      </c>
      <c r="M177" s="51"/>
      <c r="P177" s="43" t="s">
        <v>792</v>
      </c>
      <c r="Q177" s="49">
        <f t="shared" si="5"/>
        <v>0</v>
      </c>
    </row>
    <row r="178" spans="1:17" s="50" customFormat="1" ht="42.75" x14ac:dyDescent="0.25">
      <c r="A178" s="43" t="s">
        <v>303</v>
      </c>
      <c r="B178" s="51" t="s">
        <v>281</v>
      </c>
      <c r="C178" s="128" t="s">
        <v>620</v>
      </c>
      <c r="D178" s="45">
        <v>1847.096</v>
      </c>
      <c r="E178" s="43" t="s">
        <v>232</v>
      </c>
      <c r="F178" s="43" t="s">
        <v>130</v>
      </c>
      <c r="G178" s="46">
        <v>0</v>
      </c>
      <c r="H178" s="46">
        <v>1</v>
      </c>
      <c r="I178" s="47">
        <v>40118</v>
      </c>
      <c r="J178" s="47">
        <v>42705</v>
      </c>
      <c r="K178" s="43" t="s">
        <v>233</v>
      </c>
      <c r="L178" s="52" t="s">
        <v>669</v>
      </c>
      <c r="M178" s="51"/>
      <c r="P178" s="43" t="s">
        <v>792</v>
      </c>
      <c r="Q178" s="49">
        <f t="shared" si="5"/>
        <v>0</v>
      </c>
    </row>
    <row r="179" spans="1:17" s="50" customFormat="1" ht="24" x14ac:dyDescent="0.25">
      <c r="A179" s="43" t="s">
        <v>316</v>
      </c>
      <c r="B179" s="51" t="s">
        <v>364</v>
      </c>
      <c r="C179" s="128" t="s">
        <v>620</v>
      </c>
      <c r="D179" s="45">
        <v>35.088000000000001</v>
      </c>
      <c r="E179" s="43" t="s">
        <v>127</v>
      </c>
      <c r="F179" s="43" t="s">
        <v>130</v>
      </c>
      <c r="G179" s="46">
        <v>0</v>
      </c>
      <c r="H179" s="46">
        <v>1</v>
      </c>
      <c r="I179" s="47">
        <v>42430</v>
      </c>
      <c r="J179" s="47">
        <v>42705</v>
      </c>
      <c r="K179" s="43" t="s">
        <v>132</v>
      </c>
      <c r="L179" s="52" t="s">
        <v>365</v>
      </c>
      <c r="M179" s="49"/>
      <c r="P179" s="43" t="s">
        <v>792</v>
      </c>
      <c r="Q179" s="49">
        <f t="shared" si="5"/>
        <v>0</v>
      </c>
    </row>
    <row r="180" spans="1:17" s="50" customFormat="1" ht="28.5" x14ac:dyDescent="0.25">
      <c r="A180" s="43" t="s">
        <v>85</v>
      </c>
      <c r="B180" s="51" t="s">
        <v>369</v>
      </c>
      <c r="C180" s="128" t="s">
        <v>620</v>
      </c>
      <c r="D180" s="45">
        <v>1754.386</v>
      </c>
      <c r="E180" s="43" t="s">
        <v>128</v>
      </c>
      <c r="F180" s="43" t="s">
        <v>130</v>
      </c>
      <c r="G180" s="46">
        <v>0</v>
      </c>
      <c r="H180" s="46">
        <v>1</v>
      </c>
      <c r="I180" s="47">
        <v>42064</v>
      </c>
      <c r="J180" s="47">
        <v>42705</v>
      </c>
      <c r="K180" s="43" t="s">
        <v>132</v>
      </c>
      <c r="L180" s="52" t="s">
        <v>503</v>
      </c>
      <c r="M180" s="49"/>
      <c r="P180" s="43" t="s">
        <v>792</v>
      </c>
      <c r="Q180" s="49">
        <f t="shared" si="5"/>
        <v>0</v>
      </c>
    </row>
    <row r="181" spans="1:17" s="56" customFormat="1" ht="42.75" x14ac:dyDescent="0.25">
      <c r="A181" s="43" t="s">
        <v>86</v>
      </c>
      <c r="B181" s="51" t="s">
        <v>370</v>
      </c>
      <c r="C181" s="128" t="s">
        <v>620</v>
      </c>
      <c r="D181" s="45">
        <v>54.737000000000002</v>
      </c>
      <c r="E181" s="43" t="s">
        <v>232</v>
      </c>
      <c r="F181" s="43" t="s">
        <v>130</v>
      </c>
      <c r="G181" s="46">
        <v>0</v>
      </c>
      <c r="H181" s="46">
        <v>1</v>
      </c>
      <c r="I181" s="47">
        <v>42064</v>
      </c>
      <c r="J181" s="47">
        <v>42705</v>
      </c>
      <c r="K181" s="43" t="s">
        <v>132</v>
      </c>
      <c r="L181" s="52" t="s">
        <v>671</v>
      </c>
      <c r="M181" s="49"/>
      <c r="P181" s="43" t="s">
        <v>792</v>
      </c>
      <c r="Q181" s="49">
        <f t="shared" si="5"/>
        <v>0</v>
      </c>
    </row>
    <row r="182" spans="1:17" s="60" customFormat="1" ht="24" x14ac:dyDescent="0.25">
      <c r="A182" s="43" t="s">
        <v>410</v>
      </c>
      <c r="B182" s="51" t="s">
        <v>421</v>
      </c>
      <c r="C182" s="128" t="s">
        <v>620</v>
      </c>
      <c r="D182" s="45">
        <v>25.629000000000001</v>
      </c>
      <c r="E182" s="43" t="s">
        <v>169</v>
      </c>
      <c r="F182" s="43" t="s">
        <v>130</v>
      </c>
      <c r="G182" s="46">
        <v>0</v>
      </c>
      <c r="H182" s="46">
        <v>1</v>
      </c>
      <c r="I182" s="21">
        <v>40148</v>
      </c>
      <c r="J182" s="21">
        <v>40483</v>
      </c>
      <c r="K182" s="43" t="s">
        <v>309</v>
      </c>
      <c r="L182" s="52" t="s">
        <v>420</v>
      </c>
      <c r="M182" s="49"/>
      <c r="P182" s="43" t="s">
        <v>792</v>
      </c>
      <c r="Q182" s="49">
        <f t="shared" si="5"/>
        <v>0</v>
      </c>
    </row>
    <row r="183" spans="1:17" s="60" customFormat="1" ht="24" x14ac:dyDescent="0.25">
      <c r="A183" s="43" t="s">
        <v>411</v>
      </c>
      <c r="B183" s="51" t="s">
        <v>422</v>
      </c>
      <c r="C183" s="128" t="s">
        <v>620</v>
      </c>
      <c r="D183" s="45">
        <v>4.3860000000000001</v>
      </c>
      <c r="E183" s="43" t="s">
        <v>169</v>
      </c>
      <c r="F183" s="43" t="s">
        <v>130</v>
      </c>
      <c r="G183" s="46">
        <v>0</v>
      </c>
      <c r="H183" s="46">
        <v>1</v>
      </c>
      <c r="I183" s="47">
        <v>40179</v>
      </c>
      <c r="J183" s="47">
        <v>40452</v>
      </c>
      <c r="K183" s="43" t="s">
        <v>600</v>
      </c>
      <c r="L183" s="52" t="s">
        <v>601</v>
      </c>
      <c r="M183" s="49"/>
      <c r="P183" s="43" t="s">
        <v>792</v>
      </c>
      <c r="Q183" s="49">
        <f t="shared" si="5"/>
        <v>0</v>
      </c>
    </row>
    <row r="184" spans="1:17" s="60" customFormat="1" ht="28.5" x14ac:dyDescent="0.25">
      <c r="A184" s="43" t="s">
        <v>423</v>
      </c>
      <c r="B184" s="51" t="s">
        <v>425</v>
      </c>
      <c r="C184" s="128" t="s">
        <v>620</v>
      </c>
      <c r="D184" s="45">
        <v>17.544</v>
      </c>
      <c r="E184" s="43" t="s">
        <v>169</v>
      </c>
      <c r="F184" s="43" t="s">
        <v>130</v>
      </c>
      <c r="G184" s="46">
        <v>0</v>
      </c>
      <c r="H184" s="46">
        <v>1</v>
      </c>
      <c r="I184" s="47">
        <v>42064</v>
      </c>
      <c r="J184" s="47">
        <v>42430</v>
      </c>
      <c r="K184" s="43" t="s">
        <v>132</v>
      </c>
      <c r="L184" s="52" t="s">
        <v>424</v>
      </c>
      <c r="M184" s="49"/>
      <c r="P184" s="43" t="s">
        <v>792</v>
      </c>
      <c r="Q184" s="49">
        <f t="shared" si="5"/>
        <v>0</v>
      </c>
    </row>
    <row r="185" spans="1:17" s="56" customFormat="1" ht="28.5" x14ac:dyDescent="0.25">
      <c r="A185" s="43" t="s">
        <v>426</v>
      </c>
      <c r="B185" s="51" t="s">
        <v>18</v>
      </c>
      <c r="C185" s="128" t="s">
        <v>621</v>
      </c>
      <c r="D185" s="45">
        <v>1150</v>
      </c>
      <c r="E185" s="43" t="s">
        <v>127</v>
      </c>
      <c r="F185" s="43" t="s">
        <v>130</v>
      </c>
      <c r="G185" s="46">
        <v>0</v>
      </c>
      <c r="H185" s="46">
        <v>1</v>
      </c>
      <c r="I185" s="47">
        <v>42095</v>
      </c>
      <c r="J185" s="47">
        <v>42522</v>
      </c>
      <c r="K185" s="43" t="s">
        <v>233</v>
      </c>
      <c r="L185" s="52" t="s">
        <v>504</v>
      </c>
      <c r="M185" s="49"/>
      <c r="P185" s="43" t="s">
        <v>792</v>
      </c>
      <c r="Q185" s="49">
        <f t="shared" si="5"/>
        <v>0</v>
      </c>
    </row>
    <row r="186" spans="1:17" s="56" customFormat="1" ht="24" x14ac:dyDescent="0.25">
      <c r="A186" s="43" t="s">
        <v>562</v>
      </c>
      <c r="B186" s="51" t="s">
        <v>19</v>
      </c>
      <c r="C186" s="128" t="s">
        <v>621</v>
      </c>
      <c r="D186" s="45">
        <v>460</v>
      </c>
      <c r="E186" s="43" t="s">
        <v>127</v>
      </c>
      <c r="F186" s="43" t="s">
        <v>130</v>
      </c>
      <c r="G186" s="46">
        <v>0</v>
      </c>
      <c r="H186" s="46">
        <v>1</v>
      </c>
      <c r="I186" s="47">
        <v>41944</v>
      </c>
      <c r="J186" s="47">
        <v>42278</v>
      </c>
      <c r="K186" s="43" t="s">
        <v>132</v>
      </c>
      <c r="L186" s="52" t="s">
        <v>504</v>
      </c>
      <c r="M186" s="49"/>
      <c r="P186" s="43" t="s">
        <v>792</v>
      </c>
      <c r="Q186" s="49">
        <f t="shared" si="5"/>
        <v>0</v>
      </c>
    </row>
    <row r="187" spans="1:17" s="56" customFormat="1" ht="24" x14ac:dyDescent="0.25">
      <c r="A187" s="43" t="s">
        <v>563</v>
      </c>
      <c r="B187" s="51" t="s">
        <v>20</v>
      </c>
      <c r="C187" s="128" t="s">
        <v>621</v>
      </c>
      <c r="D187" s="45">
        <f>1200-79</f>
        <v>1121</v>
      </c>
      <c r="E187" s="43" t="s">
        <v>127</v>
      </c>
      <c r="F187" s="43" t="s">
        <v>130</v>
      </c>
      <c r="G187" s="46">
        <v>0</v>
      </c>
      <c r="H187" s="46">
        <v>1</v>
      </c>
      <c r="I187" s="47">
        <v>42036</v>
      </c>
      <c r="J187" s="47">
        <v>42705</v>
      </c>
      <c r="K187" s="43" t="s">
        <v>132</v>
      </c>
      <c r="L187" s="52" t="s">
        <v>504</v>
      </c>
      <c r="M187" s="49"/>
      <c r="P187" s="43" t="s">
        <v>792</v>
      </c>
      <c r="Q187" s="49">
        <f t="shared" si="5"/>
        <v>0</v>
      </c>
    </row>
    <row r="188" spans="1:17" s="53" customFormat="1" ht="24" x14ac:dyDescent="0.25">
      <c r="A188" s="43" t="s">
        <v>560</v>
      </c>
      <c r="B188" s="51" t="s">
        <v>227</v>
      </c>
      <c r="C188" s="128" t="s">
        <v>621</v>
      </c>
      <c r="D188" s="45">
        <v>368</v>
      </c>
      <c r="E188" s="43" t="s">
        <v>127</v>
      </c>
      <c r="F188" s="43" t="s">
        <v>130</v>
      </c>
      <c r="G188" s="46">
        <v>0</v>
      </c>
      <c r="H188" s="46">
        <v>1</v>
      </c>
      <c r="I188" s="47">
        <v>41883</v>
      </c>
      <c r="J188" s="47">
        <v>42278</v>
      </c>
      <c r="K188" s="43" t="s">
        <v>132</v>
      </c>
      <c r="L188" s="52" t="s">
        <v>502</v>
      </c>
      <c r="M188" s="49"/>
      <c r="P188" s="43" t="s">
        <v>792</v>
      </c>
      <c r="Q188" s="49">
        <f t="shared" si="5"/>
        <v>0</v>
      </c>
    </row>
    <row r="189" spans="1:17" s="53" customFormat="1" ht="28.5" x14ac:dyDescent="0.25">
      <c r="A189" s="43" t="s">
        <v>561</v>
      </c>
      <c r="B189" s="51" t="s">
        <v>494</v>
      </c>
      <c r="C189" s="128" t="s">
        <v>621</v>
      </c>
      <c r="D189" s="45">
        <v>380.68</v>
      </c>
      <c r="E189" s="43" t="s">
        <v>127</v>
      </c>
      <c r="F189" s="43" t="s">
        <v>130</v>
      </c>
      <c r="G189" s="46">
        <v>0</v>
      </c>
      <c r="H189" s="46">
        <v>1</v>
      </c>
      <c r="I189" s="47">
        <v>41579</v>
      </c>
      <c r="J189" s="47">
        <v>41974</v>
      </c>
      <c r="K189" s="70" t="s">
        <v>233</v>
      </c>
      <c r="L189" s="52" t="s">
        <v>431</v>
      </c>
      <c r="M189" s="49"/>
      <c r="P189" s="43" t="s">
        <v>792</v>
      </c>
      <c r="Q189" s="49">
        <f t="shared" si="5"/>
        <v>0</v>
      </c>
    </row>
    <row r="190" spans="1:17" s="82" customFormat="1" ht="28.5" x14ac:dyDescent="0.25">
      <c r="A190" s="43" t="s">
        <v>589</v>
      </c>
      <c r="B190" s="51" t="s">
        <v>599</v>
      </c>
      <c r="C190" s="128" t="s">
        <v>621</v>
      </c>
      <c r="D190" s="45">
        <v>103</v>
      </c>
      <c r="E190" s="43" t="s">
        <v>127</v>
      </c>
      <c r="F190" s="43" t="s">
        <v>130</v>
      </c>
      <c r="G190" s="46">
        <v>0</v>
      </c>
      <c r="H190" s="46">
        <v>1</v>
      </c>
      <c r="I190" s="21">
        <v>41913</v>
      </c>
      <c r="J190" s="21">
        <v>41974</v>
      </c>
      <c r="K190" s="43" t="s">
        <v>233</v>
      </c>
      <c r="L190" s="52" t="s">
        <v>502</v>
      </c>
      <c r="M190" s="49"/>
      <c r="P190" s="43" t="s">
        <v>792</v>
      </c>
      <c r="Q190" s="49">
        <f t="shared" si="5"/>
        <v>0</v>
      </c>
    </row>
    <row r="191" spans="1:17" s="82" customFormat="1" ht="28.5" x14ac:dyDescent="0.25">
      <c r="A191" s="26" t="s">
        <v>725</v>
      </c>
      <c r="B191" s="25" t="s">
        <v>590</v>
      </c>
      <c r="C191" s="130" t="s">
        <v>620</v>
      </c>
      <c r="D191" s="27">
        <v>66</v>
      </c>
      <c r="E191" s="26" t="s">
        <v>169</v>
      </c>
      <c r="F191" s="26" t="s">
        <v>130</v>
      </c>
      <c r="G191" s="81">
        <v>0</v>
      </c>
      <c r="H191" s="81">
        <v>1</v>
      </c>
      <c r="I191" s="21">
        <v>41913</v>
      </c>
      <c r="J191" s="21">
        <v>42156</v>
      </c>
      <c r="K191" s="26" t="s">
        <v>309</v>
      </c>
      <c r="L191" s="42" t="s">
        <v>591</v>
      </c>
      <c r="M191" s="62"/>
      <c r="P191" s="43" t="s">
        <v>792</v>
      </c>
      <c r="Q191" s="49">
        <f t="shared" si="5"/>
        <v>0</v>
      </c>
    </row>
    <row r="192" spans="1:17" s="53" customFormat="1" ht="28.5" x14ac:dyDescent="0.25">
      <c r="A192" s="43" t="s">
        <v>602</v>
      </c>
      <c r="B192" s="51" t="s">
        <v>603</v>
      </c>
      <c r="C192" s="130" t="s">
        <v>620</v>
      </c>
      <c r="D192" s="45">
        <v>543.01</v>
      </c>
      <c r="E192" s="43" t="s">
        <v>127</v>
      </c>
      <c r="F192" s="43" t="s">
        <v>130</v>
      </c>
      <c r="G192" s="46">
        <v>0.26</v>
      </c>
      <c r="H192" s="46">
        <v>0.74</v>
      </c>
      <c r="I192" s="21">
        <v>42064</v>
      </c>
      <c r="J192" s="21">
        <v>42401</v>
      </c>
      <c r="K192" s="43" t="s">
        <v>132</v>
      </c>
      <c r="L192" s="52" t="s">
        <v>604</v>
      </c>
      <c r="M192" s="49"/>
      <c r="P192" s="43" t="s">
        <v>792</v>
      </c>
      <c r="Q192" s="49">
        <f t="shared" si="5"/>
        <v>141.18260000000001</v>
      </c>
    </row>
    <row r="193" spans="1:17" s="53" customFormat="1" ht="28.5" x14ac:dyDescent="0.25">
      <c r="A193" s="43" t="s">
        <v>704</v>
      </c>
      <c r="B193" s="51" t="s">
        <v>705</v>
      </c>
      <c r="C193" s="130" t="s">
        <v>620</v>
      </c>
      <c r="D193" s="45">
        <v>44</v>
      </c>
      <c r="E193" s="43" t="s">
        <v>127</v>
      </c>
      <c r="F193" s="43" t="s">
        <v>130</v>
      </c>
      <c r="G193" s="81">
        <v>0</v>
      </c>
      <c r="H193" s="81">
        <v>1</v>
      </c>
      <c r="I193" s="21">
        <v>42156</v>
      </c>
      <c r="J193" s="21">
        <v>42552</v>
      </c>
      <c r="K193" s="43" t="s">
        <v>132</v>
      </c>
      <c r="L193" s="52" t="s">
        <v>706</v>
      </c>
      <c r="M193" s="49"/>
      <c r="P193" s="43" t="s">
        <v>792</v>
      </c>
      <c r="Q193" s="49">
        <f t="shared" si="5"/>
        <v>0</v>
      </c>
    </row>
    <row r="194" spans="1:17" s="53" customFormat="1" ht="28.5" x14ac:dyDescent="0.25">
      <c r="A194" s="43" t="s">
        <v>712</v>
      </c>
      <c r="B194" s="51" t="s">
        <v>713</v>
      </c>
      <c r="C194" s="130" t="s">
        <v>621</v>
      </c>
      <c r="D194" s="45">
        <v>690</v>
      </c>
      <c r="E194" s="43" t="s">
        <v>127</v>
      </c>
      <c r="F194" s="43" t="s">
        <v>130</v>
      </c>
      <c r="G194" s="81">
        <v>0</v>
      </c>
      <c r="H194" s="81">
        <v>1</v>
      </c>
      <c r="I194" s="21">
        <v>42156</v>
      </c>
      <c r="J194" s="21">
        <v>42552</v>
      </c>
      <c r="K194" s="43" t="s">
        <v>132</v>
      </c>
      <c r="L194" s="52" t="s">
        <v>714</v>
      </c>
      <c r="M194" s="49"/>
      <c r="P194" s="43" t="s">
        <v>792</v>
      </c>
      <c r="Q194" s="49">
        <f t="shared" si="5"/>
        <v>0</v>
      </c>
    </row>
    <row r="195" spans="1:17" s="53" customFormat="1" ht="24" x14ac:dyDescent="0.25">
      <c r="A195" s="43" t="s">
        <v>715</v>
      </c>
      <c r="B195" s="51" t="s">
        <v>716</v>
      </c>
      <c r="C195" s="127" t="s">
        <v>620</v>
      </c>
      <c r="D195" s="45">
        <v>28</v>
      </c>
      <c r="E195" s="43" t="s">
        <v>127</v>
      </c>
      <c r="F195" s="43" t="s">
        <v>130</v>
      </c>
      <c r="G195" s="46">
        <v>0</v>
      </c>
      <c r="H195" s="46">
        <v>1</v>
      </c>
      <c r="I195" s="47">
        <v>42156</v>
      </c>
      <c r="J195" s="47">
        <v>42552</v>
      </c>
      <c r="K195" s="43" t="s">
        <v>132</v>
      </c>
      <c r="L195" s="52" t="s">
        <v>717</v>
      </c>
      <c r="M195" s="49"/>
      <c r="P195" s="43" t="s">
        <v>792</v>
      </c>
      <c r="Q195" s="49">
        <f t="shared" si="5"/>
        <v>0</v>
      </c>
    </row>
    <row r="196" spans="1:17" s="53" customFormat="1" ht="28.5" x14ac:dyDescent="0.25">
      <c r="A196" s="43" t="s">
        <v>782</v>
      </c>
      <c r="B196" s="51" t="s">
        <v>788</v>
      </c>
      <c r="C196" s="127" t="s">
        <v>620</v>
      </c>
      <c r="D196" s="45">
        <f>450*0.6</f>
        <v>270</v>
      </c>
      <c r="E196" s="43" t="s">
        <v>129</v>
      </c>
      <c r="F196" s="43" t="s">
        <v>130</v>
      </c>
      <c r="G196" s="46">
        <v>1</v>
      </c>
      <c r="H196" s="46">
        <v>0</v>
      </c>
      <c r="I196" s="47">
        <v>42401</v>
      </c>
      <c r="J196" s="47">
        <v>42705</v>
      </c>
      <c r="K196" s="43" t="s">
        <v>132</v>
      </c>
      <c r="L196" s="52" t="s">
        <v>783</v>
      </c>
      <c r="M196" s="49"/>
      <c r="P196" s="43" t="s">
        <v>792</v>
      </c>
      <c r="Q196" s="49">
        <f t="shared" si="5"/>
        <v>270</v>
      </c>
    </row>
    <row r="197" spans="1:17" s="53" customFormat="1" ht="28.5" x14ac:dyDescent="0.25">
      <c r="A197" s="43" t="s">
        <v>785</v>
      </c>
      <c r="B197" s="51" t="s">
        <v>789</v>
      </c>
      <c r="C197" s="127" t="s">
        <v>620</v>
      </c>
      <c r="D197" s="45">
        <f>450*0.4</f>
        <v>180</v>
      </c>
      <c r="E197" s="43" t="s">
        <v>129</v>
      </c>
      <c r="F197" s="43" t="s">
        <v>130</v>
      </c>
      <c r="G197" s="46">
        <v>1</v>
      </c>
      <c r="H197" s="46">
        <v>0</v>
      </c>
      <c r="I197" s="47">
        <v>42401</v>
      </c>
      <c r="J197" s="47">
        <v>42705</v>
      </c>
      <c r="K197" s="43" t="s">
        <v>132</v>
      </c>
      <c r="L197" s="52" t="s">
        <v>783</v>
      </c>
      <c r="M197" s="49"/>
      <c r="P197" s="43" t="s">
        <v>792</v>
      </c>
      <c r="Q197" s="49">
        <f t="shared" si="5"/>
        <v>180</v>
      </c>
    </row>
    <row r="198" spans="1:17" s="53" customFormat="1" ht="14.25" x14ac:dyDescent="0.25">
      <c r="P198" s="170"/>
      <c r="Q198" s="171"/>
    </row>
    <row r="199" spans="1:17" s="22" customFormat="1" ht="30.75" customHeight="1" x14ac:dyDescent="0.25">
      <c r="A199" s="141" t="s">
        <v>617</v>
      </c>
      <c r="B199" s="140"/>
      <c r="C199" s="106"/>
      <c r="D199" s="86">
        <f>SUM(D143:D193)</f>
        <v>36853.956285714288</v>
      </c>
      <c r="E199" s="107"/>
      <c r="F199" s="108"/>
      <c r="G199" s="86">
        <f>SUMPRODUCT(G143:G192,$D$143:$D$192)</f>
        <v>6566.4303685714294</v>
      </c>
      <c r="H199" s="86">
        <f>SUMPRODUCT(H143:H192,$D$143:$D$192)</f>
        <v>30243.525917142855</v>
      </c>
      <c r="I199" s="109"/>
      <c r="J199" s="109"/>
      <c r="K199" s="110"/>
      <c r="L199" s="111"/>
      <c r="M199" s="112"/>
      <c r="P199" s="170"/>
      <c r="Q199" s="171"/>
    </row>
    <row r="200" spans="1:17" s="22" customFormat="1" ht="15" x14ac:dyDescent="0.25">
      <c r="A200" s="87"/>
      <c r="B200" s="87"/>
      <c r="C200" s="87"/>
      <c r="D200" s="88"/>
      <c r="E200" s="89"/>
      <c r="F200" s="89"/>
      <c r="G200" s="91"/>
      <c r="H200" s="92"/>
      <c r="I200" s="93"/>
      <c r="J200" s="93"/>
      <c r="K200" s="94"/>
      <c r="L200" s="98"/>
      <c r="M200" s="96"/>
      <c r="P200" s="170"/>
      <c r="Q200" s="171"/>
    </row>
    <row r="201" spans="1:17" s="22" customFormat="1" ht="30" customHeight="1" x14ac:dyDescent="0.25">
      <c r="A201" s="139" t="s">
        <v>57</v>
      </c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3"/>
      <c r="P201" s="170"/>
      <c r="Q201" s="171"/>
    </row>
    <row r="202" spans="1:17" s="18" customFormat="1" ht="42.75" x14ac:dyDescent="0.25">
      <c r="A202" s="13" t="s">
        <v>235</v>
      </c>
      <c r="B202" s="14" t="s">
        <v>310</v>
      </c>
      <c r="C202" s="127" t="s">
        <v>620</v>
      </c>
      <c r="D202" s="66">
        <f>((695500/1850)+59.616)</f>
        <v>435.56194594594592</v>
      </c>
      <c r="E202" s="13" t="s">
        <v>294</v>
      </c>
      <c r="F202" s="13" t="s">
        <v>130</v>
      </c>
      <c r="G202" s="46">
        <v>0</v>
      </c>
      <c r="H202" s="46">
        <v>1</v>
      </c>
      <c r="I202" s="21" t="s">
        <v>234</v>
      </c>
      <c r="J202" s="21">
        <v>41365</v>
      </c>
      <c r="K202" s="26" t="s">
        <v>309</v>
      </c>
      <c r="L202" s="41" t="s">
        <v>432</v>
      </c>
      <c r="M202" s="17"/>
      <c r="P202" s="43" t="s">
        <v>792</v>
      </c>
      <c r="Q202" s="49">
        <f>+$D202*G202</f>
        <v>0</v>
      </c>
    </row>
    <row r="203" spans="1:17" s="50" customFormat="1" ht="24" x14ac:dyDescent="0.25">
      <c r="A203" s="43" t="s">
        <v>236</v>
      </c>
      <c r="B203" s="44" t="s">
        <v>378</v>
      </c>
      <c r="C203" s="127" t="s">
        <v>620</v>
      </c>
      <c r="D203" s="67">
        <v>160.08000000000001</v>
      </c>
      <c r="E203" s="43" t="s">
        <v>127</v>
      </c>
      <c r="F203" s="43" t="s">
        <v>130</v>
      </c>
      <c r="G203" s="46">
        <v>0</v>
      </c>
      <c r="H203" s="46">
        <v>1</v>
      </c>
      <c r="I203" s="47">
        <v>42036</v>
      </c>
      <c r="J203" s="47">
        <v>42339</v>
      </c>
      <c r="K203" s="43" t="s">
        <v>132</v>
      </c>
      <c r="L203" s="48" t="s">
        <v>505</v>
      </c>
      <c r="M203" s="49"/>
      <c r="P203" s="43" t="s">
        <v>792</v>
      </c>
      <c r="Q203" s="49">
        <f>+$D203*G203</f>
        <v>0</v>
      </c>
    </row>
    <row r="204" spans="1:17" s="50" customFormat="1" ht="42.75" x14ac:dyDescent="0.25">
      <c r="A204" s="43" t="s">
        <v>237</v>
      </c>
      <c r="B204" s="44" t="s">
        <v>282</v>
      </c>
      <c r="C204" s="127" t="s">
        <v>620</v>
      </c>
      <c r="D204" s="67">
        <v>199.77</v>
      </c>
      <c r="E204" s="43" t="s">
        <v>113</v>
      </c>
      <c r="F204" s="43" t="s">
        <v>130</v>
      </c>
      <c r="G204" s="46">
        <v>0</v>
      </c>
      <c r="H204" s="46">
        <v>1</v>
      </c>
      <c r="I204" s="47">
        <v>40664</v>
      </c>
      <c r="J204" s="47">
        <v>41061</v>
      </c>
      <c r="K204" s="43" t="s">
        <v>309</v>
      </c>
      <c r="L204" s="48" t="s">
        <v>433</v>
      </c>
      <c r="M204" s="49"/>
      <c r="P204" s="43" t="s">
        <v>792</v>
      </c>
      <c r="Q204" s="49">
        <f t="shared" ref="Q204:Q266" si="6">+$D204*G204</f>
        <v>0</v>
      </c>
    </row>
    <row r="205" spans="1:17" s="50" customFormat="1" ht="50.1" customHeight="1" x14ac:dyDescent="0.25">
      <c r="A205" s="43" t="s">
        <v>238</v>
      </c>
      <c r="B205" s="44" t="s">
        <v>283</v>
      </c>
      <c r="C205" s="127" t="s">
        <v>620</v>
      </c>
      <c r="D205" s="67">
        <f>(586.62-199.77+643-100+100)</f>
        <v>1029.8499999999999</v>
      </c>
      <c r="E205" s="43" t="s">
        <v>113</v>
      </c>
      <c r="F205" s="43" t="s">
        <v>130</v>
      </c>
      <c r="G205" s="46">
        <v>0</v>
      </c>
      <c r="H205" s="46">
        <v>1</v>
      </c>
      <c r="I205" s="47">
        <v>42036</v>
      </c>
      <c r="J205" s="47">
        <v>42370</v>
      </c>
      <c r="K205" s="43" t="s">
        <v>132</v>
      </c>
      <c r="L205" s="48" t="s">
        <v>535</v>
      </c>
      <c r="M205" s="49"/>
      <c r="P205" s="43" t="s">
        <v>792</v>
      </c>
      <c r="Q205" s="49">
        <f t="shared" si="6"/>
        <v>0</v>
      </c>
    </row>
    <row r="206" spans="1:17" s="50" customFormat="1" ht="50.1" customHeight="1" x14ac:dyDescent="0.25">
      <c r="A206" s="43" t="s">
        <v>239</v>
      </c>
      <c r="B206" s="44" t="s">
        <v>17</v>
      </c>
      <c r="C206" s="127" t="s">
        <v>620</v>
      </c>
      <c r="D206" s="67">
        <v>135.08799999999999</v>
      </c>
      <c r="E206" s="43" t="s">
        <v>114</v>
      </c>
      <c r="F206" s="43" t="s">
        <v>130</v>
      </c>
      <c r="G206" s="46">
        <v>1</v>
      </c>
      <c r="H206" s="46">
        <v>0</v>
      </c>
      <c r="I206" s="47">
        <v>42036</v>
      </c>
      <c r="J206" s="47">
        <v>42339</v>
      </c>
      <c r="K206" s="43" t="s">
        <v>132</v>
      </c>
      <c r="L206" s="48" t="s">
        <v>536</v>
      </c>
      <c r="M206" s="49"/>
      <c r="P206" s="43" t="s">
        <v>792</v>
      </c>
      <c r="Q206" s="49">
        <f t="shared" si="6"/>
        <v>135.08799999999999</v>
      </c>
    </row>
    <row r="207" spans="1:17" s="50" customFormat="1" ht="28.5" x14ac:dyDescent="0.25">
      <c r="A207" s="43" t="s">
        <v>240</v>
      </c>
      <c r="B207" s="44" t="s">
        <v>89</v>
      </c>
      <c r="C207" s="127" t="s">
        <v>620</v>
      </c>
      <c r="D207" s="67">
        <v>253.947</v>
      </c>
      <c r="E207" s="43" t="s">
        <v>114</v>
      </c>
      <c r="F207" s="43" t="s">
        <v>130</v>
      </c>
      <c r="G207" s="46">
        <v>1</v>
      </c>
      <c r="H207" s="46">
        <v>0</v>
      </c>
      <c r="I207" s="21">
        <v>41153</v>
      </c>
      <c r="J207" s="47">
        <v>42036</v>
      </c>
      <c r="K207" s="70" t="s">
        <v>233</v>
      </c>
      <c r="L207" s="48" t="s">
        <v>389</v>
      </c>
      <c r="M207" s="49"/>
      <c r="P207" s="43" t="s">
        <v>792</v>
      </c>
      <c r="Q207" s="49">
        <f t="shared" si="6"/>
        <v>253.947</v>
      </c>
    </row>
    <row r="208" spans="1:17" s="50" customFormat="1" ht="28.5" x14ac:dyDescent="0.25">
      <c r="A208" s="43" t="s">
        <v>241</v>
      </c>
      <c r="B208" s="44" t="s">
        <v>90</v>
      </c>
      <c r="C208" s="127" t="s">
        <v>620</v>
      </c>
      <c r="D208" s="67">
        <v>708</v>
      </c>
      <c r="E208" s="43" t="s">
        <v>291</v>
      </c>
      <c r="F208" s="43" t="s">
        <v>131</v>
      </c>
      <c r="G208" s="46">
        <v>1</v>
      </c>
      <c r="H208" s="46">
        <v>0</v>
      </c>
      <c r="I208" s="47">
        <v>42248</v>
      </c>
      <c r="J208" s="47">
        <v>42401</v>
      </c>
      <c r="K208" s="43" t="s">
        <v>132</v>
      </c>
      <c r="L208" s="48" t="s">
        <v>775</v>
      </c>
      <c r="M208" s="49"/>
      <c r="P208" s="43" t="s">
        <v>792</v>
      </c>
      <c r="Q208" s="49">
        <f t="shared" si="6"/>
        <v>708</v>
      </c>
    </row>
    <row r="209" spans="1:17" s="50" customFormat="1" ht="28.5" x14ac:dyDescent="0.25">
      <c r="A209" s="43" t="s">
        <v>242</v>
      </c>
      <c r="B209" s="44" t="s">
        <v>91</v>
      </c>
      <c r="C209" s="127" t="s">
        <v>620</v>
      </c>
      <c r="D209" s="67">
        <v>526.31600000000003</v>
      </c>
      <c r="E209" s="43" t="s">
        <v>113</v>
      </c>
      <c r="F209" s="43" t="s">
        <v>130</v>
      </c>
      <c r="G209" s="46">
        <v>0</v>
      </c>
      <c r="H209" s="46">
        <v>1</v>
      </c>
      <c r="I209" s="21">
        <v>40664</v>
      </c>
      <c r="J209" s="21">
        <v>41974</v>
      </c>
      <c r="K209" s="43" t="s">
        <v>233</v>
      </c>
      <c r="L209" s="48" t="s">
        <v>305</v>
      </c>
      <c r="M209" s="49"/>
      <c r="P209" s="43" t="s">
        <v>792</v>
      </c>
      <c r="Q209" s="49">
        <f t="shared" si="6"/>
        <v>0</v>
      </c>
    </row>
    <row r="210" spans="1:17" s="50" customFormat="1" ht="28.5" x14ac:dyDescent="0.25">
      <c r="A210" s="43" t="s">
        <v>243</v>
      </c>
      <c r="B210" s="44" t="s">
        <v>92</v>
      </c>
      <c r="C210" s="127" t="s">
        <v>620</v>
      </c>
      <c r="D210" s="67">
        <v>87.718999999999994</v>
      </c>
      <c r="E210" s="43" t="s">
        <v>113</v>
      </c>
      <c r="F210" s="43" t="s">
        <v>130</v>
      </c>
      <c r="G210" s="46">
        <v>0</v>
      </c>
      <c r="H210" s="46">
        <v>1</v>
      </c>
      <c r="I210" s="47">
        <v>40422</v>
      </c>
      <c r="J210" s="47">
        <v>41974</v>
      </c>
      <c r="K210" s="43" t="s">
        <v>233</v>
      </c>
      <c r="L210" s="48" t="s">
        <v>304</v>
      </c>
      <c r="M210" s="49"/>
      <c r="P210" s="43" t="s">
        <v>792</v>
      </c>
      <c r="Q210" s="49">
        <f t="shared" si="6"/>
        <v>0</v>
      </c>
    </row>
    <row r="211" spans="1:17" s="50" customFormat="1" ht="28.5" x14ac:dyDescent="0.25">
      <c r="A211" s="43" t="s">
        <v>244</v>
      </c>
      <c r="B211" s="44" t="s">
        <v>662</v>
      </c>
      <c r="C211" s="127" t="s">
        <v>620</v>
      </c>
      <c r="D211" s="67">
        <v>172.76300000000001</v>
      </c>
      <c r="E211" s="43" t="s">
        <v>113</v>
      </c>
      <c r="F211" s="43" t="s">
        <v>130</v>
      </c>
      <c r="G211" s="46">
        <v>0</v>
      </c>
      <c r="H211" s="46">
        <v>1</v>
      </c>
      <c r="I211" s="47">
        <v>42156</v>
      </c>
      <c r="J211" s="47">
        <v>42705</v>
      </c>
      <c r="K211" s="43" t="s">
        <v>132</v>
      </c>
      <c r="L211" s="48" t="s">
        <v>675</v>
      </c>
      <c r="M211" s="49"/>
      <c r="P211" s="43" t="s">
        <v>792</v>
      </c>
      <c r="Q211" s="49">
        <f t="shared" si="6"/>
        <v>0</v>
      </c>
    </row>
    <row r="212" spans="1:17" s="28" customFormat="1" ht="50.1" customHeight="1" x14ac:dyDescent="0.25">
      <c r="A212" s="26" t="s">
        <v>245</v>
      </c>
      <c r="B212" s="79" t="s">
        <v>93</v>
      </c>
      <c r="C212" s="127" t="s">
        <v>620</v>
      </c>
      <c r="D212" s="68">
        <f>777.193-562.281</f>
        <v>214.91200000000003</v>
      </c>
      <c r="E212" s="26" t="s">
        <v>230</v>
      </c>
      <c r="F212" s="26" t="s">
        <v>130</v>
      </c>
      <c r="G212" s="81">
        <v>0</v>
      </c>
      <c r="H212" s="81">
        <v>1</v>
      </c>
      <c r="I212" s="47">
        <v>42370</v>
      </c>
      <c r="J212" s="47">
        <v>42705</v>
      </c>
      <c r="K212" s="26" t="s">
        <v>132</v>
      </c>
      <c r="L212" s="42" t="s">
        <v>537</v>
      </c>
      <c r="M212" s="62"/>
      <c r="P212" s="43" t="s">
        <v>792</v>
      </c>
      <c r="Q212" s="49">
        <f t="shared" si="6"/>
        <v>0</v>
      </c>
    </row>
    <row r="213" spans="1:17" s="50" customFormat="1" ht="28.5" x14ac:dyDescent="0.25">
      <c r="A213" s="43" t="s">
        <v>246</v>
      </c>
      <c r="B213" s="44" t="s">
        <v>376</v>
      </c>
      <c r="C213" s="127" t="s">
        <v>620</v>
      </c>
      <c r="D213" s="67">
        <v>60</v>
      </c>
      <c r="E213" s="43" t="s">
        <v>114</v>
      </c>
      <c r="F213" s="43" t="s">
        <v>130</v>
      </c>
      <c r="G213" s="46">
        <v>1</v>
      </c>
      <c r="H213" s="46">
        <v>0</v>
      </c>
      <c r="I213" s="21">
        <v>41000</v>
      </c>
      <c r="J213" s="21">
        <v>41456</v>
      </c>
      <c r="K213" s="43" t="s">
        <v>309</v>
      </c>
      <c r="L213" s="48" t="s">
        <v>77</v>
      </c>
      <c r="M213" s="49"/>
      <c r="P213" s="43" t="s">
        <v>792</v>
      </c>
      <c r="Q213" s="49">
        <f t="shared" si="6"/>
        <v>60</v>
      </c>
    </row>
    <row r="214" spans="1:17" s="50" customFormat="1" ht="50.1" customHeight="1" x14ac:dyDescent="0.25">
      <c r="A214" s="43" t="s">
        <v>247</v>
      </c>
      <c r="B214" s="44" t="s">
        <v>94</v>
      </c>
      <c r="C214" s="127" t="s">
        <v>620</v>
      </c>
      <c r="D214" s="67">
        <v>505.24</v>
      </c>
      <c r="E214" s="43" t="s">
        <v>114</v>
      </c>
      <c r="F214" s="43" t="s">
        <v>130</v>
      </c>
      <c r="G214" s="46">
        <v>1</v>
      </c>
      <c r="H214" s="46">
        <v>0</v>
      </c>
      <c r="I214" s="47">
        <v>42036</v>
      </c>
      <c r="J214" s="47">
        <v>42401</v>
      </c>
      <c r="K214" s="43" t="s">
        <v>132</v>
      </c>
      <c r="L214" s="48" t="s">
        <v>506</v>
      </c>
      <c r="M214" s="49"/>
      <c r="P214" s="43" t="s">
        <v>792</v>
      </c>
      <c r="Q214" s="49">
        <f t="shared" si="6"/>
        <v>505.24</v>
      </c>
    </row>
    <row r="215" spans="1:17" s="50" customFormat="1" ht="57" x14ac:dyDescent="0.25">
      <c r="A215" s="43" t="s">
        <v>248</v>
      </c>
      <c r="B215" s="44" t="s">
        <v>379</v>
      </c>
      <c r="C215" s="127" t="s">
        <v>620</v>
      </c>
      <c r="D215" s="67">
        <v>44.368000000000002</v>
      </c>
      <c r="E215" s="43" t="s">
        <v>114</v>
      </c>
      <c r="F215" s="43" t="s">
        <v>130</v>
      </c>
      <c r="G215" s="46">
        <v>1</v>
      </c>
      <c r="H215" s="46">
        <v>0</v>
      </c>
      <c r="I215" s="47">
        <v>42036</v>
      </c>
      <c r="J215" s="47">
        <v>42217</v>
      </c>
      <c r="K215" s="43" t="s">
        <v>132</v>
      </c>
      <c r="L215" s="48" t="s">
        <v>539</v>
      </c>
      <c r="M215" s="49"/>
      <c r="P215" s="43" t="s">
        <v>792</v>
      </c>
      <c r="Q215" s="49">
        <f t="shared" si="6"/>
        <v>44.368000000000002</v>
      </c>
    </row>
    <row r="216" spans="1:17" s="50" customFormat="1" ht="28.5" x14ac:dyDescent="0.25">
      <c r="A216" s="43" t="s">
        <v>249</v>
      </c>
      <c r="B216" s="44" t="s">
        <v>268</v>
      </c>
      <c r="C216" s="127" t="s">
        <v>620</v>
      </c>
      <c r="D216" s="67">
        <v>263.15800000000002</v>
      </c>
      <c r="E216" s="43" t="s">
        <v>115</v>
      </c>
      <c r="F216" s="43" t="s">
        <v>130</v>
      </c>
      <c r="G216" s="46">
        <v>1</v>
      </c>
      <c r="H216" s="46">
        <v>0</v>
      </c>
      <c r="I216" s="21">
        <v>41518</v>
      </c>
      <c r="J216" s="47">
        <v>41944</v>
      </c>
      <c r="K216" s="70" t="s">
        <v>309</v>
      </c>
      <c r="L216" s="48" t="s">
        <v>538</v>
      </c>
      <c r="M216" s="49"/>
      <c r="P216" s="43" t="s">
        <v>792</v>
      </c>
      <c r="Q216" s="49">
        <f t="shared" si="6"/>
        <v>263.15800000000002</v>
      </c>
    </row>
    <row r="217" spans="1:17" s="50" customFormat="1" ht="28.5" x14ac:dyDescent="0.25">
      <c r="A217" s="43" t="s">
        <v>250</v>
      </c>
      <c r="B217" s="44" t="s">
        <v>95</v>
      </c>
      <c r="C217" s="127" t="s">
        <v>620</v>
      </c>
      <c r="D217" s="67">
        <v>87.718999999999994</v>
      </c>
      <c r="E217" s="43" t="s">
        <v>116</v>
      </c>
      <c r="F217" s="43" t="s">
        <v>130</v>
      </c>
      <c r="G217" s="46">
        <v>1</v>
      </c>
      <c r="H217" s="46">
        <v>0</v>
      </c>
      <c r="I217" s="47">
        <v>42095</v>
      </c>
      <c r="J217" s="47">
        <v>42339</v>
      </c>
      <c r="K217" s="43" t="s">
        <v>132</v>
      </c>
      <c r="L217" s="48" t="s">
        <v>507</v>
      </c>
      <c r="M217" s="49"/>
      <c r="P217" s="43" t="s">
        <v>792</v>
      </c>
      <c r="Q217" s="49">
        <f t="shared" si="6"/>
        <v>87.718999999999994</v>
      </c>
    </row>
    <row r="218" spans="1:17" s="50" customFormat="1" ht="28.5" x14ac:dyDescent="0.25">
      <c r="A218" s="43" t="s">
        <v>251</v>
      </c>
      <c r="B218" s="44" t="s">
        <v>96</v>
      </c>
      <c r="C218" s="127" t="s">
        <v>620</v>
      </c>
      <c r="D218" s="67">
        <v>257.47899999999998</v>
      </c>
      <c r="E218" s="43" t="s">
        <v>114</v>
      </c>
      <c r="F218" s="43" t="s">
        <v>130</v>
      </c>
      <c r="G218" s="46">
        <v>0.48</v>
      </c>
      <c r="H218" s="46">
        <v>0.52</v>
      </c>
      <c r="I218" s="47">
        <v>42064</v>
      </c>
      <c r="J218" s="47">
        <v>42339</v>
      </c>
      <c r="K218" s="43" t="s">
        <v>132</v>
      </c>
      <c r="L218" s="48" t="s">
        <v>508</v>
      </c>
      <c r="M218" s="83"/>
      <c r="P218" s="43" t="s">
        <v>792</v>
      </c>
      <c r="Q218" s="49">
        <f t="shared" si="6"/>
        <v>123.58991999999999</v>
      </c>
    </row>
    <row r="219" spans="1:17" s="50" customFormat="1" ht="28.5" x14ac:dyDescent="0.25">
      <c r="A219" s="43" t="s">
        <v>252</v>
      </c>
      <c r="B219" s="44" t="s">
        <v>97</v>
      </c>
      <c r="C219" s="127" t="s">
        <v>620</v>
      </c>
      <c r="D219" s="67">
        <v>87.72</v>
      </c>
      <c r="E219" s="43" t="s">
        <v>114</v>
      </c>
      <c r="F219" s="43" t="s">
        <v>130</v>
      </c>
      <c r="G219" s="46">
        <v>0.25</v>
      </c>
      <c r="H219" s="46">
        <v>0.75</v>
      </c>
      <c r="I219" s="47">
        <v>42156</v>
      </c>
      <c r="J219" s="47">
        <v>42339</v>
      </c>
      <c r="K219" s="43" t="s">
        <v>132</v>
      </c>
      <c r="L219" s="48" t="s">
        <v>509</v>
      </c>
      <c r="M219" s="49"/>
      <c r="P219" s="43" t="s">
        <v>792</v>
      </c>
      <c r="Q219" s="49">
        <f t="shared" si="6"/>
        <v>21.93</v>
      </c>
    </row>
    <row r="220" spans="1:17" s="50" customFormat="1" ht="28.5" x14ac:dyDescent="0.25">
      <c r="A220" s="43" t="s">
        <v>253</v>
      </c>
      <c r="B220" s="44" t="s">
        <v>419</v>
      </c>
      <c r="C220" s="127" t="s">
        <v>620</v>
      </c>
      <c r="D220" s="67">
        <v>286.77199999999999</v>
      </c>
      <c r="E220" s="43" t="s">
        <v>115</v>
      </c>
      <c r="F220" s="43" t="s">
        <v>130</v>
      </c>
      <c r="G220" s="46">
        <v>1</v>
      </c>
      <c r="H220" s="46">
        <v>0</v>
      </c>
      <c r="I220" s="47">
        <v>42156</v>
      </c>
      <c r="J220" s="47">
        <v>42339</v>
      </c>
      <c r="K220" s="43" t="s">
        <v>132</v>
      </c>
      <c r="L220" s="48" t="s">
        <v>510</v>
      </c>
      <c r="M220" s="49"/>
      <c r="P220" s="43" t="s">
        <v>792</v>
      </c>
      <c r="Q220" s="49">
        <f t="shared" si="6"/>
        <v>286.77199999999999</v>
      </c>
    </row>
    <row r="221" spans="1:17" s="50" customFormat="1" ht="50.1" customHeight="1" x14ac:dyDescent="0.25">
      <c r="A221" s="43" t="s">
        <v>254</v>
      </c>
      <c r="B221" s="44" t="s">
        <v>98</v>
      </c>
      <c r="C221" s="127" t="s">
        <v>620</v>
      </c>
      <c r="D221" s="67">
        <f>1004.386-254</f>
        <v>750.38599999999997</v>
      </c>
      <c r="E221" s="43" t="s">
        <v>318</v>
      </c>
      <c r="F221" s="43" t="s">
        <v>131</v>
      </c>
      <c r="G221" s="46">
        <v>0.74</v>
      </c>
      <c r="H221" s="46">
        <v>0.26</v>
      </c>
      <c r="I221" s="47">
        <v>42064</v>
      </c>
      <c r="J221" s="47">
        <v>42705</v>
      </c>
      <c r="K221" s="43" t="s">
        <v>132</v>
      </c>
      <c r="L221" s="48" t="s">
        <v>434</v>
      </c>
      <c r="M221" s="49"/>
      <c r="P221" s="43" t="s">
        <v>792</v>
      </c>
      <c r="Q221" s="49">
        <f t="shared" si="6"/>
        <v>555.28563999999994</v>
      </c>
    </row>
    <row r="222" spans="1:17" s="50" customFormat="1" ht="50.1" customHeight="1" x14ac:dyDescent="0.25">
      <c r="A222" s="43" t="s">
        <v>255</v>
      </c>
      <c r="B222" s="44" t="s">
        <v>99</v>
      </c>
      <c r="C222" s="127" t="s">
        <v>620</v>
      </c>
      <c r="D222" s="67">
        <v>78.947000000000003</v>
      </c>
      <c r="E222" s="43" t="s">
        <v>116</v>
      </c>
      <c r="F222" s="43" t="s">
        <v>130</v>
      </c>
      <c r="G222" s="46">
        <v>0.56000000000000005</v>
      </c>
      <c r="H222" s="46">
        <v>0.44</v>
      </c>
      <c r="I222" s="47">
        <v>42064</v>
      </c>
      <c r="J222" s="47">
        <v>42705</v>
      </c>
      <c r="K222" s="43" t="s">
        <v>132</v>
      </c>
      <c r="L222" s="48" t="s">
        <v>511</v>
      </c>
      <c r="M222" s="49"/>
      <c r="P222" s="43" t="s">
        <v>792</v>
      </c>
      <c r="Q222" s="49">
        <f t="shared" si="6"/>
        <v>44.210320000000003</v>
      </c>
    </row>
    <row r="223" spans="1:17" s="50" customFormat="1" ht="50.1" customHeight="1" x14ac:dyDescent="0.25">
      <c r="A223" s="43" t="s">
        <v>256</v>
      </c>
      <c r="B223" s="44" t="s">
        <v>100</v>
      </c>
      <c r="C223" s="127" t="s">
        <v>620</v>
      </c>
      <c r="D223" s="67">
        <v>370.61399999999998</v>
      </c>
      <c r="E223" s="43" t="s">
        <v>114</v>
      </c>
      <c r="F223" s="43" t="s">
        <v>130</v>
      </c>
      <c r="G223" s="46">
        <v>0.71</v>
      </c>
      <c r="H223" s="46">
        <v>0.28999999999999998</v>
      </c>
      <c r="I223" s="47">
        <v>42064</v>
      </c>
      <c r="J223" s="47">
        <v>42705</v>
      </c>
      <c r="K223" s="43" t="s">
        <v>132</v>
      </c>
      <c r="L223" s="48" t="s">
        <v>512</v>
      </c>
      <c r="M223" s="49"/>
      <c r="P223" s="43" t="s">
        <v>792</v>
      </c>
      <c r="Q223" s="49">
        <f t="shared" si="6"/>
        <v>263.13593999999995</v>
      </c>
    </row>
    <row r="224" spans="1:17" s="50" customFormat="1" ht="50.1" customHeight="1" x14ac:dyDescent="0.25">
      <c r="A224" s="43" t="s">
        <v>257</v>
      </c>
      <c r="B224" s="44" t="s">
        <v>101</v>
      </c>
      <c r="C224" s="127" t="s">
        <v>620</v>
      </c>
      <c r="D224" s="67">
        <v>339.91199999999998</v>
      </c>
      <c r="E224" s="43" t="s">
        <v>114</v>
      </c>
      <c r="F224" s="43" t="s">
        <v>130</v>
      </c>
      <c r="G224" s="46">
        <v>0.77</v>
      </c>
      <c r="H224" s="46">
        <v>0.23</v>
      </c>
      <c r="I224" s="47">
        <v>42064</v>
      </c>
      <c r="J224" s="47">
        <v>42705</v>
      </c>
      <c r="K224" s="43" t="s">
        <v>132</v>
      </c>
      <c r="L224" s="48" t="s">
        <v>513</v>
      </c>
      <c r="M224" s="49"/>
      <c r="P224" s="43" t="s">
        <v>792</v>
      </c>
      <c r="Q224" s="49">
        <f t="shared" si="6"/>
        <v>261.73223999999999</v>
      </c>
    </row>
    <row r="225" spans="1:17" s="50" customFormat="1" ht="50.1" customHeight="1" x14ac:dyDescent="0.25">
      <c r="A225" s="43" t="s">
        <v>258</v>
      </c>
      <c r="B225" s="44" t="s">
        <v>102</v>
      </c>
      <c r="C225" s="127" t="s">
        <v>620</v>
      </c>
      <c r="D225" s="67">
        <v>167.34</v>
      </c>
      <c r="E225" s="43" t="s">
        <v>114</v>
      </c>
      <c r="F225" s="43" t="s">
        <v>130</v>
      </c>
      <c r="G225" s="46">
        <v>0.48</v>
      </c>
      <c r="H225" s="46">
        <v>0.52</v>
      </c>
      <c r="I225" s="47">
        <v>42064</v>
      </c>
      <c r="J225" s="47">
        <v>42705</v>
      </c>
      <c r="K225" s="43" t="s">
        <v>132</v>
      </c>
      <c r="L225" s="48" t="s">
        <v>514</v>
      </c>
      <c r="M225" s="49"/>
      <c r="P225" s="43" t="s">
        <v>792</v>
      </c>
      <c r="Q225" s="49">
        <f t="shared" si="6"/>
        <v>80.3232</v>
      </c>
    </row>
    <row r="226" spans="1:17" s="53" customFormat="1" ht="42.75" x14ac:dyDescent="0.25">
      <c r="A226" s="43" t="s">
        <v>259</v>
      </c>
      <c r="B226" s="44" t="s">
        <v>585</v>
      </c>
      <c r="C226" s="127" t="s">
        <v>620</v>
      </c>
      <c r="D226" s="67">
        <v>264.08</v>
      </c>
      <c r="E226" s="43" t="s">
        <v>114</v>
      </c>
      <c r="F226" s="43" t="s">
        <v>131</v>
      </c>
      <c r="G226" s="46">
        <v>1</v>
      </c>
      <c r="H226" s="46">
        <v>0</v>
      </c>
      <c r="I226" s="47">
        <v>40909</v>
      </c>
      <c r="J226" s="47">
        <v>42036</v>
      </c>
      <c r="K226" s="43" t="s">
        <v>491</v>
      </c>
      <c r="L226" s="48" t="s">
        <v>464</v>
      </c>
      <c r="M226" s="49"/>
      <c r="P226" s="43" t="s">
        <v>792</v>
      </c>
      <c r="Q226" s="49">
        <f t="shared" si="6"/>
        <v>264.08</v>
      </c>
    </row>
    <row r="227" spans="1:17" s="53" customFormat="1" ht="28.5" x14ac:dyDescent="0.25">
      <c r="A227" s="43" t="s">
        <v>259</v>
      </c>
      <c r="B227" s="44" t="s">
        <v>67</v>
      </c>
      <c r="C227" s="127" t="s">
        <v>620</v>
      </c>
      <c r="D227" s="67">
        <v>90.58</v>
      </c>
      <c r="E227" s="43" t="s">
        <v>114</v>
      </c>
      <c r="F227" s="43" t="s">
        <v>131</v>
      </c>
      <c r="G227" s="46">
        <v>1</v>
      </c>
      <c r="H227" s="46">
        <v>0</v>
      </c>
      <c r="I227" s="47">
        <v>40909</v>
      </c>
      <c r="J227" s="47">
        <v>41671</v>
      </c>
      <c r="K227" s="43" t="s">
        <v>491</v>
      </c>
      <c r="L227" s="48" t="s">
        <v>464</v>
      </c>
      <c r="M227" s="49"/>
      <c r="P227" s="43" t="s">
        <v>792</v>
      </c>
      <c r="Q227" s="49">
        <f t="shared" si="6"/>
        <v>90.58</v>
      </c>
    </row>
    <row r="228" spans="1:17" s="53" customFormat="1" ht="28.5" x14ac:dyDescent="0.25">
      <c r="A228" s="43" t="s">
        <v>259</v>
      </c>
      <c r="B228" s="44" t="s">
        <v>67</v>
      </c>
      <c r="C228" s="127" t="s">
        <v>620</v>
      </c>
      <c r="D228" s="67">
        <v>297</v>
      </c>
      <c r="E228" s="43" t="s">
        <v>114</v>
      </c>
      <c r="F228" s="43" t="s">
        <v>131</v>
      </c>
      <c r="G228" s="46">
        <v>1</v>
      </c>
      <c r="H228" s="46">
        <v>0</v>
      </c>
      <c r="I228" s="47">
        <v>42036</v>
      </c>
      <c r="J228" s="47">
        <v>42522</v>
      </c>
      <c r="K228" s="43" t="s">
        <v>132</v>
      </c>
      <c r="L228" s="48" t="s">
        <v>680</v>
      </c>
      <c r="M228" s="49"/>
      <c r="P228" s="43" t="s">
        <v>792</v>
      </c>
      <c r="Q228" s="49">
        <f t="shared" si="6"/>
        <v>297</v>
      </c>
    </row>
    <row r="229" spans="1:17" s="50" customFormat="1" ht="50.1" customHeight="1" x14ac:dyDescent="0.25">
      <c r="A229" s="43" t="s">
        <v>260</v>
      </c>
      <c r="B229" s="44" t="s">
        <v>103</v>
      </c>
      <c r="C229" s="127" t="s">
        <v>620</v>
      </c>
      <c r="D229" s="67">
        <v>6</v>
      </c>
      <c r="E229" s="43" t="s">
        <v>66</v>
      </c>
      <c r="F229" s="43" t="s">
        <v>130</v>
      </c>
      <c r="G229" s="46">
        <v>1</v>
      </c>
      <c r="H229" s="46">
        <v>0</v>
      </c>
      <c r="I229" s="47">
        <v>42186</v>
      </c>
      <c r="J229" s="47">
        <v>42522</v>
      </c>
      <c r="K229" s="43" t="s">
        <v>132</v>
      </c>
      <c r="L229" s="48" t="s">
        <v>515</v>
      </c>
      <c r="M229" s="49"/>
      <c r="P229" s="43" t="s">
        <v>792</v>
      </c>
      <c r="Q229" s="49">
        <f t="shared" si="6"/>
        <v>6</v>
      </c>
    </row>
    <row r="230" spans="1:17" s="50" customFormat="1" ht="50.1" customHeight="1" x14ac:dyDescent="0.25">
      <c r="A230" s="43" t="s">
        <v>261</v>
      </c>
      <c r="B230" s="44" t="s">
        <v>359</v>
      </c>
      <c r="C230" s="127" t="s">
        <v>620</v>
      </c>
      <c r="D230" s="67">
        <v>460.29500000000002</v>
      </c>
      <c r="E230" s="43" t="s">
        <v>114</v>
      </c>
      <c r="F230" s="43" t="s">
        <v>130</v>
      </c>
      <c r="G230" s="46">
        <v>1</v>
      </c>
      <c r="H230" s="46">
        <v>0</v>
      </c>
      <c r="I230" s="47">
        <v>42186</v>
      </c>
      <c r="J230" s="47">
        <v>42522</v>
      </c>
      <c r="K230" s="43" t="s">
        <v>132</v>
      </c>
      <c r="L230" s="48" t="s">
        <v>516</v>
      </c>
      <c r="M230" s="49"/>
      <c r="P230" s="43" t="s">
        <v>792</v>
      </c>
      <c r="Q230" s="49">
        <f t="shared" si="6"/>
        <v>460.29500000000002</v>
      </c>
    </row>
    <row r="231" spans="1:17" s="50" customFormat="1" ht="50.1" customHeight="1" x14ac:dyDescent="0.25">
      <c r="A231" s="43" t="s">
        <v>262</v>
      </c>
      <c r="B231" s="44" t="s">
        <v>353</v>
      </c>
      <c r="C231" s="127" t="s">
        <v>620</v>
      </c>
      <c r="D231" s="67">
        <v>194.7372</v>
      </c>
      <c r="E231" s="43" t="s">
        <v>114</v>
      </c>
      <c r="F231" s="43" t="s">
        <v>130</v>
      </c>
      <c r="G231" s="46">
        <v>1</v>
      </c>
      <c r="H231" s="46">
        <v>0</v>
      </c>
      <c r="I231" s="47">
        <v>41426</v>
      </c>
      <c r="J231" s="47">
        <v>41974</v>
      </c>
      <c r="K231" s="70" t="s">
        <v>233</v>
      </c>
      <c r="L231" s="48" t="s">
        <v>540</v>
      </c>
      <c r="M231" s="49"/>
      <c r="P231" s="43" t="s">
        <v>792</v>
      </c>
      <c r="Q231" s="49">
        <f t="shared" si="6"/>
        <v>194.7372</v>
      </c>
    </row>
    <row r="232" spans="1:17" s="19" customFormat="1" ht="42.75" x14ac:dyDescent="0.25">
      <c r="A232" s="13" t="s">
        <v>321</v>
      </c>
      <c r="B232" s="24" t="s">
        <v>396</v>
      </c>
      <c r="C232" s="127" t="s">
        <v>622</v>
      </c>
      <c r="D232" s="66">
        <v>5267.59</v>
      </c>
      <c r="E232" s="13" t="s">
        <v>291</v>
      </c>
      <c r="F232" s="13" t="s">
        <v>131</v>
      </c>
      <c r="G232" s="46">
        <v>1</v>
      </c>
      <c r="H232" s="46">
        <v>0</v>
      </c>
      <c r="I232" s="16">
        <v>41122</v>
      </c>
      <c r="J232" s="16">
        <v>42491</v>
      </c>
      <c r="K232" s="13" t="s">
        <v>233</v>
      </c>
      <c r="L232" s="41" t="s">
        <v>640</v>
      </c>
      <c r="M232" s="157"/>
      <c r="P232" s="43" t="s">
        <v>791</v>
      </c>
      <c r="Q232" s="49">
        <f t="shared" si="6"/>
        <v>5267.59</v>
      </c>
    </row>
    <row r="233" spans="1:17" s="19" customFormat="1" ht="71.25" x14ac:dyDescent="0.25">
      <c r="A233" s="13" t="s">
        <v>263</v>
      </c>
      <c r="B233" s="24" t="s">
        <v>395</v>
      </c>
      <c r="C233" s="127" t="s">
        <v>622</v>
      </c>
      <c r="D233" s="66">
        <v>6196.61</v>
      </c>
      <c r="E233" s="13" t="s">
        <v>291</v>
      </c>
      <c r="F233" s="13" t="s">
        <v>131</v>
      </c>
      <c r="G233" s="46">
        <v>1</v>
      </c>
      <c r="H233" s="46">
        <v>0</v>
      </c>
      <c r="I233" s="16">
        <v>40360</v>
      </c>
      <c r="J233" s="16">
        <v>42278</v>
      </c>
      <c r="K233" s="13" t="s">
        <v>233</v>
      </c>
      <c r="L233" s="41" t="s">
        <v>641</v>
      </c>
      <c r="M233" s="157"/>
      <c r="P233" s="43" t="s">
        <v>791</v>
      </c>
      <c r="Q233" s="49">
        <f t="shared" si="6"/>
        <v>6196.61</v>
      </c>
    </row>
    <row r="234" spans="1:17" s="18" customFormat="1" ht="28.5" x14ac:dyDescent="0.25">
      <c r="A234" s="13" t="s">
        <v>264</v>
      </c>
      <c r="B234" s="24" t="s">
        <v>104</v>
      </c>
      <c r="C234" s="127" t="s">
        <v>621</v>
      </c>
      <c r="D234" s="66">
        <v>573.38400000000001</v>
      </c>
      <c r="E234" s="13" t="s">
        <v>114</v>
      </c>
      <c r="F234" s="13" t="s">
        <v>131</v>
      </c>
      <c r="G234" s="46">
        <v>0.8</v>
      </c>
      <c r="H234" s="46">
        <v>0.2</v>
      </c>
      <c r="I234" s="16">
        <v>41091</v>
      </c>
      <c r="J234" s="16">
        <v>41518</v>
      </c>
      <c r="K234" s="70" t="s">
        <v>309</v>
      </c>
      <c r="L234" s="41" t="s">
        <v>465</v>
      </c>
      <c r="M234" s="17"/>
      <c r="P234" s="43" t="s">
        <v>792</v>
      </c>
      <c r="Q234" s="49">
        <f t="shared" si="6"/>
        <v>458.70720000000006</v>
      </c>
    </row>
    <row r="235" spans="1:17" s="18" customFormat="1" ht="42.75" x14ac:dyDescent="0.25">
      <c r="A235" s="13" t="s">
        <v>265</v>
      </c>
      <c r="B235" s="24" t="s">
        <v>105</v>
      </c>
      <c r="C235" s="127" t="s">
        <v>621</v>
      </c>
      <c r="D235" s="66">
        <v>570.16999999999996</v>
      </c>
      <c r="E235" s="13" t="s">
        <v>114</v>
      </c>
      <c r="F235" s="13" t="s">
        <v>130</v>
      </c>
      <c r="G235" s="46">
        <v>1</v>
      </c>
      <c r="H235" s="46">
        <v>0</v>
      </c>
      <c r="I235" s="16">
        <v>41153</v>
      </c>
      <c r="J235" s="47">
        <v>41974</v>
      </c>
      <c r="K235" s="13" t="s">
        <v>233</v>
      </c>
      <c r="L235" s="41" t="s">
        <v>466</v>
      </c>
      <c r="M235" s="17"/>
      <c r="P235" s="43" t="s">
        <v>792</v>
      </c>
      <c r="Q235" s="49">
        <f t="shared" si="6"/>
        <v>570.16999999999996</v>
      </c>
    </row>
    <row r="236" spans="1:17" s="50" customFormat="1" ht="28.5" x14ac:dyDescent="0.25">
      <c r="A236" s="43" t="s">
        <v>266</v>
      </c>
      <c r="B236" s="44" t="s">
        <v>324</v>
      </c>
      <c r="C236" s="127" t="s">
        <v>621</v>
      </c>
      <c r="D236" s="67">
        <v>404.98</v>
      </c>
      <c r="E236" s="43" t="s">
        <v>115</v>
      </c>
      <c r="F236" s="43" t="s">
        <v>130</v>
      </c>
      <c r="G236" s="46">
        <v>0.7</v>
      </c>
      <c r="H236" s="46">
        <v>0.3</v>
      </c>
      <c r="I236" s="47">
        <v>41214</v>
      </c>
      <c r="J236" s="47">
        <v>41487</v>
      </c>
      <c r="K236" s="70" t="s">
        <v>309</v>
      </c>
      <c r="L236" s="48" t="s">
        <v>467</v>
      </c>
      <c r="M236" s="49"/>
      <c r="P236" s="43" t="s">
        <v>792</v>
      </c>
      <c r="Q236" s="49">
        <f t="shared" si="6"/>
        <v>283.48599999999999</v>
      </c>
    </row>
    <row r="237" spans="1:17" s="50" customFormat="1" ht="28.5" x14ac:dyDescent="0.25">
      <c r="A237" s="43" t="s">
        <v>323</v>
      </c>
      <c r="B237" s="44" t="s">
        <v>325</v>
      </c>
      <c r="C237" s="127" t="s">
        <v>621</v>
      </c>
      <c r="D237" s="67">
        <v>476.21</v>
      </c>
      <c r="E237" s="43" t="s">
        <v>115</v>
      </c>
      <c r="F237" s="43" t="s">
        <v>130</v>
      </c>
      <c r="G237" s="46">
        <v>1</v>
      </c>
      <c r="H237" s="46">
        <v>0</v>
      </c>
      <c r="I237" s="47">
        <v>41214</v>
      </c>
      <c r="J237" s="47">
        <v>41487</v>
      </c>
      <c r="K237" s="70" t="s">
        <v>309</v>
      </c>
      <c r="L237" s="48" t="s">
        <v>467</v>
      </c>
      <c r="M237" s="49"/>
      <c r="P237" s="43" t="s">
        <v>792</v>
      </c>
      <c r="Q237" s="49">
        <f t="shared" si="6"/>
        <v>476.21</v>
      </c>
    </row>
    <row r="238" spans="1:17" s="50" customFormat="1" ht="42.75" x14ac:dyDescent="0.25">
      <c r="A238" s="43" t="s">
        <v>108</v>
      </c>
      <c r="B238" s="44" t="s">
        <v>356</v>
      </c>
      <c r="C238" s="127" t="s">
        <v>621</v>
      </c>
      <c r="D238" s="67">
        <v>476.21</v>
      </c>
      <c r="E238" s="43" t="s">
        <v>115</v>
      </c>
      <c r="F238" s="43" t="s">
        <v>130</v>
      </c>
      <c r="G238" s="46">
        <v>1</v>
      </c>
      <c r="H238" s="46">
        <v>0</v>
      </c>
      <c r="I238" s="47">
        <v>41214</v>
      </c>
      <c r="J238" s="47">
        <v>41487</v>
      </c>
      <c r="K238" s="70" t="s">
        <v>309</v>
      </c>
      <c r="L238" s="48" t="s">
        <v>467</v>
      </c>
      <c r="M238" s="49"/>
      <c r="P238" s="43" t="s">
        <v>792</v>
      </c>
      <c r="Q238" s="49">
        <f t="shared" si="6"/>
        <v>476.21</v>
      </c>
    </row>
    <row r="239" spans="1:17" s="18" customFormat="1" ht="28.5" x14ac:dyDescent="0.25">
      <c r="A239" s="13" t="s">
        <v>109</v>
      </c>
      <c r="B239" s="24" t="s">
        <v>88</v>
      </c>
      <c r="C239" s="129" t="s">
        <v>623</v>
      </c>
      <c r="D239" s="66">
        <v>3429.56</v>
      </c>
      <c r="E239" s="13" t="s">
        <v>291</v>
      </c>
      <c r="F239" s="13" t="s">
        <v>131</v>
      </c>
      <c r="G239" s="46">
        <v>1</v>
      </c>
      <c r="H239" s="46">
        <v>0</v>
      </c>
      <c r="I239" s="21">
        <v>42005</v>
      </c>
      <c r="J239" s="21">
        <v>42705</v>
      </c>
      <c r="K239" s="13" t="s">
        <v>0</v>
      </c>
      <c r="L239" s="41" t="s">
        <v>644</v>
      </c>
      <c r="M239" s="17"/>
      <c r="P239" s="43" t="s">
        <v>791</v>
      </c>
      <c r="Q239" s="49">
        <f t="shared" si="6"/>
        <v>3429.56</v>
      </c>
    </row>
    <row r="240" spans="1:17" s="18" customFormat="1" ht="24" customHeight="1" x14ac:dyDescent="0.25">
      <c r="A240" s="13" t="s">
        <v>110</v>
      </c>
      <c r="B240" s="24" t="s">
        <v>311</v>
      </c>
      <c r="C240" s="129" t="s">
        <v>623</v>
      </c>
      <c r="D240" s="66">
        <v>1956.56</v>
      </c>
      <c r="E240" s="13" t="s">
        <v>291</v>
      </c>
      <c r="F240" s="13" t="s">
        <v>131</v>
      </c>
      <c r="G240" s="46">
        <v>1</v>
      </c>
      <c r="H240" s="46">
        <v>0</v>
      </c>
      <c r="I240" s="47">
        <v>41913</v>
      </c>
      <c r="J240" s="47">
        <v>42614</v>
      </c>
      <c r="K240" s="13" t="s">
        <v>132</v>
      </c>
      <c r="L240" s="41" t="s">
        <v>541</v>
      </c>
      <c r="M240" s="17"/>
      <c r="P240" s="43" t="s">
        <v>792</v>
      </c>
      <c r="Q240" s="49">
        <f t="shared" si="6"/>
        <v>1956.56</v>
      </c>
    </row>
    <row r="241" spans="1:17" s="18" customFormat="1" ht="28.5" x14ac:dyDescent="0.25">
      <c r="A241" s="13" t="s">
        <v>111</v>
      </c>
      <c r="B241" s="24" t="s">
        <v>106</v>
      </c>
      <c r="C241" s="129" t="s">
        <v>623</v>
      </c>
      <c r="D241" s="66">
        <v>2313.9569999999999</v>
      </c>
      <c r="E241" s="13" t="s">
        <v>127</v>
      </c>
      <c r="F241" s="13" t="s">
        <v>130</v>
      </c>
      <c r="G241" s="46">
        <v>0</v>
      </c>
      <c r="H241" s="46">
        <v>1</v>
      </c>
      <c r="I241" s="16">
        <v>40391</v>
      </c>
      <c r="J241" s="47">
        <v>42186</v>
      </c>
      <c r="K241" s="13" t="s">
        <v>233</v>
      </c>
      <c r="L241" s="41" t="s">
        <v>362</v>
      </c>
      <c r="M241" s="17"/>
      <c r="P241" s="43" t="s">
        <v>792</v>
      </c>
      <c r="Q241" s="49">
        <f t="shared" si="6"/>
        <v>0</v>
      </c>
    </row>
    <row r="242" spans="1:17" s="18" customFormat="1" ht="36" x14ac:dyDescent="0.25">
      <c r="A242" s="13" t="s">
        <v>112</v>
      </c>
      <c r="B242" s="24" t="s">
        <v>16</v>
      </c>
      <c r="C242" s="129" t="s">
        <v>624</v>
      </c>
      <c r="D242" s="66">
        <v>225.57</v>
      </c>
      <c r="E242" s="13" t="s">
        <v>115</v>
      </c>
      <c r="F242" s="13" t="s">
        <v>130</v>
      </c>
      <c r="G242" s="46">
        <v>0.66</v>
      </c>
      <c r="H242" s="46">
        <v>0.34</v>
      </c>
      <c r="I242" s="16">
        <v>40969</v>
      </c>
      <c r="J242" s="47">
        <v>42339</v>
      </c>
      <c r="K242" s="13" t="s">
        <v>233</v>
      </c>
      <c r="L242" s="41" t="s">
        <v>435</v>
      </c>
      <c r="M242" s="17"/>
      <c r="P242" s="43" t="s">
        <v>792</v>
      </c>
      <c r="Q242" s="49">
        <f t="shared" si="6"/>
        <v>148.87620000000001</v>
      </c>
    </row>
    <row r="243" spans="1:17" s="50" customFormat="1" ht="42.75" x14ac:dyDescent="0.25">
      <c r="A243" s="43" t="s">
        <v>319</v>
      </c>
      <c r="B243" s="44" t="s">
        <v>593</v>
      </c>
      <c r="C243" s="129" t="s">
        <v>624</v>
      </c>
      <c r="D243" s="67">
        <f>(549.41-200)</f>
        <v>349.40999999999997</v>
      </c>
      <c r="E243" s="43" t="s">
        <v>115</v>
      </c>
      <c r="F243" s="43" t="s">
        <v>131</v>
      </c>
      <c r="G243" s="46">
        <v>1</v>
      </c>
      <c r="H243" s="46">
        <v>0</v>
      </c>
      <c r="I243" s="47">
        <v>41426</v>
      </c>
      <c r="J243" s="47">
        <v>42339</v>
      </c>
      <c r="K243" s="70" t="s">
        <v>233</v>
      </c>
      <c r="L243" s="48" t="s">
        <v>520</v>
      </c>
      <c r="M243" s="17"/>
      <c r="P243" s="43" t="s">
        <v>792</v>
      </c>
      <c r="Q243" s="49">
        <f t="shared" si="6"/>
        <v>349.40999999999997</v>
      </c>
    </row>
    <row r="244" spans="1:17" s="18" customFormat="1" ht="36" x14ac:dyDescent="0.25">
      <c r="A244" s="26" t="s">
        <v>319</v>
      </c>
      <c r="B244" s="24" t="s">
        <v>397</v>
      </c>
      <c r="C244" s="129" t="s">
        <v>624</v>
      </c>
      <c r="D244" s="66">
        <v>459.49</v>
      </c>
      <c r="E244" s="13" t="s">
        <v>114</v>
      </c>
      <c r="F244" s="13" t="s">
        <v>131</v>
      </c>
      <c r="G244" s="46">
        <v>1</v>
      </c>
      <c r="H244" s="46">
        <v>0</v>
      </c>
      <c r="I244" s="16">
        <v>41091</v>
      </c>
      <c r="J244" s="16">
        <v>42705</v>
      </c>
      <c r="K244" s="70" t="s">
        <v>233</v>
      </c>
      <c r="L244" s="41" t="s">
        <v>642</v>
      </c>
      <c r="M244" s="17"/>
      <c r="P244" s="43" t="s">
        <v>792</v>
      </c>
      <c r="Q244" s="49">
        <f t="shared" si="6"/>
        <v>459.49</v>
      </c>
    </row>
    <row r="245" spans="1:17" s="55" customFormat="1" ht="28.5" x14ac:dyDescent="0.25">
      <c r="A245" s="43" t="s">
        <v>345</v>
      </c>
      <c r="B245" s="44" t="s">
        <v>320</v>
      </c>
      <c r="C245" s="127" t="s">
        <v>620</v>
      </c>
      <c r="D245" s="67">
        <v>217.67</v>
      </c>
      <c r="E245" s="43" t="s">
        <v>114</v>
      </c>
      <c r="F245" s="43" t="s">
        <v>130</v>
      </c>
      <c r="G245" s="46">
        <v>0.92</v>
      </c>
      <c r="H245" s="46">
        <v>0.08</v>
      </c>
      <c r="I245" s="47">
        <v>42036</v>
      </c>
      <c r="J245" s="47">
        <v>42339</v>
      </c>
      <c r="K245" s="43" t="s">
        <v>132</v>
      </c>
      <c r="L245" s="48" t="s">
        <v>495</v>
      </c>
      <c r="M245" s="49"/>
      <c r="P245" s="43" t="s">
        <v>792</v>
      </c>
      <c r="Q245" s="49">
        <f t="shared" si="6"/>
        <v>200.25639999999999</v>
      </c>
    </row>
    <row r="246" spans="1:17" s="55" customFormat="1" ht="28.5" x14ac:dyDescent="0.25">
      <c r="A246" s="43" t="s">
        <v>346</v>
      </c>
      <c r="B246" s="44" t="s">
        <v>312</v>
      </c>
      <c r="C246" s="127" t="s">
        <v>620</v>
      </c>
      <c r="D246" s="67">
        <v>43.78</v>
      </c>
      <c r="E246" s="43" t="s">
        <v>114</v>
      </c>
      <c r="F246" s="43" t="s">
        <v>130</v>
      </c>
      <c r="G246" s="46">
        <v>0.64</v>
      </c>
      <c r="H246" s="46">
        <v>0.36</v>
      </c>
      <c r="I246" s="21">
        <v>40969</v>
      </c>
      <c r="J246" s="21">
        <v>41426</v>
      </c>
      <c r="K246" s="43" t="s">
        <v>309</v>
      </c>
      <c r="L246" s="48" t="s">
        <v>436</v>
      </c>
      <c r="M246" s="49"/>
      <c r="P246" s="43" t="s">
        <v>792</v>
      </c>
      <c r="Q246" s="49">
        <f t="shared" si="6"/>
        <v>28.019200000000001</v>
      </c>
    </row>
    <row r="247" spans="1:17" s="50" customFormat="1" ht="28.5" x14ac:dyDescent="0.25">
      <c r="A247" s="43" t="s">
        <v>347</v>
      </c>
      <c r="B247" s="44" t="s">
        <v>87</v>
      </c>
      <c r="C247" s="127" t="s">
        <v>622</v>
      </c>
      <c r="D247" s="67">
        <v>409.17</v>
      </c>
      <c r="E247" s="43" t="s">
        <v>114</v>
      </c>
      <c r="F247" s="43" t="s">
        <v>131</v>
      </c>
      <c r="G247" s="46">
        <v>1</v>
      </c>
      <c r="H247" s="46">
        <v>0</v>
      </c>
      <c r="I247" s="21">
        <v>41091</v>
      </c>
      <c r="J247" s="21">
        <v>42309</v>
      </c>
      <c r="K247" s="70" t="s">
        <v>233</v>
      </c>
      <c r="L247" s="48" t="s">
        <v>643</v>
      </c>
      <c r="M247" s="17"/>
      <c r="P247" s="43" t="s">
        <v>791</v>
      </c>
      <c r="Q247" s="49">
        <f t="shared" si="6"/>
        <v>409.17</v>
      </c>
    </row>
    <row r="248" spans="1:17" s="55" customFormat="1" ht="28.5" x14ac:dyDescent="0.25">
      <c r="A248" s="43" t="s">
        <v>366</v>
      </c>
      <c r="B248" s="44" t="s">
        <v>373</v>
      </c>
      <c r="C248" s="127" t="s">
        <v>620</v>
      </c>
      <c r="D248" s="67">
        <v>234.19300000000001</v>
      </c>
      <c r="E248" s="43" t="s">
        <v>418</v>
      </c>
      <c r="F248" s="43" t="s">
        <v>130</v>
      </c>
      <c r="G248" s="46">
        <v>0</v>
      </c>
      <c r="H248" s="46">
        <v>1</v>
      </c>
      <c r="I248" s="47">
        <v>42036</v>
      </c>
      <c r="J248" s="47">
        <v>42339</v>
      </c>
      <c r="K248" s="43" t="s">
        <v>132</v>
      </c>
      <c r="L248" s="48" t="s">
        <v>518</v>
      </c>
      <c r="M248" s="49"/>
      <c r="P248" s="43" t="s">
        <v>792</v>
      </c>
      <c r="Q248" s="49">
        <f t="shared" si="6"/>
        <v>0</v>
      </c>
    </row>
    <row r="249" spans="1:17" s="55" customFormat="1" ht="57" x14ac:dyDescent="0.25">
      <c r="A249" s="43" t="s">
        <v>372</v>
      </c>
      <c r="B249" s="44" t="s">
        <v>374</v>
      </c>
      <c r="C249" s="127" t="s">
        <v>620</v>
      </c>
      <c r="D249" s="67">
        <v>260.01499999999999</v>
      </c>
      <c r="E249" s="43" t="s">
        <v>115</v>
      </c>
      <c r="F249" s="43" t="s">
        <v>130</v>
      </c>
      <c r="G249" s="46">
        <v>1</v>
      </c>
      <c r="H249" s="46">
        <v>0</v>
      </c>
      <c r="I249" s="47">
        <v>42248</v>
      </c>
      <c r="J249" s="47">
        <v>42583</v>
      </c>
      <c r="K249" s="43" t="s">
        <v>132</v>
      </c>
      <c r="L249" s="48" t="s">
        <v>519</v>
      </c>
      <c r="M249" s="49"/>
      <c r="P249" s="43" t="s">
        <v>792</v>
      </c>
      <c r="Q249" s="49">
        <f t="shared" si="6"/>
        <v>260.01499999999999</v>
      </c>
    </row>
    <row r="250" spans="1:17" s="56" customFormat="1" ht="48" x14ac:dyDescent="0.25">
      <c r="A250" s="43" t="s">
        <v>437</v>
      </c>
      <c r="B250" s="44" t="s">
        <v>438</v>
      </c>
      <c r="C250" s="129" t="s">
        <v>624</v>
      </c>
      <c r="D250" s="67">
        <v>30</v>
      </c>
      <c r="E250" s="43" t="s">
        <v>116</v>
      </c>
      <c r="F250" s="43" t="s">
        <v>130</v>
      </c>
      <c r="G250" s="46">
        <v>0</v>
      </c>
      <c r="H250" s="46">
        <v>1</v>
      </c>
      <c r="I250" s="47">
        <v>41214</v>
      </c>
      <c r="J250" s="47">
        <v>41334</v>
      </c>
      <c r="K250" s="43" t="s">
        <v>309</v>
      </c>
      <c r="L250" s="48" t="s">
        <v>28</v>
      </c>
      <c r="M250" s="49"/>
      <c r="P250" s="43" t="s">
        <v>792</v>
      </c>
      <c r="Q250" s="49">
        <f t="shared" si="6"/>
        <v>0</v>
      </c>
    </row>
    <row r="251" spans="1:17" s="18" customFormat="1" ht="28.5" x14ac:dyDescent="0.25">
      <c r="A251" s="13" t="s">
        <v>73</v>
      </c>
      <c r="B251" s="14" t="s">
        <v>592</v>
      </c>
      <c r="C251" s="127" t="s">
        <v>621</v>
      </c>
      <c r="D251" s="68">
        <v>472.08499999999998</v>
      </c>
      <c r="E251" s="13" t="s">
        <v>115</v>
      </c>
      <c r="F251" s="13" t="s">
        <v>130</v>
      </c>
      <c r="G251" s="46">
        <v>1</v>
      </c>
      <c r="H251" s="46">
        <v>0</v>
      </c>
      <c r="I251" s="21">
        <v>41518</v>
      </c>
      <c r="J251" s="21">
        <v>41944</v>
      </c>
      <c r="K251" s="70" t="s">
        <v>0</v>
      </c>
      <c r="L251" s="41" t="s">
        <v>521</v>
      </c>
      <c r="M251" s="17"/>
      <c r="P251" s="43" t="s">
        <v>792</v>
      </c>
      <c r="Q251" s="49">
        <f t="shared" si="6"/>
        <v>472.08499999999998</v>
      </c>
    </row>
    <row r="252" spans="1:17" s="18" customFormat="1" ht="28.5" x14ac:dyDescent="0.25">
      <c r="A252" s="13" t="s">
        <v>74</v>
      </c>
      <c r="B252" s="14" t="s">
        <v>72</v>
      </c>
      <c r="C252" s="127" t="s">
        <v>621</v>
      </c>
      <c r="D252" s="68">
        <v>582.524</v>
      </c>
      <c r="E252" s="13" t="s">
        <v>115</v>
      </c>
      <c r="F252" s="13" t="s">
        <v>130</v>
      </c>
      <c r="G252" s="46">
        <v>1</v>
      </c>
      <c r="H252" s="46">
        <v>0</v>
      </c>
      <c r="I252" s="21">
        <v>41518</v>
      </c>
      <c r="J252" s="21">
        <v>41944</v>
      </c>
      <c r="K252" s="70" t="s">
        <v>0</v>
      </c>
      <c r="L252" s="41" t="s">
        <v>521</v>
      </c>
      <c r="M252" s="17"/>
      <c r="P252" s="43" t="s">
        <v>792</v>
      </c>
      <c r="Q252" s="49">
        <f t="shared" si="6"/>
        <v>582.524</v>
      </c>
    </row>
    <row r="253" spans="1:17" s="18" customFormat="1" ht="28.5" x14ac:dyDescent="0.25">
      <c r="A253" s="13" t="s">
        <v>75</v>
      </c>
      <c r="B253" s="14" t="s">
        <v>71</v>
      </c>
      <c r="C253" s="127" t="s">
        <v>621</v>
      </c>
      <c r="D253" s="68">
        <v>1116.5039999999999</v>
      </c>
      <c r="E253" s="26" t="s">
        <v>291</v>
      </c>
      <c r="F253" s="26" t="s">
        <v>131</v>
      </c>
      <c r="G253" s="46">
        <v>1</v>
      </c>
      <c r="H253" s="46">
        <v>0</v>
      </c>
      <c r="I253" s="21">
        <v>41518</v>
      </c>
      <c r="J253" s="21">
        <v>41944</v>
      </c>
      <c r="K253" s="13" t="s">
        <v>132</v>
      </c>
      <c r="L253" s="41" t="s">
        <v>521</v>
      </c>
      <c r="M253" s="17"/>
      <c r="P253" s="43" t="s">
        <v>792</v>
      </c>
      <c r="Q253" s="49">
        <f t="shared" si="6"/>
        <v>1116.5039999999999</v>
      </c>
    </row>
    <row r="254" spans="1:17" s="50" customFormat="1" ht="28.5" x14ac:dyDescent="0.25">
      <c r="A254" s="43" t="s">
        <v>484</v>
      </c>
      <c r="B254" s="51" t="s">
        <v>485</v>
      </c>
      <c r="C254" s="127" t="s">
        <v>620</v>
      </c>
      <c r="D254" s="67">
        <f>470.15+562.281</f>
        <v>1032.431</v>
      </c>
      <c r="E254" s="43" t="s">
        <v>114</v>
      </c>
      <c r="F254" s="43" t="s">
        <v>130</v>
      </c>
      <c r="G254" s="46">
        <v>1</v>
      </c>
      <c r="H254" s="46">
        <v>0</v>
      </c>
      <c r="I254" s="47">
        <v>42156</v>
      </c>
      <c r="J254" s="47">
        <v>42705</v>
      </c>
      <c r="K254" s="43" t="s">
        <v>132</v>
      </c>
      <c r="L254" s="48" t="s">
        <v>676</v>
      </c>
      <c r="M254" s="168"/>
      <c r="P254" s="43" t="s">
        <v>792</v>
      </c>
      <c r="Q254" s="49">
        <f t="shared" si="6"/>
        <v>1032.431</v>
      </c>
    </row>
    <row r="255" spans="1:17" s="53" customFormat="1" ht="28.5" x14ac:dyDescent="0.25">
      <c r="A255" s="43" t="s">
        <v>567</v>
      </c>
      <c r="B255" s="44" t="s">
        <v>107</v>
      </c>
      <c r="C255" s="133" t="s">
        <v>623</v>
      </c>
      <c r="D255" s="67">
        <v>484.98</v>
      </c>
      <c r="E255" s="43" t="s">
        <v>115</v>
      </c>
      <c r="F255" s="26" t="s">
        <v>130</v>
      </c>
      <c r="G255" s="46">
        <v>0.96</v>
      </c>
      <c r="H255" s="46">
        <v>0.04</v>
      </c>
      <c r="I255" s="47">
        <v>42005</v>
      </c>
      <c r="J255" s="47">
        <v>42705</v>
      </c>
      <c r="K255" s="43" t="s">
        <v>132</v>
      </c>
      <c r="L255" s="48" t="s">
        <v>493</v>
      </c>
      <c r="M255" s="49"/>
      <c r="P255" s="43" t="s">
        <v>792</v>
      </c>
      <c r="Q255" s="49">
        <f t="shared" si="6"/>
        <v>465.58080000000001</v>
      </c>
    </row>
    <row r="256" spans="1:17" s="57" customFormat="1" ht="28.5" x14ac:dyDescent="0.25">
      <c r="A256" s="43" t="s">
        <v>565</v>
      </c>
      <c r="B256" s="44" t="s">
        <v>68</v>
      </c>
      <c r="C256" s="127" t="s">
        <v>620</v>
      </c>
      <c r="D256" s="67">
        <v>201.36</v>
      </c>
      <c r="E256" s="43" t="s">
        <v>169</v>
      </c>
      <c r="F256" s="43" t="s">
        <v>130</v>
      </c>
      <c r="G256" s="46">
        <v>0</v>
      </c>
      <c r="H256" s="46">
        <v>1</v>
      </c>
      <c r="I256" s="47">
        <v>42064</v>
      </c>
      <c r="J256" s="47">
        <v>42339</v>
      </c>
      <c r="K256" s="43" t="s">
        <v>132</v>
      </c>
      <c r="L256" s="48" t="s">
        <v>495</v>
      </c>
      <c r="M256" s="49"/>
      <c r="P256" s="43" t="s">
        <v>792</v>
      </c>
      <c r="Q256" s="49">
        <f t="shared" si="6"/>
        <v>0</v>
      </c>
    </row>
    <row r="257" spans="1:17" s="53" customFormat="1" ht="42.75" x14ac:dyDescent="0.25">
      <c r="A257" s="43" t="s">
        <v>568</v>
      </c>
      <c r="B257" s="44" t="s">
        <v>650</v>
      </c>
      <c r="C257" s="127" t="s">
        <v>620</v>
      </c>
      <c r="D257" s="67">
        <f>1692.56-1004.38-144.29</f>
        <v>543.89</v>
      </c>
      <c r="E257" s="26" t="s">
        <v>291</v>
      </c>
      <c r="F257" s="43" t="s">
        <v>130</v>
      </c>
      <c r="G257" s="46">
        <v>1</v>
      </c>
      <c r="H257" s="46">
        <v>0</v>
      </c>
      <c r="I257" s="47">
        <v>42156</v>
      </c>
      <c r="J257" s="47">
        <v>42705</v>
      </c>
      <c r="K257" s="43" t="s">
        <v>132</v>
      </c>
      <c r="L257" s="48" t="s">
        <v>681</v>
      </c>
      <c r="M257" s="49"/>
      <c r="P257" s="43" t="s">
        <v>792</v>
      </c>
      <c r="Q257" s="49">
        <f t="shared" si="6"/>
        <v>543.89</v>
      </c>
    </row>
    <row r="258" spans="1:17" s="50" customFormat="1" ht="42.75" x14ac:dyDescent="0.25">
      <c r="A258" s="43" t="s">
        <v>564</v>
      </c>
      <c r="B258" s="44" t="s">
        <v>354</v>
      </c>
      <c r="C258" s="127" t="s">
        <v>620</v>
      </c>
      <c r="D258" s="67">
        <v>202.68280000000001</v>
      </c>
      <c r="E258" s="43" t="s">
        <v>114</v>
      </c>
      <c r="F258" s="43" t="s">
        <v>130</v>
      </c>
      <c r="G258" s="46">
        <v>1</v>
      </c>
      <c r="H258" s="46">
        <v>0</v>
      </c>
      <c r="I258" s="47">
        <v>42064</v>
      </c>
      <c r="J258" s="47">
        <v>42401</v>
      </c>
      <c r="K258" s="43" t="s">
        <v>132</v>
      </c>
      <c r="L258" s="48" t="s">
        <v>517</v>
      </c>
      <c r="M258" s="49"/>
      <c r="P258" s="43" t="s">
        <v>792</v>
      </c>
      <c r="Q258" s="49">
        <f t="shared" si="6"/>
        <v>202.68280000000001</v>
      </c>
    </row>
    <row r="259" spans="1:17" s="50" customFormat="1" ht="28.5" x14ac:dyDescent="0.25">
      <c r="A259" s="43" t="s">
        <v>569</v>
      </c>
      <c r="B259" s="51" t="s">
        <v>45</v>
      </c>
      <c r="C259" s="127" t="s">
        <v>620</v>
      </c>
      <c r="D259" s="67">
        <v>85.341999999999999</v>
      </c>
      <c r="E259" s="43" t="s">
        <v>114</v>
      </c>
      <c r="F259" s="43" t="s">
        <v>130</v>
      </c>
      <c r="G259" s="46">
        <v>0.46</v>
      </c>
      <c r="H259" s="46">
        <v>0.54</v>
      </c>
      <c r="I259" s="47">
        <v>42217</v>
      </c>
      <c r="J259" s="47">
        <v>42339</v>
      </c>
      <c r="K259" s="43" t="s">
        <v>132</v>
      </c>
      <c r="L259" s="48" t="s">
        <v>682</v>
      </c>
      <c r="M259" s="49"/>
      <c r="P259" s="43" t="s">
        <v>792</v>
      </c>
      <c r="Q259" s="49">
        <f t="shared" si="6"/>
        <v>39.25732</v>
      </c>
    </row>
    <row r="260" spans="1:17" s="59" customFormat="1" ht="50.1" customHeight="1" x14ac:dyDescent="0.25">
      <c r="A260" s="43" t="s">
        <v>570</v>
      </c>
      <c r="B260" s="51" t="s">
        <v>43</v>
      </c>
      <c r="C260" s="127" t="s">
        <v>620</v>
      </c>
      <c r="D260" s="67">
        <v>783.49</v>
      </c>
      <c r="E260" s="43" t="s">
        <v>44</v>
      </c>
      <c r="F260" s="43" t="s">
        <v>130</v>
      </c>
      <c r="G260" s="46">
        <v>0</v>
      </c>
      <c r="H260" s="46">
        <v>1</v>
      </c>
      <c r="I260" s="47">
        <v>41518</v>
      </c>
      <c r="J260" s="47">
        <v>42095</v>
      </c>
      <c r="K260" s="70" t="s">
        <v>233</v>
      </c>
      <c r="L260" s="48" t="s">
        <v>651</v>
      </c>
      <c r="M260" s="49"/>
      <c r="P260" s="43" t="s">
        <v>792</v>
      </c>
      <c r="Q260" s="49">
        <f t="shared" si="6"/>
        <v>0</v>
      </c>
    </row>
    <row r="261" spans="1:17" s="59" customFormat="1" ht="50.1" customHeight="1" x14ac:dyDescent="0.25">
      <c r="A261" s="43" t="s">
        <v>691</v>
      </c>
      <c r="B261" s="14" t="s">
        <v>663</v>
      </c>
      <c r="C261" s="155" t="s">
        <v>620</v>
      </c>
      <c r="D261" s="156">
        <v>122</v>
      </c>
      <c r="E261" s="13" t="s">
        <v>664</v>
      </c>
      <c r="F261" s="46" t="s">
        <v>130</v>
      </c>
      <c r="G261" s="46">
        <v>0</v>
      </c>
      <c r="H261" s="46">
        <v>1</v>
      </c>
      <c r="I261" s="21">
        <v>42156</v>
      </c>
      <c r="J261" s="21">
        <v>42644</v>
      </c>
      <c r="K261" s="70" t="s">
        <v>132</v>
      </c>
      <c r="L261" s="41" t="s">
        <v>684</v>
      </c>
      <c r="M261" s="49"/>
      <c r="P261" s="43" t="s">
        <v>792</v>
      </c>
      <c r="Q261" s="49">
        <f t="shared" si="6"/>
        <v>0</v>
      </c>
    </row>
    <row r="262" spans="1:17" s="59" customFormat="1" ht="50.1" customHeight="1" x14ac:dyDescent="0.25">
      <c r="A262" s="43" t="s">
        <v>692</v>
      </c>
      <c r="B262" s="14" t="s">
        <v>683</v>
      </c>
      <c r="C262" s="155" t="s">
        <v>620</v>
      </c>
      <c r="D262" s="156">
        <v>280</v>
      </c>
      <c r="E262" s="13" t="s">
        <v>115</v>
      </c>
      <c r="F262" s="46" t="s">
        <v>130</v>
      </c>
      <c r="G262" s="46">
        <v>1</v>
      </c>
      <c r="H262" s="46">
        <v>0</v>
      </c>
      <c r="I262" s="21">
        <v>42156</v>
      </c>
      <c r="J262" s="21">
        <v>42644</v>
      </c>
      <c r="K262" s="70" t="s">
        <v>132</v>
      </c>
      <c r="L262" s="41" t="s">
        <v>685</v>
      </c>
      <c r="M262" s="49"/>
      <c r="P262" s="43" t="s">
        <v>792</v>
      </c>
      <c r="Q262" s="49">
        <f t="shared" si="6"/>
        <v>280</v>
      </c>
    </row>
    <row r="263" spans="1:17" s="59" customFormat="1" ht="50.1" customHeight="1" x14ac:dyDescent="0.25">
      <c r="A263" s="43" t="s">
        <v>701</v>
      </c>
      <c r="B263" s="14" t="s">
        <v>702</v>
      </c>
      <c r="C263" s="155" t="s">
        <v>620</v>
      </c>
      <c r="D263" s="156">
        <v>470</v>
      </c>
      <c r="E263" s="13" t="s">
        <v>115</v>
      </c>
      <c r="F263" s="46" t="s">
        <v>130</v>
      </c>
      <c r="G263" s="46">
        <v>1</v>
      </c>
      <c r="H263" s="46">
        <v>0</v>
      </c>
      <c r="I263" s="21">
        <v>42156</v>
      </c>
      <c r="J263" s="21">
        <v>42705</v>
      </c>
      <c r="K263" s="70" t="s">
        <v>132</v>
      </c>
      <c r="L263" s="48" t="s">
        <v>703</v>
      </c>
      <c r="M263" s="49"/>
      <c r="P263" s="43" t="s">
        <v>792</v>
      </c>
      <c r="Q263" s="49">
        <f t="shared" si="6"/>
        <v>470</v>
      </c>
    </row>
    <row r="264" spans="1:17" s="59" customFormat="1" ht="50.1" customHeight="1" x14ac:dyDescent="0.25">
      <c r="A264" s="43" t="s">
        <v>707</v>
      </c>
      <c r="B264" s="14" t="s">
        <v>709</v>
      </c>
      <c r="C264" s="155" t="s">
        <v>620</v>
      </c>
      <c r="D264" s="156">
        <v>800</v>
      </c>
      <c r="E264" s="13" t="s">
        <v>115</v>
      </c>
      <c r="F264" s="46" t="s">
        <v>130</v>
      </c>
      <c r="G264" s="46">
        <v>1</v>
      </c>
      <c r="H264" s="46">
        <v>0</v>
      </c>
      <c r="I264" s="21">
        <v>42186</v>
      </c>
      <c r="J264" s="21">
        <v>42370</v>
      </c>
      <c r="K264" s="70" t="s">
        <v>132</v>
      </c>
      <c r="L264" s="48" t="s">
        <v>708</v>
      </c>
      <c r="M264" s="49"/>
      <c r="P264" s="43" t="s">
        <v>792</v>
      </c>
      <c r="Q264" s="49">
        <f t="shared" si="6"/>
        <v>800</v>
      </c>
    </row>
    <row r="265" spans="1:17" s="59" customFormat="1" ht="50.1" customHeight="1" x14ac:dyDescent="0.25">
      <c r="A265" s="43" t="s">
        <v>718</v>
      </c>
      <c r="B265" s="44" t="s">
        <v>719</v>
      </c>
      <c r="C265" s="133" t="s">
        <v>623</v>
      </c>
      <c r="D265" s="67">
        <v>1145</v>
      </c>
      <c r="E265" s="43" t="s">
        <v>724</v>
      </c>
      <c r="F265" s="43" t="s">
        <v>130</v>
      </c>
      <c r="G265" s="46">
        <v>0</v>
      </c>
      <c r="H265" s="46">
        <v>1</v>
      </c>
      <c r="I265" s="47">
        <v>42156</v>
      </c>
      <c r="J265" s="47">
        <v>42705</v>
      </c>
      <c r="K265" s="43" t="s">
        <v>233</v>
      </c>
      <c r="L265" s="48" t="s">
        <v>720</v>
      </c>
      <c r="M265" s="49"/>
      <c r="P265" s="43" t="s">
        <v>792</v>
      </c>
      <c r="Q265" s="49">
        <f t="shared" si="6"/>
        <v>0</v>
      </c>
    </row>
    <row r="266" spans="1:17" s="59" customFormat="1" ht="50.1" customHeight="1" x14ac:dyDescent="0.25">
      <c r="A266" s="43" t="s">
        <v>721</v>
      </c>
      <c r="B266" s="44" t="s">
        <v>722</v>
      </c>
      <c r="C266" s="159" t="s">
        <v>620</v>
      </c>
      <c r="D266" s="67">
        <v>90</v>
      </c>
      <c r="E266" s="43" t="s">
        <v>66</v>
      </c>
      <c r="F266" s="43" t="s">
        <v>130</v>
      </c>
      <c r="G266" s="46">
        <v>1</v>
      </c>
      <c r="H266" s="46">
        <v>0</v>
      </c>
      <c r="I266" s="47">
        <v>42186</v>
      </c>
      <c r="J266" s="47">
        <v>42401</v>
      </c>
      <c r="K266" s="145" t="s">
        <v>132</v>
      </c>
      <c r="L266" s="48" t="s">
        <v>723</v>
      </c>
      <c r="M266" s="49"/>
      <c r="P266" s="43" t="s">
        <v>792</v>
      </c>
      <c r="Q266" s="49">
        <f t="shared" si="6"/>
        <v>90</v>
      </c>
    </row>
    <row r="267" spans="1:17" s="59" customFormat="1" ht="54" customHeight="1" x14ac:dyDescent="0.25">
      <c r="A267" s="43" t="s">
        <v>726</v>
      </c>
      <c r="B267" s="44" t="s">
        <v>738</v>
      </c>
      <c r="C267" s="127" t="s">
        <v>620</v>
      </c>
      <c r="D267" s="67">
        <v>101</v>
      </c>
      <c r="E267" s="43" t="s">
        <v>66</v>
      </c>
      <c r="F267" s="43" t="s">
        <v>130</v>
      </c>
      <c r="G267" s="46">
        <v>1</v>
      </c>
      <c r="H267" s="46">
        <v>0</v>
      </c>
      <c r="I267" s="47">
        <v>42217</v>
      </c>
      <c r="J267" s="47">
        <v>42401</v>
      </c>
      <c r="K267" s="145" t="s">
        <v>132</v>
      </c>
      <c r="L267" s="48" t="s">
        <v>750</v>
      </c>
      <c r="M267" s="49"/>
      <c r="P267" s="43" t="s">
        <v>792</v>
      </c>
      <c r="Q267" s="49">
        <f t="shared" ref="Q267:Q272" si="7">+$D267*G267</f>
        <v>101</v>
      </c>
    </row>
    <row r="268" spans="1:17" s="59" customFormat="1" ht="50.1" customHeight="1" x14ac:dyDescent="0.25">
      <c r="A268" s="43" t="s">
        <v>727</v>
      </c>
      <c r="B268" s="44" t="s">
        <v>728</v>
      </c>
      <c r="C268" s="127" t="s">
        <v>620</v>
      </c>
      <c r="D268" s="67">
        <v>253.947</v>
      </c>
      <c r="E268" s="43" t="s">
        <v>115</v>
      </c>
      <c r="F268" s="43" t="s">
        <v>130</v>
      </c>
      <c r="G268" s="46">
        <v>1</v>
      </c>
      <c r="H268" s="46">
        <v>0</v>
      </c>
      <c r="I268" s="47">
        <v>42217</v>
      </c>
      <c r="J268" s="47">
        <v>42339</v>
      </c>
      <c r="K268" s="145" t="s">
        <v>132</v>
      </c>
      <c r="L268" s="48" t="s">
        <v>751</v>
      </c>
      <c r="M268" s="49"/>
      <c r="P268" s="43" t="s">
        <v>792</v>
      </c>
      <c r="Q268" s="49">
        <f t="shared" si="7"/>
        <v>253.947</v>
      </c>
    </row>
    <row r="269" spans="1:17" s="59" customFormat="1" ht="59.25" customHeight="1" x14ac:dyDescent="0.25">
      <c r="A269" s="43" t="s">
        <v>736</v>
      </c>
      <c r="B269" s="44" t="s">
        <v>737</v>
      </c>
      <c r="C269" s="127" t="s">
        <v>620</v>
      </c>
      <c r="D269" s="67">
        <v>101</v>
      </c>
      <c r="E269" s="43" t="s">
        <v>66</v>
      </c>
      <c r="F269" s="43" t="s">
        <v>130</v>
      </c>
      <c r="G269" s="46">
        <v>1</v>
      </c>
      <c r="H269" s="46">
        <v>0</v>
      </c>
      <c r="I269" s="47">
        <v>42401</v>
      </c>
      <c r="J269" s="47">
        <v>42705</v>
      </c>
      <c r="K269" s="145" t="s">
        <v>132</v>
      </c>
      <c r="L269" s="48" t="s">
        <v>750</v>
      </c>
      <c r="M269" s="49"/>
      <c r="P269" s="43" t="s">
        <v>792</v>
      </c>
      <c r="Q269" s="49">
        <f t="shared" si="7"/>
        <v>101</v>
      </c>
    </row>
    <row r="270" spans="1:17" s="59" customFormat="1" ht="59.25" customHeight="1" x14ac:dyDescent="0.25">
      <c r="A270" s="43" t="s">
        <v>748</v>
      </c>
      <c r="B270" s="44" t="s">
        <v>773</v>
      </c>
      <c r="C270" s="127" t="s">
        <v>620</v>
      </c>
      <c r="D270" s="67">
        <v>355</v>
      </c>
      <c r="E270" s="43" t="s">
        <v>114</v>
      </c>
      <c r="F270" s="43" t="s">
        <v>130</v>
      </c>
      <c r="G270" s="46">
        <v>1</v>
      </c>
      <c r="H270" s="46">
        <v>0</v>
      </c>
      <c r="I270" s="47">
        <v>42217</v>
      </c>
      <c r="J270" s="47">
        <v>42461</v>
      </c>
      <c r="K270" s="145" t="s">
        <v>132</v>
      </c>
      <c r="L270" s="48" t="s">
        <v>752</v>
      </c>
      <c r="M270" s="49"/>
      <c r="P270" s="43" t="s">
        <v>792</v>
      </c>
      <c r="Q270" s="49">
        <f t="shared" si="7"/>
        <v>355</v>
      </c>
    </row>
    <row r="271" spans="1:17" s="59" customFormat="1" ht="59.25" customHeight="1" x14ac:dyDescent="0.25">
      <c r="A271" s="43" t="s">
        <v>749</v>
      </c>
      <c r="B271" s="44" t="s">
        <v>772</v>
      </c>
      <c r="C271" s="127" t="s">
        <v>620</v>
      </c>
      <c r="D271" s="67">
        <v>277</v>
      </c>
      <c r="E271" s="43" t="s">
        <v>115</v>
      </c>
      <c r="F271" s="43" t="s">
        <v>130</v>
      </c>
      <c r="G271" s="46">
        <v>1</v>
      </c>
      <c r="H271" s="46">
        <v>0</v>
      </c>
      <c r="I271" s="47">
        <v>42217</v>
      </c>
      <c r="J271" s="47">
        <v>42705</v>
      </c>
      <c r="K271" s="145" t="s">
        <v>132</v>
      </c>
      <c r="L271" s="48" t="s">
        <v>753</v>
      </c>
      <c r="M271" s="49"/>
      <c r="P271" s="43" t="s">
        <v>792</v>
      </c>
      <c r="Q271" s="49">
        <f t="shared" si="7"/>
        <v>277</v>
      </c>
    </row>
    <row r="272" spans="1:17" s="59" customFormat="1" ht="59.25" customHeight="1" x14ac:dyDescent="0.25">
      <c r="A272" s="43" t="s">
        <v>774</v>
      </c>
      <c r="B272" s="44" t="s">
        <v>784</v>
      </c>
      <c r="C272" s="127" t="s">
        <v>620</v>
      </c>
      <c r="D272" s="67">
        <v>300</v>
      </c>
      <c r="E272" s="43" t="s">
        <v>115</v>
      </c>
      <c r="F272" s="43" t="s">
        <v>130</v>
      </c>
      <c r="G272" s="46">
        <v>1</v>
      </c>
      <c r="H272" s="46">
        <v>0</v>
      </c>
      <c r="I272" s="47">
        <v>42248</v>
      </c>
      <c r="J272" s="47">
        <v>42430</v>
      </c>
      <c r="K272" s="145" t="s">
        <v>132</v>
      </c>
      <c r="L272" s="48" t="s">
        <v>775</v>
      </c>
      <c r="M272" s="49"/>
      <c r="P272" s="43" t="s">
        <v>792</v>
      </c>
      <c r="Q272" s="49">
        <f t="shared" si="7"/>
        <v>300</v>
      </c>
    </row>
    <row r="273" spans="1:19" s="20" customFormat="1" ht="25.5" customHeight="1" x14ac:dyDescent="0.25">
      <c r="A273" s="141" t="s">
        <v>58</v>
      </c>
      <c r="B273" s="140"/>
      <c r="C273" s="106"/>
      <c r="D273" s="86">
        <f>SUM(D202:D263)</f>
        <v>38808.171945945935</v>
      </c>
      <c r="E273" s="107"/>
      <c r="F273" s="108"/>
      <c r="G273" s="86">
        <f>SUMPRODUCT(G202:G262,$D$202:$D$262)</f>
        <v>30712.486379999995</v>
      </c>
      <c r="H273" s="86">
        <f>SUMPRODUCT(H202:H262,$D$202:$D$262)</f>
        <v>7625.6855659459443</v>
      </c>
      <c r="I273" s="109"/>
      <c r="J273" s="109"/>
      <c r="K273" s="110"/>
      <c r="L273" s="111"/>
      <c r="M273" s="112"/>
    </row>
    <row r="274" spans="1:19" s="20" customFormat="1" ht="15" x14ac:dyDescent="0.25">
      <c r="A274" s="87"/>
      <c r="B274" s="87"/>
      <c r="C274" s="87"/>
      <c r="D274" s="88"/>
      <c r="E274" s="99"/>
      <c r="F274" s="100"/>
      <c r="G274" s="101"/>
      <c r="H274" s="92"/>
      <c r="I274" s="102"/>
      <c r="J274" s="102"/>
      <c r="K274" s="103"/>
      <c r="L274" s="104"/>
      <c r="M274" s="105"/>
    </row>
    <row r="275" spans="1:19" s="20" customFormat="1" ht="26.25" customHeight="1" x14ac:dyDescent="0.25">
      <c r="A275" s="181" t="s">
        <v>53</v>
      </c>
      <c r="B275" s="181"/>
      <c r="C275" s="121"/>
      <c r="D275" s="120">
        <f>D273+D199+D140+D85</f>
        <v>599998.00042486552</v>
      </c>
      <c r="E275" s="122"/>
      <c r="F275" s="122"/>
      <c r="G275" s="120">
        <f>G273+G199+G140+G85</f>
        <v>161673.87895882083</v>
      </c>
      <c r="H275" s="120">
        <f>H273+H199+H140+H85</f>
        <v>437810.1214660448</v>
      </c>
      <c r="I275" s="123"/>
      <c r="J275" s="123"/>
      <c r="K275" s="124"/>
      <c r="L275" s="125"/>
      <c r="M275" s="126"/>
    </row>
    <row r="276" spans="1:19" s="31" customFormat="1" ht="14.25" x14ac:dyDescent="0.25">
      <c r="A276" s="29"/>
      <c r="B276" s="30"/>
      <c r="C276" s="30"/>
      <c r="E276" s="32"/>
      <c r="F276" s="32"/>
      <c r="G276" s="148"/>
      <c r="H276" s="75"/>
      <c r="I276" s="33"/>
      <c r="J276" s="34"/>
      <c r="K276" s="32"/>
      <c r="L276" s="32"/>
      <c r="M276" s="35"/>
    </row>
    <row r="277" spans="1:19" s="20" customFormat="1" ht="26.25" customHeight="1" x14ac:dyDescent="0.25">
      <c r="A277" s="181" t="s">
        <v>618</v>
      </c>
      <c r="B277" s="181"/>
      <c r="C277" s="121"/>
      <c r="D277" s="122"/>
      <c r="E277" s="122"/>
      <c r="F277" s="122"/>
      <c r="G277" s="149">
        <f>+G275/D275</f>
        <v>0.26945736293177258</v>
      </c>
      <c r="H277" s="149">
        <f>+H275/D275</f>
        <v>0.72968596754660253</v>
      </c>
      <c r="I277" s="123"/>
      <c r="J277" s="123"/>
      <c r="K277" s="124"/>
      <c r="L277" s="125"/>
      <c r="M277" s="126"/>
    </row>
    <row r="278" spans="1:19" ht="14.25" x14ac:dyDescent="0.25">
      <c r="A278" s="5"/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5"/>
    </row>
    <row r="279" spans="1:19" ht="47.25" customHeight="1" x14ac:dyDescent="0.25">
      <c r="A279" s="136" t="s">
        <v>118</v>
      </c>
      <c r="B279" s="182" t="s">
        <v>475</v>
      </c>
      <c r="C279" s="182"/>
      <c r="D279" s="182"/>
      <c r="E279" s="182"/>
      <c r="F279" s="182"/>
      <c r="G279" s="182"/>
      <c r="H279" s="182"/>
      <c r="I279" s="182"/>
      <c r="J279" s="182"/>
      <c r="K279" s="182"/>
      <c r="L279" s="182"/>
      <c r="M279" s="35"/>
    </row>
    <row r="280" spans="1:19" ht="15" x14ac:dyDescent="0.25">
      <c r="A280" s="29" t="s">
        <v>119</v>
      </c>
      <c r="B280" s="38" t="s">
        <v>476</v>
      </c>
      <c r="C280" s="38"/>
      <c r="D280" s="37"/>
      <c r="E280" s="38"/>
      <c r="F280" s="38"/>
      <c r="G280" s="76"/>
      <c r="H280" s="77"/>
      <c r="I280" s="38"/>
      <c r="J280" s="38"/>
      <c r="K280" s="38"/>
      <c r="L280" s="35"/>
      <c r="M280" s="35"/>
    </row>
    <row r="281" spans="1:19" ht="15" x14ac:dyDescent="0.25">
      <c r="A281" s="29" t="s">
        <v>120</v>
      </c>
      <c r="B281" s="35" t="s">
        <v>477</v>
      </c>
      <c r="C281" s="35"/>
      <c r="D281" s="36"/>
      <c r="E281" s="35"/>
      <c r="F281" s="35"/>
      <c r="G281" s="78"/>
      <c r="H281" s="78"/>
      <c r="I281" s="35"/>
      <c r="J281" s="35"/>
      <c r="K281" s="35"/>
      <c r="L281" s="35"/>
      <c r="M281" s="35"/>
    </row>
    <row r="282" spans="1:19" ht="15" x14ac:dyDescent="0.25">
      <c r="A282" s="29" t="s">
        <v>122</v>
      </c>
      <c r="B282" s="35" t="s">
        <v>478</v>
      </c>
      <c r="C282" s="35"/>
      <c r="D282" s="36"/>
      <c r="E282" s="35"/>
      <c r="F282" s="35"/>
      <c r="G282" s="78"/>
      <c r="H282" s="78"/>
      <c r="I282" s="35"/>
      <c r="J282" s="35"/>
      <c r="K282" s="35"/>
      <c r="L282" s="35"/>
      <c r="M282" s="35"/>
    </row>
    <row r="283" spans="1:19" ht="15" x14ac:dyDescent="0.25">
      <c r="A283" s="29" t="s">
        <v>123</v>
      </c>
      <c r="B283" s="35" t="s">
        <v>479</v>
      </c>
      <c r="C283" s="35"/>
      <c r="D283" s="36"/>
      <c r="E283" s="35"/>
      <c r="F283" s="35"/>
      <c r="G283" s="78"/>
      <c r="H283" s="78"/>
      <c r="I283" s="35"/>
      <c r="J283" s="35"/>
      <c r="K283" s="35"/>
      <c r="L283" s="35"/>
      <c r="M283" s="35"/>
    </row>
    <row r="284" spans="1:19" ht="15" x14ac:dyDescent="0.25">
      <c r="A284" s="29" t="s">
        <v>124</v>
      </c>
      <c r="B284" s="35" t="s">
        <v>480</v>
      </c>
      <c r="C284" s="35"/>
      <c r="D284" s="36"/>
      <c r="E284" s="35"/>
      <c r="F284" s="35"/>
      <c r="G284" s="78"/>
      <c r="H284" s="78"/>
      <c r="I284" s="35"/>
      <c r="J284" s="35"/>
      <c r="K284" s="35"/>
      <c r="L284" s="35"/>
      <c r="M284" s="35"/>
    </row>
    <row r="285" spans="1:19" ht="15" x14ac:dyDescent="0.25">
      <c r="A285" s="29" t="s">
        <v>125</v>
      </c>
      <c r="B285" s="35" t="s">
        <v>481</v>
      </c>
      <c r="C285" s="35"/>
      <c r="D285" s="36"/>
      <c r="E285" s="35"/>
      <c r="F285" s="35"/>
      <c r="G285" s="78"/>
      <c r="H285" s="78"/>
      <c r="I285" s="35"/>
      <c r="J285" s="35"/>
      <c r="K285" s="35"/>
      <c r="L285" s="35"/>
      <c r="M285" s="35"/>
      <c r="Q285" s="175" t="s">
        <v>798</v>
      </c>
    </row>
    <row r="286" spans="1:19" ht="15" x14ac:dyDescent="0.25">
      <c r="A286" s="29" t="s">
        <v>126</v>
      </c>
      <c r="B286" s="35" t="s">
        <v>482</v>
      </c>
      <c r="C286" s="35"/>
      <c r="D286" s="36"/>
      <c r="E286" s="35"/>
      <c r="F286" s="35"/>
      <c r="G286" s="78"/>
      <c r="H286" s="78"/>
      <c r="I286" s="35"/>
      <c r="J286" s="35"/>
      <c r="K286" s="35"/>
      <c r="L286" s="35"/>
      <c r="M286" s="35"/>
      <c r="Q286" s="174" t="s">
        <v>794</v>
      </c>
      <c r="R286" s="174" t="s">
        <v>795</v>
      </c>
      <c r="S286" s="174" t="s">
        <v>796</v>
      </c>
    </row>
    <row r="287" spans="1:19" ht="14.25" x14ac:dyDescent="0.25">
      <c r="D287" s="71"/>
      <c r="E287" s="7"/>
      <c r="G287" s="144"/>
      <c r="K287" s="39"/>
      <c r="P287" s="172" t="s">
        <v>791</v>
      </c>
      <c r="Q287" s="173">
        <f>SUMIF($P$13:$P$272,$P287,Q13:Q272)</f>
        <v>99921.612399999998</v>
      </c>
      <c r="R287" s="173">
        <f>100511630/1000</f>
        <v>100511.63</v>
      </c>
      <c r="S287" s="173">
        <f>+Q287-R287</f>
        <v>-590.0176000000065</v>
      </c>
    </row>
    <row r="288" spans="1:19" ht="14.25" x14ac:dyDescent="0.25">
      <c r="D288" s="72"/>
      <c r="E288" s="7"/>
      <c r="K288" s="39"/>
      <c r="P288" s="172" t="s">
        <v>792</v>
      </c>
      <c r="Q288" s="173">
        <f>SUMIF($P$13:$P$272,$P288,Q13:Q272)</f>
        <v>69466.033558820811</v>
      </c>
      <c r="R288" s="173">
        <f>61942827/1000</f>
        <v>61942.826999999997</v>
      </c>
      <c r="S288" s="173">
        <f>+Q288-R288</f>
        <v>7523.2065588208134</v>
      </c>
    </row>
    <row r="289" spans="4:11" ht="30" customHeight="1" x14ac:dyDescent="0.25">
      <c r="D289" s="37"/>
      <c r="K289" s="40"/>
    </row>
    <row r="290" spans="4:11" ht="30" customHeight="1" x14ac:dyDescent="0.25">
      <c r="D290" s="71"/>
      <c r="K290" s="39"/>
    </row>
    <row r="291" spans="4:11" ht="30" customHeight="1" x14ac:dyDescent="0.25">
      <c r="D291" s="36"/>
      <c r="K291" s="39"/>
    </row>
    <row r="292" spans="4:11" ht="30" customHeight="1" x14ac:dyDescent="0.25">
      <c r="D292" s="36"/>
      <c r="K292" s="39"/>
    </row>
    <row r="293" spans="4:11" ht="30" customHeight="1" x14ac:dyDescent="0.25">
      <c r="K293" s="40"/>
    </row>
    <row r="294" spans="4:11" ht="30" customHeight="1" x14ac:dyDescent="0.25">
      <c r="K294" s="39"/>
    </row>
  </sheetData>
  <autoFilter ref="A12:M277"/>
  <mergeCells count="9">
    <mergeCell ref="A275:B275"/>
    <mergeCell ref="A277:B277"/>
    <mergeCell ref="B279:L279"/>
    <mergeCell ref="A7:M7"/>
    <mergeCell ref="A1:M1"/>
    <mergeCell ref="A2:M2"/>
    <mergeCell ref="A3:M3"/>
    <mergeCell ref="A4:M4"/>
    <mergeCell ref="A6:M6"/>
  </mergeCells>
  <phoneticPr fontId="2" type="noConversion"/>
  <conditionalFormatting sqref="A281 A280:C280 A293:J65559 A87 A142 A201 L141:M141 L200:M200 M214:M217 L125:L128 L143:M146 A158 A143:B157 L214:L218 A141:J141 A86:J86 L86:M86 A200:J200 A279:B279 L114:M124 A111:J111 A113:J128 A129:A133 A159:B189 D159:J189 C157:C170 A10:J11 A12 L10:M11 E34:J36 E33:I33 D33:D36 D13:J32 L13:M75 D143:J157 D37:J75 M76:M84 D76:G80 I77:J80 L105:L113 L159:M189 M278:M279 A273:J276 M263:M264 L219:M262 A265:A266 N112:O112 L191:M195 A271:A272 A13:C81 I83:J84 D81 A83:G84 A82:B82 A191:J195 M196 L148:M157 M147 N278:N280 N286:Q286 R278:AO280 N10:AO13 N281:AO285 N290:AO65559 L273:AO277 P289:AO289 A282:C292 E287:J292 L280:M65559 P287:Q288 R286:AO288 N287:O289 N14:O98 L88:M104 A88:J109 L202:M213 C202:C241 D202:J264 A202:B264 N114:O272 P14:AO272">
    <cfRule type="containsText" dxfId="90" priority="225" stopIfTrue="1" operator="containsText" text="Em processo">
      <formula>NOT(ISERROR(SEARCH("Em processo",A10)))</formula>
    </cfRule>
  </conditionalFormatting>
  <conditionalFormatting sqref="L158:M158 B158 D158:J158">
    <cfRule type="containsText" dxfId="89" priority="156" stopIfTrue="1" operator="containsText" text="Em processo">
      <formula>NOT(ISERROR(SEARCH("Em processo",B158)))</formula>
    </cfRule>
  </conditionalFormatting>
  <conditionalFormatting sqref="A190:B190 L190:M190 D190:J190">
    <cfRule type="containsText" dxfId="88" priority="154" stopIfTrue="1" operator="containsText" text="Em processo">
      <formula>NOT(ISERROR(SEARCH("Em processo",A190)))</formula>
    </cfRule>
  </conditionalFormatting>
  <conditionalFormatting sqref="L129 B129 D129:J129 D134:E134 A134:B134 M134 M136 A136:B136 D136:E136 D139:E139 A139:B139 A137:A138 M139">
    <cfRule type="containsText" dxfId="87" priority="153" stopIfTrue="1" operator="containsText" text="Em processo">
      <formula>NOT(ISERROR(SEARCH("Em processo",A129)))</formula>
    </cfRule>
  </conditionalFormatting>
  <conditionalFormatting sqref="L85:M85 A85:J85">
    <cfRule type="containsText" dxfId="86" priority="148" stopIfTrue="1" operator="containsText" text="Em processo">
      <formula>NOT(ISERROR(SEARCH("Em processo",A85)))</formula>
    </cfRule>
  </conditionalFormatting>
  <conditionalFormatting sqref="L199:M199 A199:J199">
    <cfRule type="containsText" dxfId="85" priority="150" stopIfTrue="1" operator="containsText" text="Em processo">
      <formula>NOT(ISERROR(SEARCH("Em processo",A199)))</formula>
    </cfRule>
  </conditionalFormatting>
  <conditionalFormatting sqref="L140:M140 A140:J140">
    <cfRule type="containsText" dxfId="84" priority="149" stopIfTrue="1" operator="containsText" text="Em processo">
      <formula>NOT(ISERROR(SEARCH("Em processo",A140)))</formula>
    </cfRule>
  </conditionalFormatting>
  <conditionalFormatting sqref="C242:C243">
    <cfRule type="containsText" dxfId="83" priority="130" stopIfTrue="1" operator="containsText" text="Em processo">
      <formula>NOT(ISERROR(SEARCH("Em processo",C242)))</formula>
    </cfRule>
  </conditionalFormatting>
  <conditionalFormatting sqref="A277:J277">
    <cfRule type="containsText" dxfId="82" priority="145" stopIfTrue="1" operator="containsText" text="Em processo">
      <formula>NOT(ISERROR(SEARCH("Em processo",A277)))</formula>
    </cfRule>
  </conditionalFormatting>
  <conditionalFormatting sqref="C129">
    <cfRule type="containsText" dxfId="81" priority="143" stopIfTrue="1" operator="containsText" text="Em processo">
      <formula>NOT(ISERROR(SEARCH("Em processo",C129)))</formula>
    </cfRule>
  </conditionalFormatting>
  <conditionalFormatting sqref="C143:C156 C171:C187">
    <cfRule type="containsText" dxfId="80" priority="142" stopIfTrue="1" operator="containsText" text="Em processo">
      <formula>NOT(ISERROR(SEARCH("Em processo",C143)))</formula>
    </cfRule>
  </conditionalFormatting>
  <conditionalFormatting sqref="C245:C249 C251:C264">
    <cfRule type="containsText" dxfId="79" priority="139" stopIfTrue="1" operator="containsText" text="Em processo">
      <formula>NOT(ISERROR(SEARCH("Em processo",C245)))</formula>
    </cfRule>
  </conditionalFormatting>
  <conditionalFormatting sqref="C188:C190">
    <cfRule type="containsText" dxfId="78" priority="136" stopIfTrue="1" operator="containsText" text="Em processo">
      <formula>NOT(ISERROR(SEARCH("Em processo",C188)))</formula>
    </cfRule>
  </conditionalFormatting>
  <conditionalFormatting sqref="C244">
    <cfRule type="containsText" dxfId="77" priority="131" stopIfTrue="1" operator="containsText" text="Em processo">
      <formula>NOT(ISERROR(SEARCH("Em processo",C244)))</formula>
    </cfRule>
  </conditionalFormatting>
  <conditionalFormatting sqref="C250">
    <cfRule type="containsText" dxfId="76" priority="132" stopIfTrue="1" operator="containsText" text="Em processo">
      <formula>NOT(ISERROR(SEARCH("Em processo",C250)))</formula>
    </cfRule>
  </conditionalFormatting>
  <conditionalFormatting sqref="D132:J132 B132:B133 L132:L133 D133:H133">
    <cfRule type="containsText" dxfId="75" priority="123" stopIfTrue="1" operator="containsText" text="Em processo">
      <formula>NOT(ISERROR(SEARCH("Em processo",B132)))</formula>
    </cfRule>
  </conditionalFormatting>
  <conditionalFormatting sqref="C132">
    <cfRule type="containsText" dxfId="74" priority="122" stopIfTrue="1" operator="containsText" text="Em processo">
      <formula>NOT(ISERROR(SEARCH("Em processo",C132)))</formula>
    </cfRule>
  </conditionalFormatting>
  <conditionalFormatting sqref="A112:J112">
    <cfRule type="containsText" dxfId="73" priority="116" stopIfTrue="1" operator="containsText" text="Em processo">
      <formula>NOT(ISERROR(SEARCH("Em processo",A112)))</formula>
    </cfRule>
  </conditionalFormatting>
  <conditionalFormatting sqref="A110:J110">
    <cfRule type="containsText" dxfId="72" priority="112" stopIfTrue="1" operator="containsText" text="Em processo">
      <formula>NOT(ISERROR(SEARCH("Em processo",A110)))</formula>
    </cfRule>
  </conditionalFormatting>
  <conditionalFormatting sqref="L130 B130 D130:J130">
    <cfRule type="containsText" dxfId="71" priority="88" stopIfTrue="1" operator="containsText" text="Em processo">
      <formula>NOT(ISERROR(SEARCH("Em processo",B130)))</formula>
    </cfRule>
  </conditionalFormatting>
  <conditionalFormatting sqref="C130">
    <cfRule type="containsText" dxfId="70" priority="87" stopIfTrue="1" operator="containsText" text="Em processo">
      <formula>NOT(ISERROR(SEARCH("Em processo",C130)))</formula>
    </cfRule>
  </conditionalFormatting>
  <conditionalFormatting sqref="B131 M131 D131:J131">
    <cfRule type="containsText" dxfId="69" priority="84" stopIfTrue="1" operator="containsText" text="Em processo">
      <formula>NOT(ISERROR(SEARCH("Em processo",B131)))</formula>
    </cfRule>
  </conditionalFormatting>
  <conditionalFormatting sqref="C131">
    <cfRule type="containsText" dxfId="68" priority="83" stopIfTrue="1" operator="containsText" text="Em processo">
      <formula>NOT(ISERROR(SEARCH("Em processo",C131)))</formula>
    </cfRule>
  </conditionalFormatting>
  <conditionalFormatting sqref="H76 K76:L76">
    <cfRule type="containsText" dxfId="67" priority="75" stopIfTrue="1" operator="containsText" text="Em processo">
      <formula>NOT(ISERROR(SEARCH("Em processo",H76)))</formula>
    </cfRule>
  </conditionalFormatting>
  <conditionalFormatting sqref="I76">
    <cfRule type="containsText" dxfId="66" priority="74" stopIfTrue="1" operator="containsText" text="Em processo">
      <formula>NOT(ISERROR(SEARCH("Em processo",I76)))</formula>
    </cfRule>
  </conditionalFormatting>
  <conditionalFormatting sqref="J76">
    <cfRule type="containsText" dxfId="65" priority="73" stopIfTrue="1" operator="containsText" text="Em processo">
      <formula>NOT(ISERROR(SEARCH("Em processo",J76)))</formula>
    </cfRule>
  </conditionalFormatting>
  <conditionalFormatting sqref="K77:K80 K83:K84">
    <cfRule type="containsText" dxfId="64" priority="72" stopIfTrue="1" operator="containsText" text="Em processo">
      <formula>NOT(ISERROR(SEARCH("Em processo",K77)))</formula>
    </cfRule>
  </conditionalFormatting>
  <conditionalFormatting sqref="L77 L84">
    <cfRule type="containsText" dxfId="63" priority="71" stopIfTrue="1" operator="containsText" text="Em processo">
      <formula>NOT(ISERROR(SEARCH("Em processo",L77)))</formula>
    </cfRule>
  </conditionalFormatting>
  <conditionalFormatting sqref="H77:H80 H83:H84">
    <cfRule type="containsText" dxfId="62" priority="70" stopIfTrue="1" operator="containsText" text="Em processo">
      <formula>NOT(ISERROR(SEARCH("Em processo",H77)))</formula>
    </cfRule>
  </conditionalFormatting>
  <conditionalFormatting sqref="M105:M113">
    <cfRule type="containsText" dxfId="61" priority="69" stopIfTrue="1" operator="containsText" text="Em processo">
      <formula>NOT(ISERROR(SEARCH("Em processo",M105)))</formula>
    </cfRule>
  </conditionalFormatting>
  <conditionalFormatting sqref="M125:M130">
    <cfRule type="containsText" dxfId="60" priority="68" stopIfTrue="1" operator="containsText" text="Em processo">
      <formula>NOT(ISERROR(SEARCH("Em processo",M125)))</formula>
    </cfRule>
  </conditionalFormatting>
  <conditionalFormatting sqref="M132:M133">
    <cfRule type="containsText" dxfId="59" priority="67" stopIfTrue="1" operator="containsText" text="Em processo">
      <formula>NOT(ISERROR(SEARCH("Em processo",M132)))</formula>
    </cfRule>
  </conditionalFormatting>
  <conditionalFormatting sqref="C134">
    <cfRule type="containsText" dxfId="58" priority="66" stopIfTrue="1" operator="containsText" text="Em processo">
      <formula>NOT(ISERROR(SEARCH("Em processo",C134)))</formula>
    </cfRule>
  </conditionalFormatting>
  <conditionalFormatting sqref="L263:L264">
    <cfRule type="containsText" dxfId="57" priority="65" stopIfTrue="1" operator="containsText" text="Em processo">
      <formula>NOT(ISERROR(SEARCH("Em processo",L263)))</formula>
    </cfRule>
  </conditionalFormatting>
  <conditionalFormatting sqref="C133">
    <cfRule type="containsText" dxfId="56" priority="64" stopIfTrue="1" operator="containsText" text="Em processo">
      <formula>NOT(ISERROR(SEARCH("Em processo",C133)))</formula>
    </cfRule>
  </conditionalFormatting>
  <conditionalFormatting sqref="I133:J133">
    <cfRule type="containsText" dxfId="55" priority="63" stopIfTrue="1" operator="containsText" text="Em processo">
      <formula>NOT(ISERROR(SEARCH("Em processo",I133)))</formula>
    </cfRule>
  </conditionalFormatting>
  <conditionalFormatting sqref="F134:H134">
    <cfRule type="containsText" dxfId="54" priority="62" stopIfTrue="1" operator="containsText" text="Em processo">
      <formula>NOT(ISERROR(SEARCH("Em processo",F134)))</formula>
    </cfRule>
  </conditionalFormatting>
  <conditionalFormatting sqref="I134:J134">
    <cfRule type="containsText" dxfId="53" priority="61" stopIfTrue="1" operator="containsText" text="Em processo">
      <formula>NOT(ISERROR(SEARCH("Em processo",I134)))</formula>
    </cfRule>
  </conditionalFormatting>
  <conditionalFormatting sqref="L134">
    <cfRule type="containsText" dxfId="52" priority="60" stopIfTrue="1" operator="containsText" text="Em processo">
      <formula>NOT(ISERROR(SEARCH("Em processo",L134)))</formula>
    </cfRule>
  </conditionalFormatting>
  <conditionalFormatting sqref="B265:J265 L265:M265 B266 D266 M266 M271:M272 D271:D272 B271:B272">
    <cfRule type="containsText" dxfId="51" priority="58" stopIfTrue="1" operator="containsText" text="Em processo">
      <formula>NOT(ISERROR(SEARCH("Em processo",B265)))</formula>
    </cfRule>
  </conditionalFormatting>
  <conditionalFormatting sqref="C266">
    <cfRule type="containsText" dxfId="50" priority="57" stopIfTrue="1" operator="containsText" text="Em processo">
      <formula>NOT(ISERROR(SEARCH("Em processo",C266)))</formula>
    </cfRule>
  </conditionalFormatting>
  <conditionalFormatting sqref="E266:J266 L266 E271:E272 I271:J272">
    <cfRule type="containsText" dxfId="49" priority="56" stopIfTrue="1" operator="containsText" text="Em processo">
      <formula>NOT(ISERROR(SEARCH("Em processo",E266)))</formula>
    </cfRule>
  </conditionalFormatting>
  <conditionalFormatting sqref="A267:A270">
    <cfRule type="containsText" dxfId="48" priority="55" stopIfTrue="1" operator="containsText" text="Em processo">
      <formula>NOT(ISERROR(SEARCH("Em processo",A267)))</formula>
    </cfRule>
  </conditionalFormatting>
  <conditionalFormatting sqref="B267 D267 M267:M268">
    <cfRule type="containsText" dxfId="47" priority="54" stopIfTrue="1" operator="containsText" text="Em processo">
      <formula>NOT(ISERROR(SEARCH("Em processo",B267)))</formula>
    </cfRule>
  </conditionalFormatting>
  <conditionalFormatting sqref="E267 I267:J267">
    <cfRule type="containsText" dxfId="46" priority="53" stopIfTrue="1" operator="containsText" text="Em processo">
      <formula>NOT(ISERROR(SEARCH("Em processo",E267)))</formula>
    </cfRule>
  </conditionalFormatting>
  <conditionalFormatting sqref="C267">
    <cfRule type="containsText" dxfId="45" priority="52" stopIfTrue="1" operator="containsText" text="Em processo">
      <formula>NOT(ISERROR(SEARCH("Em processo",C267)))</formula>
    </cfRule>
  </conditionalFormatting>
  <conditionalFormatting sqref="L268 B268:H268 J268">
    <cfRule type="containsText" dxfId="44" priority="51" stopIfTrue="1" operator="containsText" text="Em processo">
      <formula>NOT(ISERROR(SEARCH("Em processo",B268)))</formula>
    </cfRule>
  </conditionalFormatting>
  <conditionalFormatting sqref="F267:H267">
    <cfRule type="containsText" dxfId="43" priority="50" stopIfTrue="1" operator="containsText" text="Em processo">
      <formula>NOT(ISERROR(SEARCH("Em processo",F267)))</formula>
    </cfRule>
  </conditionalFormatting>
  <conditionalFormatting sqref="A135:B135 M135 D135">
    <cfRule type="containsText" dxfId="42" priority="49" stopIfTrue="1" operator="containsText" text="Em processo">
      <formula>NOT(ISERROR(SEARCH("Em processo",A135)))</formula>
    </cfRule>
  </conditionalFormatting>
  <conditionalFormatting sqref="C135">
    <cfRule type="containsText" dxfId="41" priority="48" stopIfTrue="1" operator="containsText" text="Em processo">
      <formula>NOT(ISERROR(SEARCH("Em processo",C135)))</formula>
    </cfRule>
  </conditionalFormatting>
  <conditionalFormatting sqref="L135 E135:J135">
    <cfRule type="containsText" dxfId="40" priority="47" stopIfTrue="1" operator="containsText" text="Em processo">
      <formula>NOT(ISERROR(SEARCH("Em processo",E135)))</formula>
    </cfRule>
  </conditionalFormatting>
  <conditionalFormatting sqref="C136 C139">
    <cfRule type="containsText" dxfId="39" priority="46" stopIfTrue="1" operator="containsText" text="Em processo">
      <formula>NOT(ISERROR(SEARCH("Em processo",C136)))</formula>
    </cfRule>
  </conditionalFormatting>
  <conditionalFormatting sqref="L139 F136:J136 F139:J139">
    <cfRule type="containsText" dxfId="38" priority="45" stopIfTrue="1" operator="containsText" text="Em processo">
      <formula>NOT(ISERROR(SEARCH("Em processo",F136)))</formula>
    </cfRule>
  </conditionalFormatting>
  <conditionalFormatting sqref="B269:B270">
    <cfRule type="containsText" dxfId="37" priority="44" stopIfTrue="1" operator="containsText" text="Em processo">
      <formula>NOT(ISERROR(SEARCH("Em processo",B269)))</formula>
    </cfRule>
  </conditionalFormatting>
  <conditionalFormatting sqref="D269:D270 M269:M270">
    <cfRule type="containsText" dxfId="36" priority="43" stopIfTrue="1" operator="containsText" text="Em processo">
      <formula>NOT(ISERROR(SEARCH("Em processo",D269)))</formula>
    </cfRule>
  </conditionalFormatting>
  <conditionalFormatting sqref="E269:E270 I269:J270">
    <cfRule type="containsText" dxfId="35" priority="42" stopIfTrue="1" operator="containsText" text="Em processo">
      <formula>NOT(ISERROR(SEARCH("Em processo",E269)))</formula>
    </cfRule>
  </conditionalFormatting>
  <conditionalFormatting sqref="C269:C270">
    <cfRule type="containsText" dxfId="34" priority="41" stopIfTrue="1" operator="containsText" text="Em processo">
      <formula>NOT(ISERROR(SEARCH("Em processo",C269)))</formula>
    </cfRule>
  </conditionalFormatting>
  <conditionalFormatting sqref="F269:H270">
    <cfRule type="containsText" dxfId="33" priority="40" stopIfTrue="1" operator="containsText" text="Em processo">
      <formula>NOT(ISERROR(SEARCH("Em processo",F269)))</formula>
    </cfRule>
  </conditionalFormatting>
  <conditionalFormatting sqref="L78">
    <cfRule type="containsText" dxfId="32" priority="39" stopIfTrue="1" operator="containsText" text="Em processo">
      <formula>NOT(ISERROR(SEARCH("Em processo",L78)))</formula>
    </cfRule>
  </conditionalFormatting>
  <conditionalFormatting sqref="L79">
    <cfRule type="containsText" dxfId="31" priority="38" stopIfTrue="1" operator="containsText" text="Em processo">
      <formula>NOT(ISERROR(SEARCH("Em processo",L79)))</formula>
    </cfRule>
  </conditionalFormatting>
  <conditionalFormatting sqref="L80 L83">
    <cfRule type="containsText" dxfId="30" priority="37" stopIfTrue="1" operator="containsText" text="Em processo">
      <formula>NOT(ISERROR(SEARCH("Em processo",L80)))</formula>
    </cfRule>
  </conditionalFormatting>
  <conditionalFormatting sqref="C271:C272">
    <cfRule type="containsText" dxfId="29" priority="36" stopIfTrue="1" operator="containsText" text="Em processo">
      <formula>NOT(ISERROR(SEARCH("Em processo",C271)))</formula>
    </cfRule>
  </conditionalFormatting>
  <conditionalFormatting sqref="F271:F272">
    <cfRule type="containsText" dxfId="28" priority="35" stopIfTrue="1" operator="containsText" text="Em processo">
      <formula>NOT(ISERROR(SEARCH("Em processo",F271)))</formula>
    </cfRule>
  </conditionalFormatting>
  <conditionalFormatting sqref="G271:H272">
    <cfRule type="containsText" dxfId="27" priority="34" stopIfTrue="1" operator="containsText" text="Em processo">
      <formula>NOT(ISERROR(SEARCH("Em processo",G271)))</formula>
    </cfRule>
  </conditionalFormatting>
  <conditionalFormatting sqref="L270">
    <cfRule type="containsText" dxfId="26" priority="32" stopIfTrue="1" operator="containsText" text="Em processo">
      <formula>NOT(ISERROR(SEARCH("Em processo",L270)))</formula>
    </cfRule>
  </conditionalFormatting>
  <conditionalFormatting sqref="L271">
    <cfRule type="containsText" dxfId="25" priority="31" stopIfTrue="1" operator="containsText" text="Em processo">
      <formula>NOT(ISERROR(SEARCH("Em processo",L271)))</formula>
    </cfRule>
  </conditionalFormatting>
  <conditionalFormatting sqref="I268">
    <cfRule type="containsText" dxfId="24" priority="30" stopIfTrue="1" operator="containsText" text="Em processo">
      <formula>NOT(ISERROR(SEARCH("Em processo",I268)))</formula>
    </cfRule>
  </conditionalFormatting>
  <conditionalFormatting sqref="L267">
    <cfRule type="containsText" dxfId="23" priority="29" stopIfTrue="1" operator="containsText" text="Em processo">
      <formula>NOT(ISERROR(SEARCH("Em processo",L267)))</formula>
    </cfRule>
  </conditionalFormatting>
  <conditionalFormatting sqref="L269">
    <cfRule type="containsText" dxfId="22" priority="28" stopIfTrue="1" operator="containsText" text="Em processo">
      <formula>NOT(ISERROR(SEARCH("Em processo",L269)))</formula>
    </cfRule>
  </conditionalFormatting>
  <conditionalFormatting sqref="L136">
    <cfRule type="containsText" dxfId="21" priority="27" stopIfTrue="1" operator="containsText" text="Em processo">
      <formula>NOT(ISERROR(SEARCH("Em processo",L136)))</formula>
    </cfRule>
  </conditionalFormatting>
  <conditionalFormatting sqref="L137:M137 B137 D137:J137">
    <cfRule type="containsText" dxfId="20" priority="26" stopIfTrue="1" operator="containsText" text="Em processo">
      <formula>NOT(ISERROR(SEARCH("Em processo",B137)))</formula>
    </cfRule>
  </conditionalFormatting>
  <conditionalFormatting sqref="C137">
    <cfRule type="containsText" dxfId="19" priority="25" stopIfTrue="1" operator="containsText" text="Em processo">
      <formula>NOT(ISERROR(SEARCH("Em processo",C137)))</formula>
    </cfRule>
  </conditionalFormatting>
  <conditionalFormatting sqref="M138 B138 D138:J138">
    <cfRule type="containsText" dxfId="18" priority="24" stopIfTrue="1" operator="containsText" text="Em processo">
      <formula>NOT(ISERROR(SEARCH("Em processo",B138)))</formula>
    </cfRule>
  </conditionalFormatting>
  <conditionalFormatting sqref="C138">
    <cfRule type="containsText" dxfId="17" priority="23" stopIfTrue="1" operator="containsText" text="Em processo">
      <formula>NOT(ISERROR(SEARCH("Em processo",C138)))</formula>
    </cfRule>
  </conditionalFormatting>
  <conditionalFormatting sqref="L138">
    <cfRule type="containsText" dxfId="16" priority="22" stopIfTrue="1" operator="containsText" text="Em processo">
      <formula>NOT(ISERROR(SEARCH("Em processo",L138)))</formula>
    </cfRule>
  </conditionalFormatting>
  <conditionalFormatting sqref="L272">
    <cfRule type="containsText" dxfId="15" priority="21" stopIfTrue="1" operator="containsText" text="Em processo">
      <formula>NOT(ISERROR(SEARCH("Em processo",L272)))</formula>
    </cfRule>
  </conditionalFormatting>
  <conditionalFormatting sqref="E81:G81 I81:J81">
    <cfRule type="containsText" dxfId="14" priority="20" stopIfTrue="1" operator="containsText" text="Em processo">
      <formula>NOT(ISERROR(SEARCH("Em processo",E81)))</formula>
    </cfRule>
  </conditionalFormatting>
  <conditionalFormatting sqref="K81">
    <cfRule type="containsText" dxfId="13" priority="19" stopIfTrue="1" operator="containsText" text="Em processo">
      <formula>NOT(ISERROR(SEARCH("Em processo",K81)))</formula>
    </cfRule>
  </conditionalFormatting>
  <conditionalFormatting sqref="H81">
    <cfRule type="containsText" dxfId="12" priority="18" stopIfTrue="1" operator="containsText" text="Em processo">
      <formula>NOT(ISERROR(SEARCH("Em processo",H81)))</formula>
    </cfRule>
  </conditionalFormatting>
  <conditionalFormatting sqref="L81">
    <cfRule type="containsText" dxfId="11" priority="17" stopIfTrue="1" operator="containsText" text="Em processo">
      <formula>NOT(ISERROR(SEARCH("Em processo",L81)))</formula>
    </cfRule>
  </conditionalFormatting>
  <conditionalFormatting sqref="C82:D82">
    <cfRule type="containsText" dxfId="10" priority="16" stopIfTrue="1" operator="containsText" text="Em processo">
      <formula>NOT(ISERROR(SEARCH("Em processo",C82)))</formula>
    </cfRule>
  </conditionalFormatting>
  <conditionalFormatting sqref="E82:G82 I82:J82">
    <cfRule type="containsText" dxfId="9" priority="15" stopIfTrue="1" operator="containsText" text="Em processo">
      <formula>NOT(ISERROR(SEARCH("Em processo",E82)))</formula>
    </cfRule>
  </conditionalFormatting>
  <conditionalFormatting sqref="K82">
    <cfRule type="containsText" dxfId="8" priority="14" stopIfTrue="1" operator="containsText" text="Em processo">
      <formula>NOT(ISERROR(SEARCH("Em processo",K82)))</formula>
    </cfRule>
  </conditionalFormatting>
  <conditionalFormatting sqref="H82">
    <cfRule type="containsText" dxfId="7" priority="13" stopIfTrue="1" operator="containsText" text="Em processo">
      <formula>NOT(ISERROR(SEARCH("Em processo",H82)))</formula>
    </cfRule>
  </conditionalFormatting>
  <conditionalFormatting sqref="L82">
    <cfRule type="containsText" dxfId="6" priority="12" stopIfTrue="1" operator="containsText" text="Em processo">
      <formula>NOT(ISERROR(SEARCH("Em processo",L82)))</formula>
    </cfRule>
  </conditionalFormatting>
  <conditionalFormatting sqref="L196 E196:J196">
    <cfRule type="containsText" dxfId="5" priority="11" stopIfTrue="1" operator="containsText" text="Em processo">
      <formula>NOT(ISERROR(SEARCH("Em processo",E196)))</formula>
    </cfRule>
  </conditionalFormatting>
  <conditionalFormatting sqref="M197">
    <cfRule type="containsText" dxfId="4" priority="10" stopIfTrue="1" operator="containsText" text="Em processo">
      <formula>NOT(ISERROR(SEARCH("Em processo",M197)))</formula>
    </cfRule>
  </conditionalFormatting>
  <conditionalFormatting sqref="L197 E197:J197">
    <cfRule type="containsText" dxfId="3" priority="9" stopIfTrue="1" operator="containsText" text="Em processo">
      <formula>NOT(ISERROR(SEARCH("Em processo",E197)))</formula>
    </cfRule>
  </conditionalFormatting>
  <conditionalFormatting sqref="L147">
    <cfRule type="containsText" dxfId="2" priority="8" stopIfTrue="1" operator="containsText" text="Em processo">
      <formula>NOT(ISERROR(SEARCH("Em processo",L147)))</formula>
    </cfRule>
  </conditionalFormatting>
  <conditionalFormatting sqref="A196:D196">
    <cfRule type="containsText" dxfId="1" priority="7" stopIfTrue="1" operator="containsText" text="Em processo">
      <formula>NOT(ISERROR(SEARCH("Em processo",A196)))</formula>
    </cfRule>
  </conditionalFormatting>
  <conditionalFormatting sqref="A197:D197">
    <cfRule type="containsText" dxfId="0" priority="6" stopIfTrue="1" operator="containsText" text="Em processo">
      <formula>NOT(ISERROR(SEARCH("Em processo",A197)))</formula>
    </cfRule>
  </conditionalFormatting>
  <printOptions horizontalCentered="1"/>
  <pageMargins left="0.23622047244094491" right="0.23622047244094491" top="0.15748031496062992" bottom="0.31496062992125984" header="0.31496062992125984" footer="0.11811023622047245"/>
  <pageSetup paperSize="9" scale="47" fitToHeight="11" orientation="landscape" r:id="rId1"/>
  <headerFooter>
    <oddHeader>&amp;R&amp;"-,Negrito"&amp;8</oddHeader>
    <oddFooter>&amp;LAprovado em 21-09-2015&amp;RPágina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39896940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2376/OC-BR</Approval_x0020_Number>
    <Document_x0020_Author xmlns="9c571b2f-e523-4ab2-ba2e-09e151a03ef4">Killmer, Annette Bettina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BR-L1241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Plan&lt;/USER_STAGE&gt;&lt;PD_OBJ_TYPE&gt;0&lt;/PD_OBJ_TYPE&gt;&lt;MAKERECORD&gt;N&lt;/MAKERECORD&gt;&lt;PD_FILEPT_NO&gt;PO-BR-L1241-GS&lt;/PD_FILEPT_NO&gt;&lt;/Data&gt;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20B3A0396AB38B4FB0D006BFDBD8C0E3" ma:contentTypeVersion="0" ma:contentTypeDescription="A content type to manage public (operations) IDB documents" ma:contentTypeScope="" ma:versionID="d993cd5498d62b11793d7c4d88ecf055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EA5A80-E2CA-4686-891A-EA8D9A36453A}"/>
</file>

<file path=customXml/itemProps2.xml><?xml version="1.0" encoding="utf-8"?>
<ds:datastoreItem xmlns:ds="http://schemas.openxmlformats.org/officeDocument/2006/customXml" ds:itemID="{D9C199B5-0E5C-410D-9CF6-044AE304843F}"/>
</file>

<file path=customXml/itemProps3.xml><?xml version="1.0" encoding="utf-8"?>
<ds:datastoreItem xmlns:ds="http://schemas.openxmlformats.org/officeDocument/2006/customXml" ds:itemID="{3990C483-267F-401A-9A7A-E6F810B8825F}"/>
</file>

<file path=customXml/itemProps4.xml><?xml version="1.0" encoding="utf-8"?>
<ds:datastoreItem xmlns:ds="http://schemas.openxmlformats.org/officeDocument/2006/customXml" ds:itemID="{ED13FA3F-6817-4C2B-A08E-3E2B8BD74E33}"/>
</file>

<file path=customXml/itemProps5.xml><?xml version="1.0" encoding="utf-8"?>
<ds:datastoreItem xmlns:ds="http://schemas.openxmlformats.org/officeDocument/2006/customXml" ds:itemID="{FA5F2238-21F1-4458-82A4-F4C403EF9A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</vt:lpstr>
      <vt:lpstr>PA!Print_Area</vt:lpstr>
      <vt:lpstr>PA!Print_Titles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- 2376_OC-BR-Setembro 2015</dc:title>
  <dc:creator>BID</dc:creator>
  <cp:lastModifiedBy>IADB</cp:lastModifiedBy>
  <cp:lastPrinted>2015-04-27T17:37:11Z</cp:lastPrinted>
  <dcterms:created xsi:type="dcterms:W3CDTF">2010-07-15T18:22:38Z</dcterms:created>
  <dcterms:modified xsi:type="dcterms:W3CDTF">2015-10-08T18:47:56Z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0x01010046CF21643EE8D14686A648AA6DAD08920020B3A0396AB38B4FB0D006BFDBD8C0E3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