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7.xml" ContentType="application/vnd.openxmlformats-officedocument.drawingml.chart+xml"/>
  <Override PartName="/xl/worksheets/sheet2.xml" ContentType="application/vnd.openxmlformats-officedocument.spreadsheetml.worksheet+xml"/>
  <Override PartName="/xl/drawings/drawing7.xml" ContentType="application/vnd.openxmlformats-officedocument.drawing+xml"/>
  <Override PartName="/xl/charts/chart6.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xl/charts/chart2.xml" ContentType="application/vnd.openxmlformats-officedocument.drawingml.char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styles.xml" ContentType="application/vnd.openxmlformats-officedocument.spreadsheetml.styles+xml"/>
  <Override PartName="/xl/charts/chart1.xml" ContentType="application/vnd.openxmlformats-officedocument.drawingml.char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6.xml" ContentType="application/vnd.openxmlformats-officedocument.spreadsheetml.comments+xml"/>
  <Override PartName="/xl/comments5.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0.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8960" windowHeight="6825" tabRatio="764" activeTab="3"/>
  </bookViews>
  <sheets>
    <sheet name="INDICE " sheetId="61" r:id="rId1"/>
    <sheet name="1.EDT" sheetId="70" r:id="rId2"/>
    <sheet name="2.MdR" sheetId="94" r:id="rId3"/>
    <sheet name="3. PEP" sheetId="37" r:id="rId4"/>
    <sheet name="4. CC D" sheetId="30" r:id="rId5"/>
    <sheet name="5. CC R-1" sheetId="38" r:id="rId6"/>
    <sheet name="6. PF M BID" sheetId="47" r:id="rId7"/>
    <sheet name="7. PF A BID" sheetId="49" r:id="rId8"/>
    <sheet name="8. Ejecucion por producto" sheetId="98" r:id="rId9"/>
    <sheet name="9. PD A" sheetId="60" r:id="rId10"/>
    <sheet name="10. PA" sheetId="66" r:id="rId11"/>
    <sheet name="11. PAI" sheetId="64" r:id="rId12"/>
    <sheet name="12. POA año 1" sheetId="68" r:id="rId13"/>
    <sheet name="caledario" sheetId="75" state="hidden" r:id="rId14"/>
    <sheet name="12.1 CAMINOS" sheetId="78" state="hidden" r:id="rId15"/>
    <sheet name="12.2 PUENTES" sheetId="79" state="hidden" r:id="rId16"/>
    <sheet name="Caminos G1" sheetId="83" state="hidden" r:id="rId17"/>
    <sheet name="Fisc CG1" sheetId="88" state="hidden" r:id="rId18"/>
    <sheet name="Camino G2" sheetId="86" state="hidden" r:id="rId19"/>
    <sheet name="Fisc CG2" sheetId="91" state="hidden" r:id="rId20"/>
    <sheet name="Puentes G1" sheetId="82" state="hidden" r:id="rId21"/>
    <sheet name="Fisca PG1" sheetId="92" state="hidden" r:id="rId22"/>
    <sheet name="Puentes G2" sheetId="84" state="hidden" r:id="rId23"/>
    <sheet name="12.8 Mantenimiento" sheetId="87" state="hidden" r:id="rId24"/>
    <sheet name="Fisc PG2" sheetId="93" state="hidden" r:id="rId25"/>
    <sheet name="MANT. 504,90 km" sheetId="95" state="hidden" r:id="rId26"/>
    <sheet name="CRONOG FISICO-FINANCIERO" sheetId="96" state="hidden" r:id="rId27"/>
    <sheet name="12.3Mitigación" sheetId="81" state="hidden" r:id="rId28"/>
  </sheets>
  <externalReferences>
    <externalReference r:id="rId29"/>
    <externalReference r:id="rId30"/>
  </externalReferences>
  <definedNames>
    <definedName name="_2" localSheetId="7">#REF!</definedName>
    <definedName name="_2" localSheetId="13">#REF!</definedName>
    <definedName name="_2" localSheetId="25">#REF!</definedName>
    <definedName name="_2">#REF!</definedName>
    <definedName name="_6" localSheetId="7">#REF!</definedName>
    <definedName name="_6" localSheetId="13">#REF!</definedName>
    <definedName name="_6" localSheetId="25">#REF!</definedName>
    <definedName name="_6">#REF!</definedName>
    <definedName name="_Fill" localSheetId="7" hidden="1">#REF!</definedName>
    <definedName name="_Fill" localSheetId="13" hidden="1">#REF!</definedName>
    <definedName name="_Fill" localSheetId="25" hidden="1">#REF!</definedName>
    <definedName name="_Fill" hidden="1">#REF!</definedName>
    <definedName name="_xlnm._FilterDatabase" localSheetId="10" hidden="1">'10. PA'!$B$10:$O$68</definedName>
    <definedName name="_xlnm._FilterDatabase" localSheetId="4" hidden="1">'4. CC D'!$A$7:$K$44</definedName>
    <definedName name="_GoBack" localSheetId="15">'12.2 PUENTES'!#REF!</definedName>
    <definedName name="_Toc406421596" localSheetId="27">'12.3Mitigación'!$A$2</definedName>
    <definedName name="_Toc406421598" localSheetId="27">'12.3Mitigación'!$A$3</definedName>
    <definedName name="_Toc406421603" localSheetId="27">'12.3Mitigación'!$A$4</definedName>
    <definedName name="_Toc422316546" localSheetId="27">'12.3Mitigación'!$A$1</definedName>
    <definedName name="_Toc422316550" localSheetId="27">'12.3Mitigación'!$A$14</definedName>
    <definedName name="_Toc422316551" localSheetId="27">'12.3Mitigación'!$A$5</definedName>
    <definedName name="_Toc422316552" localSheetId="27">'12.3Mitigación'!$A$6</definedName>
    <definedName name="_Toc422316553" localSheetId="27">'12.3Mitigación'!$A$8</definedName>
    <definedName name="_Toc422316556" localSheetId="27">'12.3Mitigación'!$A$15</definedName>
    <definedName name="aaa" localSheetId="7">#REF!</definedName>
    <definedName name="aaa" localSheetId="13">#REF!</definedName>
    <definedName name="aaa">#REF!</definedName>
    <definedName name="DDD" localSheetId="25">#REF!</definedName>
    <definedName name="DDD">#REF!</definedName>
    <definedName name="e" localSheetId="7">#REF!</definedName>
    <definedName name="e" localSheetId="13">#REF!</definedName>
    <definedName name="e">#REF!</definedName>
    <definedName name="ffff" localSheetId="7">#REF!</definedName>
    <definedName name="ffff" localSheetId="13">#REF!</definedName>
    <definedName name="ffff">#REF!</definedName>
    <definedName name="GRAFI" localSheetId="7">#REF!</definedName>
    <definedName name="GRAFI" localSheetId="13">#REF!</definedName>
    <definedName name="GRAFI" localSheetId="25">#REF!</definedName>
    <definedName name="GRAFI">#REF!</definedName>
    <definedName name="GRAFICO" localSheetId="7">#REF!</definedName>
    <definedName name="GRAFICO" localSheetId="13">#REF!</definedName>
    <definedName name="GRAFICO" localSheetId="25">#REF!</definedName>
    <definedName name="GRAFICO">#REF!</definedName>
    <definedName name="Pres" localSheetId="7">#REF!</definedName>
    <definedName name="Pres" localSheetId="13">#REF!</definedName>
    <definedName name="Pres">#REF!</definedName>
    <definedName name="_xlnm.Print_Area" localSheetId="1">'1.EDT'!$A$1:$Q$46</definedName>
    <definedName name="_xlnm.Print_Area" localSheetId="10">'10. PA'!$B$1:$O$68</definedName>
    <definedName name="_xlnm.Print_Area" localSheetId="11">'11. PAI'!$A$1:$D$44</definedName>
    <definedName name="_xlnm.Print_Area" localSheetId="4">'4. CC D'!$A$1:$L$9</definedName>
    <definedName name="_xlnm.Print_Area" localSheetId="5">'5. CC R-1'!$B$1:$D$20</definedName>
    <definedName name="_xlnm.Print_Area" localSheetId="6">'6. PF M BID'!$A$1:$BK$47</definedName>
    <definedName name="_xlnm.Print_Area" localSheetId="16">'Caminos G1'!$A$1:$J$41</definedName>
    <definedName name="_xlnm.Print_Area" localSheetId="25">'MANT. 504,90 km'!$A$29:$F$90</definedName>
    <definedName name="_xlnm.Print_Area" localSheetId="20">'Puentes G1'!$A$1:$J$58</definedName>
    <definedName name="_xlnm.Print_Area" localSheetId="22">'Puentes G2'!$A$1:$J$42</definedName>
    <definedName name="_xlnm.Print_Titles" localSheetId="12">'12. POA año 1'!$A:$B,'12. POA año 1'!#REF!</definedName>
    <definedName name="_xlnm.Print_Titles" localSheetId="3">'3. PEP'!$1:$8</definedName>
    <definedName name="_xlnm.Print_Titles" localSheetId="4">'4. CC D'!$7:$8</definedName>
    <definedName name="_xlnm.Print_Titles" localSheetId="6">'6. PF M BID'!$A:$C,'6. PF M BID'!$1:$11</definedName>
    <definedName name="_xlnm.Print_Titles" localSheetId="7">'7. PF A BID'!$1:$8</definedName>
    <definedName name="Resumen" localSheetId="7">#REF!</definedName>
    <definedName name="Resumen" localSheetId="13">#REF!</definedName>
    <definedName name="Resumen">#REF!</definedName>
    <definedName name="SFGH" localSheetId="7">#REF!</definedName>
    <definedName name="SFGH" localSheetId="13">#REF!</definedName>
    <definedName name="SFGH" localSheetId="25">#REF!</definedName>
    <definedName name="SFGH">#REF!</definedName>
  </definedNames>
  <calcPr calcId="145621"/>
</workbook>
</file>

<file path=xl/calcChain.xml><?xml version="1.0" encoding="utf-8"?>
<calcChain xmlns="http://schemas.openxmlformats.org/spreadsheetml/2006/main">
  <c r="B26" i="38" l="1"/>
  <c r="B32" i="49"/>
  <c r="B35" i="68"/>
  <c r="K35" i="68" l="1"/>
  <c r="K42" i="68"/>
  <c r="H41" i="49"/>
  <c r="G41" i="49"/>
  <c r="F41" i="49"/>
  <c r="E41" i="49"/>
  <c r="D41" i="49"/>
  <c r="R42" i="47"/>
  <c r="S42" i="47"/>
  <c r="T42" i="47"/>
  <c r="U42" i="47"/>
  <c r="U35" i="47" s="1"/>
  <c r="V42" i="47"/>
  <c r="W42" i="47"/>
  <c r="W35" i="47" s="1"/>
  <c r="X42" i="47"/>
  <c r="X35" i="47" s="1"/>
  <c r="Y42" i="47"/>
  <c r="Z42" i="47"/>
  <c r="AA42" i="47"/>
  <c r="AB42" i="47"/>
  <c r="AC42" i="47"/>
  <c r="AC35" i="47" s="1"/>
  <c r="AD42" i="47"/>
  <c r="AE42" i="47"/>
  <c r="AE35" i="47" s="1"/>
  <c r="AF42" i="47"/>
  <c r="AF35" i="47" s="1"/>
  <c r="AG42" i="47"/>
  <c r="AH42" i="47"/>
  <c r="AI42" i="47"/>
  <c r="AJ42" i="47"/>
  <c r="AK42" i="47"/>
  <c r="AK35" i="47" s="1"/>
  <c r="AL42" i="47"/>
  <c r="AM42" i="47"/>
  <c r="AM35" i="47" s="1"/>
  <c r="AN42" i="47"/>
  <c r="G39" i="49" s="1"/>
  <c r="AO42" i="47"/>
  <c r="AP42" i="47"/>
  <c r="AQ42" i="47"/>
  <c r="AR42" i="47"/>
  <c r="AS42" i="47"/>
  <c r="AS35" i="47" s="1"/>
  <c r="AT42" i="47"/>
  <c r="AU42" i="47"/>
  <c r="AU35" i="47" s="1"/>
  <c r="AV42" i="47"/>
  <c r="AV35" i="47" s="1"/>
  <c r="AW42" i="47"/>
  <c r="AX42" i="47"/>
  <c r="AY42" i="47"/>
  <c r="AZ42" i="47"/>
  <c r="BA42" i="47"/>
  <c r="BA35" i="47" s="1"/>
  <c r="BB42" i="47"/>
  <c r="BC42" i="47"/>
  <c r="BC35" i="47" s="1"/>
  <c r="BD42" i="47"/>
  <c r="BD35" i="47" s="1"/>
  <c r="BE42" i="47"/>
  <c r="BF42" i="47"/>
  <c r="BG42" i="47"/>
  <c r="BH42" i="47"/>
  <c r="BI42" i="47"/>
  <c r="BI35" i="47" s="1"/>
  <c r="BJ42" i="47"/>
  <c r="BK42" i="47"/>
  <c r="BK35" i="47" s="1"/>
  <c r="E42" i="47"/>
  <c r="F42" i="47"/>
  <c r="G42" i="47"/>
  <c r="H42" i="47"/>
  <c r="I42" i="47"/>
  <c r="J42" i="47"/>
  <c r="K42" i="47"/>
  <c r="L42" i="47"/>
  <c r="M42" i="47"/>
  <c r="N42" i="47"/>
  <c r="O42" i="47"/>
  <c r="P42" i="47"/>
  <c r="Q42" i="47"/>
  <c r="A10" i="68"/>
  <c r="B10" i="68"/>
  <c r="A11" i="68"/>
  <c r="B11" i="68"/>
  <c r="A12" i="68"/>
  <c r="B12" i="68"/>
  <c r="A13" i="68"/>
  <c r="B13" i="68"/>
  <c r="A14" i="68"/>
  <c r="B14" i="68"/>
  <c r="B15" i="68"/>
  <c r="A16" i="68"/>
  <c r="B16" i="68"/>
  <c r="A17" i="68"/>
  <c r="B17" i="68"/>
  <c r="A18" i="68"/>
  <c r="B18" i="68"/>
  <c r="A19" i="68"/>
  <c r="B19" i="68"/>
  <c r="A20" i="68"/>
  <c r="B20" i="68"/>
  <c r="A21" i="68"/>
  <c r="B21" i="68"/>
  <c r="A22" i="68"/>
  <c r="B22" i="68"/>
  <c r="A23" i="68"/>
  <c r="B23" i="68"/>
  <c r="A24" i="68"/>
  <c r="B24" i="68"/>
  <c r="A25" i="68"/>
  <c r="B25" i="68"/>
  <c r="A26" i="68"/>
  <c r="B26" i="68"/>
  <c r="A27" i="68"/>
  <c r="B27" i="68"/>
  <c r="A28" i="68"/>
  <c r="B28" i="68"/>
  <c r="A29" i="68"/>
  <c r="B29" i="68"/>
  <c r="A30" i="68"/>
  <c r="B30" i="68"/>
  <c r="A31" i="68"/>
  <c r="B31" i="68"/>
  <c r="A32" i="68"/>
  <c r="B32" i="68"/>
  <c r="A33" i="68"/>
  <c r="B33" i="68"/>
  <c r="A34" i="68"/>
  <c r="B34" i="68"/>
  <c r="A35" i="68"/>
  <c r="A36" i="68"/>
  <c r="B36" i="68"/>
  <c r="A37" i="68"/>
  <c r="B37" i="68"/>
  <c r="A38" i="68"/>
  <c r="B38" i="68"/>
  <c r="A39" i="68"/>
  <c r="B39" i="68"/>
  <c r="A40" i="68"/>
  <c r="B40" i="68"/>
  <c r="A41" i="68"/>
  <c r="B41" i="68"/>
  <c r="A43" i="68"/>
  <c r="B43" i="68"/>
  <c r="A44" i="68"/>
  <c r="B44" i="68"/>
  <c r="K43" i="68"/>
  <c r="BF22" i="47"/>
  <c r="H19" i="49" s="1"/>
  <c r="AZ22" i="47"/>
  <c r="AT22" i="47"/>
  <c r="G19" i="49" s="1"/>
  <c r="AN22" i="47"/>
  <c r="AH22" i="47"/>
  <c r="F19" i="49" s="1"/>
  <c r="AB22" i="47"/>
  <c r="V22" i="47"/>
  <c r="P22" i="47"/>
  <c r="E19" i="49" s="1"/>
  <c r="J22" i="47"/>
  <c r="J19" i="47" s="1"/>
  <c r="J12" i="47" s="1"/>
  <c r="K33" i="68"/>
  <c r="K34" i="68"/>
  <c r="K13" i="68"/>
  <c r="K26" i="68"/>
  <c r="D40" i="66"/>
  <c r="D37" i="66"/>
  <c r="C47" i="66"/>
  <c r="C46" i="66"/>
  <c r="C45" i="66"/>
  <c r="C44" i="66"/>
  <c r="C43" i="66"/>
  <c r="C42" i="66"/>
  <c r="C41" i="66"/>
  <c r="C40" i="66"/>
  <c r="C39" i="66"/>
  <c r="C38" i="66"/>
  <c r="C37" i="66"/>
  <c r="C36" i="66"/>
  <c r="C35" i="66"/>
  <c r="M47" i="66"/>
  <c r="L47" i="66"/>
  <c r="G47" i="66"/>
  <c r="M46" i="66"/>
  <c r="L46" i="66"/>
  <c r="G46" i="66"/>
  <c r="M45" i="66"/>
  <c r="L45" i="66"/>
  <c r="G45" i="66"/>
  <c r="M44" i="66"/>
  <c r="L44" i="66"/>
  <c r="G44" i="66"/>
  <c r="M43" i="66"/>
  <c r="L43" i="66"/>
  <c r="G43" i="66"/>
  <c r="M42" i="66"/>
  <c r="L42" i="66"/>
  <c r="G42" i="66"/>
  <c r="M41" i="66"/>
  <c r="L41" i="66"/>
  <c r="G41" i="66"/>
  <c r="M40" i="66"/>
  <c r="L40" i="66"/>
  <c r="G40" i="66"/>
  <c r="M39" i="66"/>
  <c r="L39" i="66"/>
  <c r="G39" i="66"/>
  <c r="M38" i="66"/>
  <c r="L38" i="66"/>
  <c r="G38" i="66"/>
  <c r="M37" i="66"/>
  <c r="L37" i="66"/>
  <c r="G37" i="66"/>
  <c r="M36" i="66"/>
  <c r="L36" i="66"/>
  <c r="G36" i="66"/>
  <c r="M35" i="66"/>
  <c r="L35" i="66"/>
  <c r="G35" i="66"/>
  <c r="E37" i="60"/>
  <c r="F37" i="60"/>
  <c r="B36" i="60"/>
  <c r="B43" i="60"/>
  <c r="B45" i="60"/>
  <c r="B44" i="60"/>
  <c r="B38" i="60"/>
  <c r="B39" i="60"/>
  <c r="B40" i="60"/>
  <c r="B41" i="60"/>
  <c r="B42" i="60"/>
  <c r="B37" i="60"/>
  <c r="A45" i="60"/>
  <c r="A44" i="60"/>
  <c r="A38" i="60"/>
  <c r="A39" i="60"/>
  <c r="A40" i="60"/>
  <c r="A41" i="60"/>
  <c r="A42" i="60"/>
  <c r="A37" i="60"/>
  <c r="D42" i="49"/>
  <c r="E42" i="49"/>
  <c r="F42" i="49"/>
  <c r="G42" i="49"/>
  <c r="H42" i="49"/>
  <c r="D43" i="49"/>
  <c r="E43" i="49"/>
  <c r="F43" i="49"/>
  <c r="G43" i="49"/>
  <c r="H43" i="49"/>
  <c r="D44" i="49"/>
  <c r="K44" i="68" s="1"/>
  <c r="E44" i="49"/>
  <c r="F44" i="49"/>
  <c r="G44" i="49"/>
  <c r="H44" i="49"/>
  <c r="D37" i="49"/>
  <c r="E37" i="49"/>
  <c r="F37" i="49"/>
  <c r="G37" i="49"/>
  <c r="H37" i="49"/>
  <c r="D38" i="49"/>
  <c r="E38" i="49"/>
  <c r="F38" i="49"/>
  <c r="G38" i="49"/>
  <c r="H38" i="49"/>
  <c r="D31" i="49"/>
  <c r="E31" i="49"/>
  <c r="F31" i="49"/>
  <c r="G31" i="49"/>
  <c r="H31" i="49"/>
  <c r="D25" i="49"/>
  <c r="K25" i="68" s="1"/>
  <c r="E25" i="49"/>
  <c r="F25" i="49"/>
  <c r="G25" i="49"/>
  <c r="H25" i="49"/>
  <c r="D26" i="49"/>
  <c r="E26" i="49"/>
  <c r="F26" i="49"/>
  <c r="G26" i="49"/>
  <c r="H26" i="49"/>
  <c r="D27" i="49"/>
  <c r="K27" i="68" s="1"/>
  <c r="E27" i="49"/>
  <c r="F27" i="49"/>
  <c r="G27" i="49"/>
  <c r="H27" i="49"/>
  <c r="D28" i="49"/>
  <c r="E28" i="49"/>
  <c r="F28" i="49"/>
  <c r="G28" i="49"/>
  <c r="H28" i="49"/>
  <c r="D18" i="49"/>
  <c r="K18" i="68" s="1"/>
  <c r="E18" i="49"/>
  <c r="F18" i="49"/>
  <c r="G18" i="49"/>
  <c r="H18" i="49"/>
  <c r="D19" i="49"/>
  <c r="K19" i="68" s="1"/>
  <c r="D20" i="49"/>
  <c r="K20" i="68" s="1"/>
  <c r="E20" i="49"/>
  <c r="F20" i="49"/>
  <c r="G20" i="49"/>
  <c r="H20" i="49"/>
  <c r="D21" i="49"/>
  <c r="E21" i="49"/>
  <c r="F21" i="49"/>
  <c r="G21" i="49"/>
  <c r="H21" i="49"/>
  <c r="D22" i="49"/>
  <c r="E22" i="49"/>
  <c r="F22" i="49"/>
  <c r="G22" i="49"/>
  <c r="H22" i="49"/>
  <c r="D12" i="49"/>
  <c r="E12" i="49"/>
  <c r="F12" i="49"/>
  <c r="G12" i="49"/>
  <c r="H12" i="49"/>
  <c r="D13" i="49"/>
  <c r="K14" i="68" s="1"/>
  <c r="E13" i="49"/>
  <c r="F13" i="49"/>
  <c r="E41" i="60" s="1"/>
  <c r="G13" i="49"/>
  <c r="H13" i="49"/>
  <c r="D14" i="49"/>
  <c r="C41" i="60" s="1"/>
  <c r="E14" i="49"/>
  <c r="D41" i="60" s="1"/>
  <c r="F14" i="49"/>
  <c r="G14" i="49"/>
  <c r="F41" i="60" s="1"/>
  <c r="H14" i="49"/>
  <c r="G41" i="60" s="1"/>
  <c r="D15" i="49"/>
  <c r="K15" i="68" s="1"/>
  <c r="E15" i="49"/>
  <c r="D37" i="60" s="1"/>
  <c r="F15" i="49"/>
  <c r="G15" i="49"/>
  <c r="H15" i="49"/>
  <c r="G37" i="60" s="1"/>
  <c r="C33" i="49"/>
  <c r="A43" i="49"/>
  <c r="B43" i="49"/>
  <c r="C43" i="49"/>
  <c r="A44" i="49"/>
  <c r="B44" i="49"/>
  <c r="C44" i="49"/>
  <c r="A39" i="49"/>
  <c r="B39" i="49"/>
  <c r="B42" i="68" s="1"/>
  <c r="C39" i="49"/>
  <c r="A40" i="49"/>
  <c r="B40" i="49"/>
  <c r="C40" i="49"/>
  <c r="D40" i="49"/>
  <c r="E40" i="49"/>
  <c r="F40" i="49"/>
  <c r="G40" i="49"/>
  <c r="H40" i="49"/>
  <c r="A41" i="49"/>
  <c r="B41" i="49"/>
  <c r="C41" i="49"/>
  <c r="A42" i="49"/>
  <c r="B42" i="49"/>
  <c r="C42" i="49"/>
  <c r="C13" i="49"/>
  <c r="C14" i="49"/>
  <c r="C15" i="49"/>
  <c r="C26" i="49"/>
  <c r="C27" i="49"/>
  <c r="C28" i="49"/>
  <c r="B26" i="49"/>
  <c r="B27" i="49"/>
  <c r="B28" i="49"/>
  <c r="A28" i="49"/>
  <c r="A25" i="49"/>
  <c r="A26" i="49"/>
  <c r="A27" i="49"/>
  <c r="A12" i="49"/>
  <c r="A13" i="49"/>
  <c r="A14" i="49"/>
  <c r="A15" i="49"/>
  <c r="B13" i="49"/>
  <c r="B14" i="49"/>
  <c r="B15" i="49"/>
  <c r="BL32" i="47"/>
  <c r="D39" i="49"/>
  <c r="G35" i="47"/>
  <c r="H35" i="47"/>
  <c r="K35" i="47"/>
  <c r="L35" i="47"/>
  <c r="O35" i="47"/>
  <c r="P35" i="47"/>
  <c r="S35" i="47"/>
  <c r="T35" i="47"/>
  <c r="AA35" i="47"/>
  <c r="F39" i="49"/>
  <c r="AI35" i="47"/>
  <c r="AJ35" i="47"/>
  <c r="AQ35" i="47"/>
  <c r="AR35" i="47"/>
  <c r="AY35" i="47"/>
  <c r="H39" i="49"/>
  <c r="BG35" i="47"/>
  <c r="BH35" i="47"/>
  <c r="D42" i="47"/>
  <c r="E32" i="47"/>
  <c r="F32" i="47"/>
  <c r="G32" i="47"/>
  <c r="H32" i="47"/>
  <c r="I32" i="47"/>
  <c r="J32" i="47"/>
  <c r="K32" i="47"/>
  <c r="L32" i="47"/>
  <c r="M32" i="47"/>
  <c r="N32" i="47"/>
  <c r="O32" i="47"/>
  <c r="P32" i="47"/>
  <c r="Q32" i="47"/>
  <c r="R32" i="47"/>
  <c r="S32" i="47"/>
  <c r="T32" i="47"/>
  <c r="U32" i="47"/>
  <c r="V32" i="47"/>
  <c r="W32" i="47"/>
  <c r="X32" i="47"/>
  <c r="Y32" i="47"/>
  <c r="Z32" i="47"/>
  <c r="AA32" i="47"/>
  <c r="AB32" i="47"/>
  <c r="AC32" i="47"/>
  <c r="AD32" i="47"/>
  <c r="AE32" i="47"/>
  <c r="AF32" i="47"/>
  <c r="AG32" i="47"/>
  <c r="AH32" i="47"/>
  <c r="AI32" i="47"/>
  <c r="AJ32" i="47"/>
  <c r="AK32" i="47"/>
  <c r="AL32" i="47"/>
  <c r="AM32" i="47"/>
  <c r="AN32" i="47"/>
  <c r="AO32" i="47"/>
  <c r="AP32" i="47"/>
  <c r="AP12" i="47" s="1"/>
  <c r="AQ32" i="47"/>
  <c r="AR32" i="47"/>
  <c r="AS32" i="47"/>
  <c r="AT32" i="47"/>
  <c r="AU32" i="47"/>
  <c r="AV32" i="47"/>
  <c r="AW32" i="47"/>
  <c r="AX32" i="47"/>
  <c r="AY32" i="47"/>
  <c r="AZ32" i="47"/>
  <c r="BA32" i="47"/>
  <c r="BB32" i="47"/>
  <c r="BC32" i="47"/>
  <c r="BD32" i="47"/>
  <c r="BE32" i="47"/>
  <c r="BF32" i="47"/>
  <c r="BG32" i="47"/>
  <c r="BH32" i="47"/>
  <c r="BI32" i="47"/>
  <c r="BJ32" i="47"/>
  <c r="BJ12" i="47" s="1"/>
  <c r="BK32" i="47"/>
  <c r="D32" i="47"/>
  <c r="E26" i="47"/>
  <c r="F26" i="47"/>
  <c r="G26" i="47"/>
  <c r="H26" i="47"/>
  <c r="I26" i="47"/>
  <c r="J26" i="47"/>
  <c r="K26" i="47"/>
  <c r="L26" i="47"/>
  <c r="M26" i="47"/>
  <c r="N26" i="47"/>
  <c r="O26" i="47"/>
  <c r="P26" i="47"/>
  <c r="Q26" i="47"/>
  <c r="R26" i="47"/>
  <c r="S26" i="47"/>
  <c r="T26" i="47"/>
  <c r="U26" i="47"/>
  <c r="V26" i="47"/>
  <c r="W26" i="47"/>
  <c r="X26" i="47"/>
  <c r="Y26" i="47"/>
  <c r="Z26" i="47"/>
  <c r="AA26" i="47"/>
  <c r="AB26" i="47"/>
  <c r="AC26" i="47"/>
  <c r="AD26" i="47"/>
  <c r="AE26" i="47"/>
  <c r="AF26" i="47"/>
  <c r="AG26" i="47"/>
  <c r="AH26" i="47"/>
  <c r="AI26" i="47"/>
  <c r="AJ26" i="47"/>
  <c r="AK26" i="47"/>
  <c r="AL26" i="47"/>
  <c r="AM26" i="47"/>
  <c r="AN26" i="47"/>
  <c r="AO26" i="47"/>
  <c r="AP26" i="47"/>
  <c r="AQ26" i="47"/>
  <c r="AR26" i="47"/>
  <c r="AS26" i="47"/>
  <c r="AT26" i="47"/>
  <c r="AU26" i="47"/>
  <c r="AV26" i="47"/>
  <c r="AW26" i="47"/>
  <c r="AX26" i="47"/>
  <c r="AY26" i="47"/>
  <c r="AZ26" i="47"/>
  <c r="BA26" i="47"/>
  <c r="BB26" i="47"/>
  <c r="BC26" i="47"/>
  <c r="BD26" i="47"/>
  <c r="BE26" i="47"/>
  <c r="BF26" i="47"/>
  <c r="BF12" i="47" s="1"/>
  <c r="BG26" i="47"/>
  <c r="BH26" i="47"/>
  <c r="BI26" i="47"/>
  <c r="BJ26" i="47"/>
  <c r="BK26" i="47"/>
  <c r="D26" i="47"/>
  <c r="E19" i="47"/>
  <c r="E12" i="47" s="1"/>
  <c r="F19" i="47"/>
  <c r="G19" i="47"/>
  <c r="H19" i="47"/>
  <c r="H12" i="47" s="1"/>
  <c r="I19" i="47"/>
  <c r="I12" i="47" s="1"/>
  <c r="K19" i="47"/>
  <c r="L19" i="47"/>
  <c r="L12" i="47" s="1"/>
  <c r="M19" i="47"/>
  <c r="M12" i="47" s="1"/>
  <c r="N19" i="47"/>
  <c r="O19" i="47"/>
  <c r="P19" i="47"/>
  <c r="P12" i="47" s="1"/>
  <c r="Q19" i="47"/>
  <c r="Q12" i="47" s="1"/>
  <c r="R19" i="47"/>
  <c r="S19" i="47"/>
  <c r="T19" i="47"/>
  <c r="T12" i="47" s="1"/>
  <c r="U19" i="47"/>
  <c r="U12" i="47" s="1"/>
  <c r="V19" i="47"/>
  <c r="V12" i="47" s="1"/>
  <c r="W19" i="47"/>
  <c r="X19" i="47"/>
  <c r="X12" i="47" s="1"/>
  <c r="Y19" i="47"/>
  <c r="Y12" i="47" s="1"/>
  <c r="Z19" i="47"/>
  <c r="AA19" i="47"/>
  <c r="AB19" i="47"/>
  <c r="AB12" i="47" s="1"/>
  <c r="AC19" i="47"/>
  <c r="AC12" i="47" s="1"/>
  <c r="AD19" i="47"/>
  <c r="AE19" i="47"/>
  <c r="AF19" i="47"/>
  <c r="AF12" i="47" s="1"/>
  <c r="AG19" i="47"/>
  <c r="AG12" i="47" s="1"/>
  <c r="AH19" i="47"/>
  <c r="AH12" i="47" s="1"/>
  <c r="AI19" i="47"/>
  <c r="AJ19" i="47"/>
  <c r="AJ12" i="47" s="1"/>
  <c r="AK19" i="47"/>
  <c r="AK12" i="47" s="1"/>
  <c r="AL19" i="47"/>
  <c r="AM19" i="47"/>
  <c r="AN19" i="47"/>
  <c r="AN12" i="47" s="1"/>
  <c r="AO19" i="47"/>
  <c r="AO12" i="47" s="1"/>
  <c r="AP19" i="47"/>
  <c r="AQ19" i="47"/>
  <c r="AR19" i="47"/>
  <c r="AR12" i="47" s="1"/>
  <c r="AS19" i="47"/>
  <c r="AS12" i="47" s="1"/>
  <c r="AT19" i="47"/>
  <c r="AT12" i="47" s="1"/>
  <c r="AU19" i="47"/>
  <c r="AV19" i="47"/>
  <c r="AV12" i="47" s="1"/>
  <c r="AW19" i="47"/>
  <c r="AW12" i="47" s="1"/>
  <c r="AX19" i="47"/>
  <c r="AY19" i="47"/>
  <c r="AZ19" i="47"/>
  <c r="AZ12" i="47" s="1"/>
  <c r="BA19" i="47"/>
  <c r="BA12" i="47" s="1"/>
  <c r="BB19" i="47"/>
  <c r="BC19" i="47"/>
  <c r="BD19" i="47"/>
  <c r="BD12" i="47" s="1"/>
  <c r="BE19" i="47"/>
  <c r="BE12" i="47" s="1"/>
  <c r="BF19" i="47"/>
  <c r="BG19" i="47"/>
  <c r="BH19" i="47"/>
  <c r="BH12" i="47" s="1"/>
  <c r="BI19" i="47"/>
  <c r="BI12" i="47" s="1"/>
  <c r="BJ19" i="47"/>
  <c r="BK19" i="47"/>
  <c r="D19" i="47"/>
  <c r="E13" i="47"/>
  <c r="F13" i="47"/>
  <c r="G13" i="47"/>
  <c r="H13" i="47"/>
  <c r="I13" i="47"/>
  <c r="J13" i="47"/>
  <c r="K13" i="47"/>
  <c r="L13" i="47"/>
  <c r="M13" i="47"/>
  <c r="N13" i="47"/>
  <c r="O13" i="47"/>
  <c r="P13" i="47"/>
  <c r="Q13" i="47"/>
  <c r="R13" i="47"/>
  <c r="S13" i="47"/>
  <c r="T13" i="47"/>
  <c r="U13" i="47"/>
  <c r="V13" i="47"/>
  <c r="W13" i="47"/>
  <c r="X13" i="47"/>
  <c r="Y13" i="47"/>
  <c r="Z13" i="47"/>
  <c r="AA13" i="47"/>
  <c r="AB13" i="47"/>
  <c r="AC13" i="47"/>
  <c r="AD13" i="47"/>
  <c r="AE13" i="47"/>
  <c r="AF13" i="47"/>
  <c r="AG13" i="47"/>
  <c r="AH13" i="47"/>
  <c r="AI13" i="47"/>
  <c r="AJ13" i="47"/>
  <c r="AK13" i="47"/>
  <c r="AL13" i="47"/>
  <c r="AM13" i="47"/>
  <c r="AN13" i="47"/>
  <c r="AO13" i="47"/>
  <c r="AP13" i="47"/>
  <c r="AQ13" i="47"/>
  <c r="AR13" i="47"/>
  <c r="AS13" i="47"/>
  <c r="AT13" i="47"/>
  <c r="AU13" i="47"/>
  <c r="AV13" i="47"/>
  <c r="AW13" i="47"/>
  <c r="AX13" i="47"/>
  <c r="AY13" i="47"/>
  <c r="AZ13" i="47"/>
  <c r="BA13" i="47"/>
  <c r="BB13" i="47"/>
  <c r="BC13" i="47"/>
  <c r="BD13" i="47"/>
  <c r="BE13" i="47"/>
  <c r="BF13" i="47"/>
  <c r="BG13" i="47"/>
  <c r="BH13" i="47"/>
  <c r="BI13" i="47"/>
  <c r="BJ13" i="47"/>
  <c r="BK13" i="47"/>
  <c r="D13" i="47"/>
  <c r="D12" i="47" s="1"/>
  <c r="E35" i="47"/>
  <c r="F35" i="47"/>
  <c r="I35" i="47"/>
  <c r="J35" i="47"/>
  <c r="M35" i="47"/>
  <c r="N35" i="47"/>
  <c r="Q35" i="47"/>
  <c r="R35" i="47"/>
  <c r="V35" i="47"/>
  <c r="Y35" i="47"/>
  <c r="Z35" i="47"/>
  <c r="AD35" i="47"/>
  <c r="AG35" i="47"/>
  <c r="AH35" i="47"/>
  <c r="AL35" i="47"/>
  <c r="AO35" i="47"/>
  <c r="AP35" i="47"/>
  <c r="AT35" i="47"/>
  <c r="AW35" i="47"/>
  <c r="AX35" i="47"/>
  <c r="BB35" i="47"/>
  <c r="BE35" i="47"/>
  <c r="BF35" i="47"/>
  <c r="BJ35" i="47"/>
  <c r="D35" i="47"/>
  <c r="F12" i="47"/>
  <c r="F11" i="47" s="1"/>
  <c r="G12" i="47"/>
  <c r="K12" i="47"/>
  <c r="N12" i="47"/>
  <c r="O12" i="47"/>
  <c r="R12" i="47"/>
  <c r="R11" i="47" s="1"/>
  <c r="S12" i="47"/>
  <c r="W12" i="47"/>
  <c r="Z12" i="47"/>
  <c r="Z11" i="47" s="1"/>
  <c r="AA12" i="47"/>
  <c r="AD12" i="47"/>
  <c r="AD11" i="47" s="1"/>
  <c r="AE12" i="47"/>
  <c r="AI12" i="47"/>
  <c r="AL12" i="47"/>
  <c r="AM12" i="47"/>
  <c r="AQ12" i="47"/>
  <c r="AU12" i="47"/>
  <c r="AX12" i="47"/>
  <c r="AX11" i="47" s="1"/>
  <c r="AY12" i="47"/>
  <c r="BB12" i="47"/>
  <c r="BB11" i="47" s="1"/>
  <c r="BC12" i="47"/>
  <c r="BG12" i="47"/>
  <c r="BK12" i="47"/>
  <c r="AL11" i="47" l="1"/>
  <c r="N11" i="47"/>
  <c r="AU11" i="47"/>
  <c r="AI11" i="47"/>
  <c r="AQ11" i="47"/>
  <c r="AN35" i="47"/>
  <c r="AB35" i="47"/>
  <c r="AB11" i="47" s="1"/>
  <c r="S11" i="47"/>
  <c r="K11" i="47"/>
  <c r="E39" i="49"/>
  <c r="C37" i="60"/>
  <c r="BC11" i="47"/>
  <c r="AZ35" i="47"/>
  <c r="AZ11" i="47" s="1"/>
  <c r="BK11" i="47"/>
  <c r="AY11" i="47"/>
  <c r="AA11" i="47"/>
  <c r="AT11" i="47"/>
  <c r="AH11" i="47"/>
  <c r="V11" i="47"/>
  <c r="J11" i="47"/>
  <c r="B35" i="60"/>
  <c r="BH11" i="47"/>
  <c r="BD11" i="47"/>
  <c r="AV11" i="47"/>
  <c r="AR11" i="47"/>
  <c r="AJ11" i="47"/>
  <c r="P11" i="47"/>
  <c r="H11" i="47"/>
  <c r="BG11" i="47"/>
  <c r="AM11" i="47"/>
  <c r="AE11" i="47"/>
  <c r="W11" i="47"/>
  <c r="O11" i="47"/>
  <c r="G11" i="47"/>
  <c r="BF11" i="47"/>
  <c r="BJ11" i="47"/>
  <c r="AP11" i="47"/>
  <c r="AN11" i="47"/>
  <c r="AF11" i="47"/>
  <c r="X11" i="47"/>
  <c r="T11" i="47"/>
  <c r="L11" i="47"/>
  <c r="BI11" i="47"/>
  <c r="BE11" i="47"/>
  <c r="BA11" i="47"/>
  <c r="AW11" i="47"/>
  <c r="AS11" i="47"/>
  <c r="AO11" i="47"/>
  <c r="AK11" i="47"/>
  <c r="AG11" i="47"/>
  <c r="AC11" i="47"/>
  <c r="Y11" i="47"/>
  <c r="U11" i="47"/>
  <c r="Q11" i="47"/>
  <c r="M11" i="47"/>
  <c r="I11" i="47"/>
  <c r="E11" i="47"/>
  <c r="D11" i="47"/>
  <c r="BL42" i="47" l="1"/>
  <c r="C42" i="47"/>
  <c r="B42" i="47"/>
  <c r="A15" i="47"/>
  <c r="A16" i="47"/>
  <c r="A17" i="47"/>
  <c r="A18" i="47"/>
  <c r="C33" i="38"/>
  <c r="D32" i="38"/>
  <c r="D31" i="38"/>
  <c r="C19" i="38"/>
  <c r="A19" i="38"/>
  <c r="B19" i="38"/>
  <c r="A29" i="37"/>
  <c r="A30" i="37"/>
  <c r="A31" i="37"/>
  <c r="A32" i="37"/>
  <c r="H56" i="37"/>
  <c r="B56" i="37"/>
  <c r="G43" i="37"/>
  <c r="G44" i="37"/>
  <c r="C43" i="37"/>
  <c r="C44" i="37"/>
  <c r="C45" i="37"/>
  <c r="B43" i="37"/>
  <c r="B44" i="37"/>
  <c r="B45" i="37"/>
  <c r="A42" i="37"/>
  <c r="A43" i="37"/>
  <c r="A44" i="37"/>
  <c r="A45" i="37"/>
  <c r="B32" i="37"/>
  <c r="B27" i="37"/>
  <c r="B28" i="37"/>
  <c r="B29" i="37"/>
  <c r="BN42" i="47" l="1"/>
  <c r="BL35" i="47"/>
  <c r="C36" i="38"/>
  <c r="AT17" i="47" l="1"/>
  <c r="AH16" i="47"/>
  <c r="R33" i="47" l="1"/>
  <c r="H49" i="37"/>
  <c r="B49" i="37"/>
  <c r="B35" i="47" s="1"/>
  <c r="A49" i="37"/>
  <c r="A35" i="47" l="1"/>
  <c r="K44" i="30"/>
  <c r="K40" i="30"/>
  <c r="K31" i="30"/>
  <c r="K41" i="30"/>
  <c r="K42" i="30"/>
  <c r="K43" i="30"/>
  <c r="K30" i="30"/>
  <c r="K29" i="30" s="1"/>
  <c r="K39" i="30" l="1"/>
  <c r="G56" i="37" s="1"/>
  <c r="B15" i="64"/>
  <c r="N15" i="66"/>
  <c r="M15" i="66"/>
  <c r="C15" i="64" s="1"/>
  <c r="C35" i="37"/>
  <c r="C36" i="37"/>
  <c r="C37" i="37"/>
  <c r="C38" i="37"/>
  <c r="C39" i="37"/>
  <c r="B35" i="37"/>
  <c r="B36" i="37"/>
  <c r="B37" i="37"/>
  <c r="B38" i="37"/>
  <c r="B39" i="37"/>
  <c r="B34" i="37"/>
  <c r="A35" i="37"/>
  <c r="A36" i="37"/>
  <c r="A37" i="37"/>
  <c r="A38" i="37"/>
  <c r="A39" i="37"/>
  <c r="J18" i="30"/>
  <c r="J19" i="30"/>
  <c r="J20" i="30"/>
  <c r="J21" i="30"/>
  <c r="J22" i="30"/>
  <c r="K22" i="30" s="1"/>
  <c r="G39" i="37" s="1"/>
  <c r="C25" i="47" s="1"/>
  <c r="AN25" i="47" s="1"/>
  <c r="K19" i="30"/>
  <c r="G36" i="37" s="1"/>
  <c r="C22" i="47" s="1"/>
  <c r="K20" i="30"/>
  <c r="G37" i="37" s="1"/>
  <c r="C23" i="47" s="1"/>
  <c r="C20" i="49" s="1"/>
  <c r="K21" i="30"/>
  <c r="G38" i="37" s="1"/>
  <c r="C24" i="47" s="1"/>
  <c r="AN24" i="47" s="1"/>
  <c r="B24" i="47" l="1"/>
  <c r="B21" i="49" s="1"/>
  <c r="A25" i="47"/>
  <c r="A22" i="49" s="1"/>
  <c r="B23" i="47"/>
  <c r="B20" i="49" s="1"/>
  <c r="A22" i="47"/>
  <c r="A19" i="49" s="1"/>
  <c r="A24" i="47"/>
  <c r="A21" i="49" s="1"/>
  <c r="B22" i="47"/>
  <c r="B19" i="49" s="1"/>
  <c r="A23" i="47"/>
  <c r="A20" i="49" s="1"/>
  <c r="B25" i="47"/>
  <c r="B22" i="49" s="1"/>
  <c r="B21" i="47"/>
  <c r="B18" i="49" s="1"/>
  <c r="A21" i="47"/>
  <c r="A18" i="49" s="1"/>
  <c r="C22" i="49"/>
  <c r="AT25" i="47"/>
  <c r="AZ25" i="47"/>
  <c r="AB24" i="47"/>
  <c r="BF24" i="47"/>
  <c r="C19" i="49"/>
  <c r="AH24" i="47"/>
  <c r="AT24" i="47"/>
  <c r="AZ24" i="47"/>
  <c r="C21" i="49"/>
  <c r="AH23" i="47"/>
  <c r="BF23" i="47"/>
  <c r="P23" i="47"/>
  <c r="AN23" i="47"/>
  <c r="V23" i="47"/>
  <c r="AT23" i="47"/>
  <c r="BF25" i="47"/>
  <c r="AB23" i="47"/>
  <c r="AZ23" i="47"/>
  <c r="BL24" i="47" l="1"/>
  <c r="BN24" i="47" s="1"/>
  <c r="BL25" i="47"/>
  <c r="BN25" i="47" s="1"/>
  <c r="BL23" i="47"/>
  <c r="BN23" i="47" s="1"/>
  <c r="BL22" i="47" l="1"/>
  <c r="BN22" i="47" s="1"/>
  <c r="G11" i="49" l="1"/>
  <c r="F38" i="60" s="1"/>
  <c r="H11" i="49"/>
  <c r="G38" i="60" s="1"/>
  <c r="G24" i="49"/>
  <c r="F40" i="60" s="1"/>
  <c r="H24" i="49"/>
  <c r="G40" i="60" s="1"/>
  <c r="D36" i="49"/>
  <c r="D11" i="49"/>
  <c r="C38" i="60" s="1"/>
  <c r="AO17" i="47"/>
  <c r="AS17" i="47"/>
  <c r="AR17" i="47"/>
  <c r="AY28" i="47"/>
  <c r="AC27" i="47"/>
  <c r="H30" i="49" l="1"/>
  <c r="M67" i="66"/>
  <c r="L67" i="66"/>
  <c r="N55" i="66"/>
  <c r="M55" i="66"/>
  <c r="N54" i="66"/>
  <c r="M54" i="66"/>
  <c r="N53" i="66"/>
  <c r="M53" i="66"/>
  <c r="N16" i="66"/>
  <c r="N17" i="66"/>
  <c r="M17" i="66"/>
  <c r="M16" i="66"/>
  <c r="N12" i="66"/>
  <c r="N13" i="66"/>
  <c r="M13" i="66"/>
  <c r="M12" i="66"/>
  <c r="N14" i="66"/>
  <c r="M14" i="66"/>
  <c r="H23" i="49" l="1"/>
  <c r="F7" i="98" s="1"/>
  <c r="C27" i="68"/>
  <c r="G27" i="68" s="1"/>
  <c r="D27" i="68"/>
  <c r="C15" i="68"/>
  <c r="G15" i="68" s="1"/>
  <c r="D15" i="68"/>
  <c r="H15" i="68" s="1"/>
  <c r="C37" i="68"/>
  <c r="G37" i="68" s="1"/>
  <c r="D37" i="68"/>
  <c r="H37" i="68" s="1"/>
  <c r="C39" i="68"/>
  <c r="G39" i="68" s="1"/>
  <c r="D39" i="68"/>
  <c r="H39" i="68" s="1"/>
  <c r="C40" i="68"/>
  <c r="G40" i="68" s="1"/>
  <c r="D40" i="68"/>
  <c r="H40" i="68" s="1"/>
  <c r="C41" i="68"/>
  <c r="G41" i="68" s="1"/>
  <c r="D41" i="68"/>
  <c r="H41" i="68" s="1"/>
  <c r="C12" i="68"/>
  <c r="G12" i="68" s="1"/>
  <c r="D12" i="68"/>
  <c r="H12" i="68" s="1"/>
  <c r="C13" i="68"/>
  <c r="G13" i="68" s="1"/>
  <c r="D13" i="68"/>
  <c r="H13" i="68" s="1"/>
  <c r="C17" i="68"/>
  <c r="G17" i="68" s="1"/>
  <c r="D17" i="68"/>
  <c r="H17" i="68" s="1"/>
  <c r="C18" i="68"/>
  <c r="G18" i="68" s="1"/>
  <c r="D18" i="68"/>
  <c r="H18" i="68" s="1"/>
  <c r="C24" i="68"/>
  <c r="G24" i="68" s="1"/>
  <c r="D24" i="68"/>
  <c r="H24" i="68" s="1"/>
  <c r="C25" i="68"/>
  <c r="G25" i="68" s="1"/>
  <c r="D25" i="68"/>
  <c r="H25" i="68" s="1"/>
  <c r="C14" i="68"/>
  <c r="G14" i="68" s="1"/>
  <c r="D14" i="68"/>
  <c r="H14" i="68" s="1"/>
  <c r="C26" i="68"/>
  <c r="G26" i="68" s="1"/>
  <c r="D26" i="68"/>
  <c r="H26" i="68" s="1"/>
  <c r="C28" i="68"/>
  <c r="G28" i="68" s="1"/>
  <c r="D28" i="68"/>
  <c r="H28" i="68" s="1"/>
  <c r="C30" i="68"/>
  <c r="G30" i="68" s="1"/>
  <c r="D30" i="68"/>
  <c r="H30" i="68" s="1"/>
  <c r="C31" i="68"/>
  <c r="G31" i="68" s="1"/>
  <c r="D31" i="68"/>
  <c r="H31" i="68" s="1"/>
  <c r="C32" i="68"/>
  <c r="G32" i="68" s="1"/>
  <c r="D32" i="68"/>
  <c r="H32" i="68" s="1"/>
  <c r="C33" i="68"/>
  <c r="G33" i="68" s="1"/>
  <c r="D33" i="68"/>
  <c r="H33" i="68" s="1"/>
  <c r="C34" i="68"/>
  <c r="G34" i="68" s="1"/>
  <c r="D34" i="68"/>
  <c r="H34" i="68" s="1"/>
  <c r="C43" i="68"/>
  <c r="G43" i="68" s="1"/>
  <c r="D43" i="68"/>
  <c r="H43" i="68" s="1"/>
  <c r="C44" i="68"/>
  <c r="G44" i="68" s="1"/>
  <c r="D44" i="68"/>
  <c r="H44" i="68" s="1"/>
  <c r="C24" i="64"/>
  <c r="C27" i="64"/>
  <c r="C31" i="64"/>
  <c r="C32" i="64"/>
  <c r="B23" i="64"/>
  <c r="B24" i="64"/>
  <c r="B25" i="64"/>
  <c r="B26" i="64"/>
  <c r="B27" i="64"/>
  <c r="B28" i="64"/>
  <c r="B29" i="64"/>
  <c r="B30" i="64"/>
  <c r="B31" i="64"/>
  <c r="B32" i="64"/>
  <c r="B33" i="64"/>
  <c r="B34" i="64"/>
  <c r="B22" i="64"/>
  <c r="C23" i="64"/>
  <c r="C22" i="64"/>
  <c r="A23" i="64"/>
  <c r="A22" i="64"/>
  <c r="H15" i="66"/>
  <c r="D15" i="64" s="1"/>
  <c r="J15" i="66"/>
  <c r="D15" i="66"/>
  <c r="C15" i="66"/>
  <c r="A15" i="64" s="1"/>
  <c r="K39" i="68"/>
  <c r="K40" i="68"/>
  <c r="K41" i="68"/>
  <c r="K12" i="68"/>
  <c r="K11" i="68" s="1"/>
  <c r="K28" i="68"/>
  <c r="K31" i="68"/>
  <c r="E38" i="47"/>
  <c r="F38" i="47"/>
  <c r="G38" i="47"/>
  <c r="H38" i="47"/>
  <c r="I38" i="47"/>
  <c r="J38" i="47"/>
  <c r="K38" i="47"/>
  <c r="L38" i="47"/>
  <c r="M38" i="47"/>
  <c r="N38" i="47"/>
  <c r="O38" i="47"/>
  <c r="P38" i="47"/>
  <c r="R38" i="47"/>
  <c r="U38" i="47"/>
  <c r="V38" i="47"/>
  <c r="W38" i="47"/>
  <c r="X38" i="47"/>
  <c r="Y38" i="47"/>
  <c r="Z38" i="47"/>
  <c r="AA38" i="47"/>
  <c r="AB38" i="47"/>
  <c r="AJ38" i="47"/>
  <c r="AK38" i="47"/>
  <c r="AL38" i="47"/>
  <c r="AM38" i="47"/>
  <c r="AN38" i="47"/>
  <c r="AP38" i="47"/>
  <c r="AS38" i="47"/>
  <c r="AT38" i="47"/>
  <c r="AU38" i="47"/>
  <c r="AV38" i="47"/>
  <c r="AW38" i="47"/>
  <c r="AX38" i="47"/>
  <c r="AY38" i="47"/>
  <c r="AZ38" i="47"/>
  <c r="BB38" i="47"/>
  <c r="BH38" i="47"/>
  <c r="BK38" i="47"/>
  <c r="D38" i="47"/>
  <c r="E36" i="47"/>
  <c r="G36" i="47"/>
  <c r="H36" i="47"/>
  <c r="J36" i="47"/>
  <c r="K36" i="47"/>
  <c r="M36" i="47"/>
  <c r="N36" i="47"/>
  <c r="P36" i="47"/>
  <c r="Q36" i="47"/>
  <c r="S36" i="47"/>
  <c r="T36" i="47"/>
  <c r="V36" i="47"/>
  <c r="W36" i="47"/>
  <c r="Y36" i="47"/>
  <c r="Z36" i="47"/>
  <c r="AB36" i="47"/>
  <c r="AC36" i="47"/>
  <c r="AE36" i="47"/>
  <c r="AF36" i="47"/>
  <c r="AH36" i="47"/>
  <c r="AI36" i="47"/>
  <c r="AK36" i="47"/>
  <c r="AL36" i="47"/>
  <c r="AN36" i="47"/>
  <c r="AO36" i="47"/>
  <c r="AQ36" i="47"/>
  <c r="AR36" i="47"/>
  <c r="AT36" i="47"/>
  <c r="AU36" i="47"/>
  <c r="AW36" i="47"/>
  <c r="AX36" i="47"/>
  <c r="AZ36" i="47"/>
  <c r="BA36" i="47"/>
  <c r="BC36" i="47"/>
  <c r="BD36" i="47"/>
  <c r="BF36" i="47"/>
  <c r="BG36" i="47"/>
  <c r="BI36" i="47"/>
  <c r="BJ36" i="47"/>
  <c r="D36" i="47"/>
  <c r="H26" i="37"/>
  <c r="H50" i="37"/>
  <c r="H52" i="37"/>
  <c r="H27" i="37"/>
  <c r="H33" i="37"/>
  <c r="H40" i="37"/>
  <c r="H46" i="37"/>
  <c r="C32" i="37"/>
  <c r="C51" i="37"/>
  <c r="C53" i="37"/>
  <c r="C54" i="37"/>
  <c r="C55" i="37"/>
  <c r="C28" i="37"/>
  <c r="C29" i="37"/>
  <c r="C34" i="37"/>
  <c r="C41" i="37"/>
  <c r="C42" i="37"/>
  <c r="C30" i="37"/>
  <c r="C31" i="37"/>
  <c r="C47" i="37"/>
  <c r="C57" i="37"/>
  <c r="C48" i="37"/>
  <c r="C58" i="37"/>
  <c r="C59" i="37"/>
  <c r="C60" i="37"/>
  <c r="C61" i="37"/>
  <c r="A26" i="37"/>
  <c r="A51" i="37"/>
  <c r="A53" i="37"/>
  <c r="A54" i="37"/>
  <c r="A55" i="37"/>
  <c r="A27" i="37"/>
  <c r="A28" i="37"/>
  <c r="A33" i="37"/>
  <c r="A34" i="37"/>
  <c r="A40" i="37"/>
  <c r="A41" i="37"/>
  <c r="A46" i="37"/>
  <c r="A47" i="37"/>
  <c r="A57" i="37"/>
  <c r="A48" i="37"/>
  <c r="A58" i="37"/>
  <c r="A59" i="37"/>
  <c r="A60" i="37"/>
  <c r="A61" i="37"/>
  <c r="B26" i="37"/>
  <c r="B50" i="37"/>
  <c r="B51" i="37"/>
  <c r="B52" i="37"/>
  <c r="B53" i="37"/>
  <c r="B54" i="37"/>
  <c r="B55" i="37"/>
  <c r="B33" i="37"/>
  <c r="B20" i="47"/>
  <c r="B17" i="49" s="1"/>
  <c r="B40" i="37"/>
  <c r="B41" i="37"/>
  <c r="B42" i="37"/>
  <c r="B30" i="37"/>
  <c r="B31" i="37"/>
  <c r="B46" i="37"/>
  <c r="B47" i="37"/>
  <c r="B57" i="37"/>
  <c r="B48" i="37"/>
  <c r="B58" i="37"/>
  <c r="B59" i="37"/>
  <c r="B60" i="37"/>
  <c r="B61" i="37"/>
  <c r="A11" i="38"/>
  <c r="B15" i="38"/>
  <c r="B14" i="38"/>
  <c r="B13" i="38"/>
  <c r="B12" i="38"/>
  <c r="B18" i="38"/>
  <c r="B17" i="38"/>
  <c r="K18" i="30"/>
  <c r="G35" i="37" s="1"/>
  <c r="C21" i="47" s="1"/>
  <c r="K15" i="30"/>
  <c r="G32" i="37" s="1"/>
  <c r="E15" i="68" s="1"/>
  <c r="B13" i="64"/>
  <c r="B14" i="64"/>
  <c r="B16" i="64"/>
  <c r="B17" i="64"/>
  <c r="C26" i="64"/>
  <c r="C25" i="64"/>
  <c r="C30" i="64"/>
  <c r="C29" i="64"/>
  <c r="C28" i="64"/>
  <c r="C34" i="64"/>
  <c r="C33" i="64"/>
  <c r="C14" i="64"/>
  <c r="C17" i="64"/>
  <c r="C16" i="64"/>
  <c r="C13" i="64"/>
  <c r="AD10" i="47"/>
  <c r="D67" i="66"/>
  <c r="D55" i="66"/>
  <c r="D54" i="66"/>
  <c r="D53" i="66"/>
  <c r="D88" i="95"/>
  <c r="D85" i="95"/>
  <c r="D76" i="95"/>
  <c r="D73" i="95"/>
  <c r="D77" i="95" s="1"/>
  <c r="D59" i="95"/>
  <c r="F59" i="95" s="1"/>
  <c r="D56" i="95"/>
  <c r="D51" i="95"/>
  <c r="D49" i="95"/>
  <c r="D45" i="95"/>
  <c r="D42" i="95"/>
  <c r="D38" i="95"/>
  <c r="D32" i="95"/>
  <c r="D35" i="95" s="1"/>
  <c r="D26" i="95"/>
  <c r="D19" i="95"/>
  <c r="D14" i="95"/>
  <c r="D7" i="95"/>
  <c r="D10" i="95" s="1"/>
  <c r="D27" i="95" s="1"/>
  <c r="AK21" i="47" l="1"/>
  <c r="Y21" i="47"/>
  <c r="V21" i="47"/>
  <c r="BC21" i="47"/>
  <c r="P21" i="47"/>
  <c r="AH21" i="47"/>
  <c r="AN21" i="47"/>
  <c r="S21" i="47"/>
  <c r="BF21" i="47"/>
  <c r="AE21" i="47"/>
  <c r="AQ21" i="47"/>
  <c r="AW21" i="47"/>
  <c r="BI21" i="47"/>
  <c r="AB21" i="47"/>
  <c r="AT21" i="47"/>
  <c r="AZ21" i="47"/>
  <c r="BK21" i="47"/>
  <c r="B43" i="47"/>
  <c r="B29" i="47"/>
  <c r="B28" i="47"/>
  <c r="B25" i="49" s="1"/>
  <c r="A45" i="47"/>
  <c r="B15" i="47"/>
  <c r="B12" i="49" s="1"/>
  <c r="B40" i="47"/>
  <c r="B37" i="49" s="1"/>
  <c r="B36" i="47"/>
  <c r="B33" i="49" s="1"/>
  <c r="B12" i="47"/>
  <c r="B9" i="49" s="1"/>
  <c r="B44" i="47"/>
  <c r="B32" i="47"/>
  <c r="B29" i="49" s="1"/>
  <c r="B16" i="47"/>
  <c r="B26" i="47"/>
  <c r="B23" i="49" s="1"/>
  <c r="B47" i="47"/>
  <c r="B13" i="47"/>
  <c r="B10" i="49" s="1"/>
  <c r="B38" i="47"/>
  <c r="B35" i="49" s="1"/>
  <c r="B18" i="47"/>
  <c r="A41" i="47"/>
  <c r="A38" i="49" s="1"/>
  <c r="D10" i="49"/>
  <c r="C18" i="49"/>
  <c r="H10" i="49"/>
  <c r="F5" i="98" s="1"/>
  <c r="D35" i="49"/>
  <c r="C45" i="60" s="1"/>
  <c r="E18" i="68"/>
  <c r="D65" i="95"/>
  <c r="F38" i="95"/>
  <c r="D64" i="95"/>
  <c r="D90" i="95"/>
  <c r="C18" i="47"/>
  <c r="D22" i="64"/>
  <c r="B19" i="47"/>
  <c r="B16" i="49" s="1"/>
  <c r="B45" i="47"/>
  <c r="B27" i="47"/>
  <c r="B24" i="49" s="1"/>
  <c r="B37" i="47"/>
  <c r="B34" i="49" s="1"/>
  <c r="A33" i="47"/>
  <c r="A30" i="49" s="1"/>
  <c r="A19" i="47"/>
  <c r="A16" i="49" s="1"/>
  <c r="A37" i="47"/>
  <c r="A34" i="49" s="1"/>
  <c r="B46" i="47"/>
  <c r="B34" i="47"/>
  <c r="B31" i="49" s="1"/>
  <c r="B30" i="47"/>
  <c r="B14" i="47"/>
  <c r="B11" i="49" s="1"/>
  <c r="B39" i="47"/>
  <c r="B36" i="49" s="1"/>
  <c r="B31" i="47"/>
  <c r="A47" i="47"/>
  <c r="A34" i="47"/>
  <c r="A31" i="49" s="1"/>
  <c r="A30" i="47"/>
  <c r="A14" i="47"/>
  <c r="A11" i="49" s="1"/>
  <c r="A39" i="47"/>
  <c r="A36" i="49" s="1"/>
  <c r="A31" i="47"/>
  <c r="B33" i="47"/>
  <c r="B30" i="49" s="1"/>
  <c r="B17" i="47"/>
  <c r="B41" i="47"/>
  <c r="A27" i="47"/>
  <c r="A24" i="49" s="1"/>
  <c r="A46" i="47"/>
  <c r="A43" i="47"/>
  <c r="A29" i="47"/>
  <c r="A28" i="47"/>
  <c r="A20" i="47"/>
  <c r="A17" i="49" s="1"/>
  <c r="A13" i="47"/>
  <c r="A10" i="49" s="1"/>
  <c r="A38" i="47"/>
  <c r="A35" i="49" s="1"/>
  <c r="A44" i="47"/>
  <c r="A32" i="47"/>
  <c r="A29" i="49" s="1"/>
  <c r="A26" i="47"/>
  <c r="A23" i="49" s="1"/>
  <c r="A40" i="47"/>
  <c r="A37" i="49" s="1"/>
  <c r="A36" i="47"/>
  <c r="A33" i="49" s="1"/>
  <c r="A12" i="47"/>
  <c r="A9" i="49" s="1"/>
  <c r="BF38" i="47"/>
  <c r="BE38" i="47"/>
  <c r="AH38" i="47"/>
  <c r="D66" i="95"/>
  <c r="E65" i="95" s="1"/>
  <c r="E64" i="95"/>
  <c r="B7" i="96"/>
  <c r="D61" i="95"/>
  <c r="F51" i="95"/>
  <c r="C7" i="96" s="1"/>
  <c r="B5" i="98" l="1"/>
  <c r="B38" i="49"/>
  <c r="K38" i="68"/>
  <c r="BL21" i="47"/>
  <c r="BN21" i="47" s="1"/>
  <c r="S18" i="47"/>
  <c r="E66" i="95"/>
  <c r="C8" i="96"/>
  <c r="K32" i="95"/>
  <c r="K33" i="95" s="1"/>
  <c r="B8" i="96"/>
  <c r="B9" i="96" s="1"/>
  <c r="C9" i="96" s="1"/>
  <c r="J32" i="95"/>
  <c r="J33" i="95" s="1"/>
  <c r="V18" i="47"/>
  <c r="N18" i="47"/>
  <c r="J34" i="95"/>
  <c r="K34" i="95" s="1"/>
  <c r="D7" i="96"/>
  <c r="E7" i="96"/>
  <c r="M32" i="95" s="1"/>
  <c r="M33" i="95" s="1"/>
  <c r="BL18" i="47" l="1"/>
  <c r="D8" i="96"/>
  <c r="D9" i="96" s="1"/>
  <c r="L32" i="95"/>
  <c r="L33" i="95" s="1"/>
  <c r="E8" i="96"/>
  <c r="F7" i="96"/>
  <c r="BM18" i="47" l="1"/>
  <c r="BN18" i="47"/>
  <c r="F8" i="96"/>
  <c r="N32" i="95"/>
  <c r="N33" i="95" s="1"/>
  <c r="O33" i="95" s="1"/>
  <c r="L34" i="95"/>
  <c r="M34" i="95" s="1"/>
  <c r="G8" i="96"/>
  <c r="E9" i="96"/>
  <c r="N34" i="95" l="1"/>
  <c r="F9" i="96"/>
  <c r="W45" i="93"/>
  <c r="A64" i="93"/>
  <c r="A65" i="93" s="1"/>
  <c r="A66" i="93" l="1"/>
  <c r="C66" i="93" s="1"/>
  <c r="D55" i="84" l="1"/>
  <c r="A25" i="37" l="1"/>
  <c r="B11" i="38" l="1"/>
  <c r="J12" i="30" l="1"/>
  <c r="K12" i="30" s="1"/>
  <c r="G29" i="37" s="1"/>
  <c r="P29" i="30"/>
  <c r="G48" i="37" s="1"/>
  <c r="E37" i="79"/>
  <c r="D37" i="79"/>
  <c r="K31" i="79"/>
  <c r="J29" i="79"/>
  <c r="G26" i="79"/>
  <c r="H26" i="79" s="1"/>
  <c r="J25" i="30" s="1"/>
  <c r="F22" i="79"/>
  <c r="J15" i="79"/>
  <c r="J14" i="79"/>
  <c r="J13" i="79"/>
  <c r="J12" i="79"/>
  <c r="J11" i="79"/>
  <c r="J10" i="79"/>
  <c r="F8" i="79"/>
  <c r="F9" i="79" s="1"/>
  <c r="J7" i="79"/>
  <c r="J6" i="79"/>
  <c r="F5" i="79"/>
  <c r="J4" i="79"/>
  <c r="J3" i="79"/>
  <c r="J23" i="79" s="1"/>
  <c r="J30" i="79" s="1"/>
  <c r="I18" i="78"/>
  <c r="F18" i="78"/>
  <c r="F17" i="78"/>
  <c r="F19" i="78" s="1"/>
  <c r="F21" i="78" s="1"/>
  <c r="I13" i="78"/>
  <c r="H17" i="78" s="1"/>
  <c r="F12" i="78"/>
  <c r="I11" i="78"/>
  <c r="J10" i="78"/>
  <c r="E9" i="78"/>
  <c r="E13" i="78" s="1"/>
  <c r="D9" i="78"/>
  <c r="D13" i="78"/>
  <c r="J8" i="78"/>
  <c r="J7" i="78"/>
  <c r="J5" i="78"/>
  <c r="I3" i="78"/>
  <c r="I2" i="78"/>
  <c r="I14" i="78" s="1"/>
  <c r="H18" i="78" s="1"/>
  <c r="H27" i="68"/>
  <c r="A11" i="47"/>
  <c r="D23" i="64"/>
  <c r="BK10" i="47"/>
  <c r="BJ10" i="47"/>
  <c r="BI10" i="47"/>
  <c r="BH10" i="47"/>
  <c r="BG10" i="47"/>
  <c r="BF10" i="47"/>
  <c r="BE10" i="47"/>
  <c r="BD10" i="47"/>
  <c r="BC10" i="47"/>
  <c r="BB10" i="47"/>
  <c r="BA10" i="47"/>
  <c r="AZ10" i="47"/>
  <c r="AY10" i="47"/>
  <c r="AX10" i="47"/>
  <c r="AW10" i="47"/>
  <c r="AV10" i="47"/>
  <c r="AU10" i="47"/>
  <c r="AT10" i="47"/>
  <c r="AS10" i="47"/>
  <c r="AR10" i="47"/>
  <c r="AQ10" i="47"/>
  <c r="AP10" i="47"/>
  <c r="AO10" i="47"/>
  <c r="AN10" i="47"/>
  <c r="AM10" i="47"/>
  <c r="AL10" i="47"/>
  <c r="AK10" i="47"/>
  <c r="AJ10" i="47"/>
  <c r="AI10" i="47"/>
  <c r="AH10" i="47"/>
  <c r="AG10" i="47"/>
  <c r="AF10" i="47"/>
  <c r="AE10" i="47"/>
  <c r="AC10" i="47"/>
  <c r="AB10" i="47"/>
  <c r="AA10" i="47"/>
  <c r="Z10" i="47"/>
  <c r="Y10" i="47"/>
  <c r="X10" i="47"/>
  <c r="W10" i="47"/>
  <c r="V10" i="47"/>
  <c r="U10" i="47"/>
  <c r="T10" i="47"/>
  <c r="S10" i="47"/>
  <c r="R10" i="47"/>
  <c r="Q10" i="47"/>
  <c r="P10" i="47"/>
  <c r="O10" i="47"/>
  <c r="N10" i="47"/>
  <c r="M10" i="47"/>
  <c r="L10" i="47"/>
  <c r="K10" i="47"/>
  <c r="J10" i="47"/>
  <c r="I10" i="47"/>
  <c r="H10" i="47"/>
  <c r="G10" i="47"/>
  <c r="F10" i="47"/>
  <c r="E10" i="47"/>
  <c r="D10" i="47"/>
  <c r="C37" i="64"/>
  <c r="C12" i="64"/>
  <c r="B38" i="64"/>
  <c r="B39" i="64"/>
  <c r="B37" i="64"/>
  <c r="B12" i="64"/>
  <c r="C67" i="66"/>
  <c r="C53" i="66"/>
  <c r="A37" i="64" s="1"/>
  <c r="C55" i="66"/>
  <c r="A39" i="64" s="1"/>
  <c r="C54" i="66"/>
  <c r="A38" i="64" s="1"/>
  <c r="A34" i="64"/>
  <c r="A33" i="64"/>
  <c r="A32" i="64"/>
  <c r="A24" i="64"/>
  <c r="A27" i="64"/>
  <c r="A26" i="64"/>
  <c r="A25" i="64"/>
  <c r="A29" i="64"/>
  <c r="A30" i="64"/>
  <c r="A31" i="64"/>
  <c r="A28" i="64"/>
  <c r="J13" i="66"/>
  <c r="J16" i="66"/>
  <c r="J17" i="66"/>
  <c r="J14" i="66"/>
  <c r="J12" i="66"/>
  <c r="H14" i="66"/>
  <c r="D14" i="64" s="1"/>
  <c r="D14" i="66"/>
  <c r="D17" i="66"/>
  <c r="D16" i="66"/>
  <c r="D13" i="66"/>
  <c r="D12" i="66"/>
  <c r="C14" i="66"/>
  <c r="A14" i="64" s="1"/>
  <c r="C17" i="66"/>
  <c r="A17" i="64" s="1"/>
  <c r="C16" i="66"/>
  <c r="A16" i="64" s="1"/>
  <c r="C13" i="66"/>
  <c r="A13" i="64" s="1"/>
  <c r="C12" i="66"/>
  <c r="A12" i="64" s="1"/>
  <c r="H25" i="37"/>
  <c r="B39" i="93"/>
  <c r="A39" i="93"/>
  <c r="C19" i="93"/>
  <c r="C20" i="93" s="1"/>
  <c r="C21" i="93" s="1"/>
  <c r="C22" i="93" s="1"/>
  <c r="C23" i="93" s="1"/>
  <c r="C24" i="93" s="1"/>
  <c r="C25" i="93" s="1"/>
  <c r="C26" i="93" s="1"/>
  <c r="C27" i="93" s="1"/>
  <c r="C28" i="93" s="1"/>
  <c r="C29" i="93" s="1"/>
  <c r="C30" i="93" s="1"/>
  <c r="C31" i="93" s="1"/>
  <c r="C32" i="93" s="1"/>
  <c r="C33" i="93" s="1"/>
  <c r="C34" i="93" s="1"/>
  <c r="C35" i="93" s="1"/>
  <c r="C36" i="93" s="1"/>
  <c r="C37" i="93" s="1"/>
  <c r="C38" i="93" s="1"/>
  <c r="B18" i="93"/>
  <c r="J17" i="93"/>
  <c r="D17" i="93"/>
  <c r="D13" i="93"/>
  <c r="I17" i="93" s="1"/>
  <c r="C11" i="93"/>
  <c r="C8" i="93"/>
  <c r="I7" i="93"/>
  <c r="A5" i="93"/>
  <c r="B34" i="92"/>
  <c r="A34" i="92"/>
  <c r="A5" i="92" s="1"/>
  <c r="C19" i="92"/>
  <c r="C20" i="92" s="1"/>
  <c r="C21" i="92" s="1"/>
  <c r="C22" i="92" s="1"/>
  <c r="C23" i="92" s="1"/>
  <c r="C24" i="92" s="1"/>
  <c r="C25" i="92" s="1"/>
  <c r="C26" i="92" s="1"/>
  <c r="C27" i="92" s="1"/>
  <c r="C28" i="92" s="1"/>
  <c r="C29" i="92" s="1"/>
  <c r="C30" i="92" s="1"/>
  <c r="C31" i="92" s="1"/>
  <c r="C32" i="92" s="1"/>
  <c r="C33" i="92" s="1"/>
  <c r="B18" i="92"/>
  <c r="J17" i="92"/>
  <c r="D17" i="92"/>
  <c r="D13" i="92"/>
  <c r="I17" i="92" s="1"/>
  <c r="C11" i="92"/>
  <c r="C8" i="92"/>
  <c r="I7" i="92"/>
  <c r="B37" i="91"/>
  <c r="A37" i="91"/>
  <c r="A5" i="91" s="1"/>
  <c r="C19" i="91"/>
  <c r="C20" i="91" s="1"/>
  <c r="C21" i="91" s="1"/>
  <c r="C22" i="91" s="1"/>
  <c r="C23" i="91" s="1"/>
  <c r="C24" i="91" s="1"/>
  <c r="C25" i="91" s="1"/>
  <c r="C26" i="91" s="1"/>
  <c r="C27" i="91" s="1"/>
  <c r="C28" i="91" s="1"/>
  <c r="C29" i="91" s="1"/>
  <c r="C30" i="91" s="1"/>
  <c r="C31" i="91" s="1"/>
  <c r="C32" i="91" s="1"/>
  <c r="C33" i="91" s="1"/>
  <c r="C34" i="91" s="1"/>
  <c r="C35" i="91" s="1"/>
  <c r="C36" i="91" s="1"/>
  <c r="B18" i="91"/>
  <c r="J17" i="91"/>
  <c r="D17" i="91"/>
  <c r="D13" i="91"/>
  <c r="I17" i="91" s="1"/>
  <c r="C11" i="91"/>
  <c r="C8" i="91"/>
  <c r="I7" i="91"/>
  <c r="B37" i="88"/>
  <c r="A37" i="88"/>
  <c r="A5" i="88" s="1"/>
  <c r="C19" i="88"/>
  <c r="C20" i="88" s="1"/>
  <c r="C21" i="88" s="1"/>
  <c r="C22" i="88" s="1"/>
  <c r="C23" i="88" s="1"/>
  <c r="C24" i="88" s="1"/>
  <c r="C25" i="88" s="1"/>
  <c r="C26" i="88" s="1"/>
  <c r="C27" i="88" s="1"/>
  <c r="C28" i="88" s="1"/>
  <c r="C29" i="88" s="1"/>
  <c r="C30" i="88" s="1"/>
  <c r="C31" i="88" s="1"/>
  <c r="C32" i="88" s="1"/>
  <c r="C33" i="88" s="1"/>
  <c r="C34" i="88" s="1"/>
  <c r="C35" i="88" s="1"/>
  <c r="C36" i="88" s="1"/>
  <c r="B18" i="88"/>
  <c r="J17" i="88"/>
  <c r="D17" i="88"/>
  <c r="D13" i="88"/>
  <c r="I17" i="88" s="1"/>
  <c r="C11" i="88"/>
  <c r="C8" i="88"/>
  <c r="I7" i="88"/>
  <c r="B37" i="87"/>
  <c r="A37" i="87"/>
  <c r="A5" i="87"/>
  <c r="C19" i="87"/>
  <c r="C20" i="87"/>
  <c r="C21" i="87"/>
  <c r="C22" i="87"/>
  <c r="C23" i="87" s="1"/>
  <c r="C24" i="87" s="1"/>
  <c r="C25" i="87" s="1"/>
  <c r="C26" i="87" s="1"/>
  <c r="C27" i="87" s="1"/>
  <c r="C28" i="87" s="1"/>
  <c r="C29" i="87" s="1"/>
  <c r="C30" i="87" s="1"/>
  <c r="C31" i="87" s="1"/>
  <c r="C32" i="87" s="1"/>
  <c r="C33" i="87" s="1"/>
  <c r="C34" i="87" s="1"/>
  <c r="C35" i="87" s="1"/>
  <c r="C36" i="87" s="1"/>
  <c r="B18" i="87"/>
  <c r="J17" i="87"/>
  <c r="D17" i="87"/>
  <c r="D13" i="87"/>
  <c r="I17" i="87"/>
  <c r="C11" i="87"/>
  <c r="C8" i="87"/>
  <c r="I7" i="87"/>
  <c r="B37" i="86"/>
  <c r="A37" i="86"/>
  <c r="A5" i="86" s="1"/>
  <c r="C19" i="86"/>
  <c r="C20" i="86" s="1"/>
  <c r="C21" i="86" s="1"/>
  <c r="C22" i="86" s="1"/>
  <c r="C23" i="86" s="1"/>
  <c r="C24" i="86" s="1"/>
  <c r="C25" i="86" s="1"/>
  <c r="C26" i="86" s="1"/>
  <c r="C27" i="86" s="1"/>
  <c r="C28" i="86" s="1"/>
  <c r="C29" i="86" s="1"/>
  <c r="C30" i="86" s="1"/>
  <c r="C31" i="86" s="1"/>
  <c r="C32" i="86" s="1"/>
  <c r="C33" i="86" s="1"/>
  <c r="C34" i="86" s="1"/>
  <c r="C35" i="86" s="1"/>
  <c r="C36" i="86" s="1"/>
  <c r="B18" i="86"/>
  <c r="J17" i="86"/>
  <c r="D17" i="86"/>
  <c r="D13" i="86"/>
  <c r="I17" i="86"/>
  <c r="C11" i="86"/>
  <c r="C8" i="86"/>
  <c r="I7" i="86"/>
  <c r="B86" i="84"/>
  <c r="A86" i="84"/>
  <c r="A52" i="84" s="1"/>
  <c r="C66" i="84"/>
  <c r="C67" i="84" s="1"/>
  <c r="C68" i="84" s="1"/>
  <c r="C69" i="84" s="1"/>
  <c r="C70" i="84" s="1"/>
  <c r="C71" i="84" s="1"/>
  <c r="C72" i="84" s="1"/>
  <c r="C73" i="84" s="1"/>
  <c r="C74" i="84" s="1"/>
  <c r="C75" i="84" s="1"/>
  <c r="C76" i="84" s="1"/>
  <c r="C77" i="84" s="1"/>
  <c r="C78" i="84" s="1"/>
  <c r="C79" i="84" s="1"/>
  <c r="C80" i="84" s="1"/>
  <c r="C81" i="84" s="1"/>
  <c r="C82" i="84" s="1"/>
  <c r="C83" i="84" s="1"/>
  <c r="C84" i="84" s="1"/>
  <c r="C85" i="84" s="1"/>
  <c r="B65" i="84"/>
  <c r="J64" i="84"/>
  <c r="D64" i="84"/>
  <c r="D60" i="84"/>
  <c r="I64" i="84" s="1"/>
  <c r="C58" i="84"/>
  <c r="D58" i="84"/>
  <c r="C55" i="84"/>
  <c r="I54" i="84"/>
  <c r="B106" i="82"/>
  <c r="A106" i="82"/>
  <c r="A77" i="82" s="1"/>
  <c r="C91" i="82"/>
  <c r="C92" i="82" s="1"/>
  <c r="C93" i="82" s="1"/>
  <c r="C94" i="82" s="1"/>
  <c r="C95" i="82" s="1"/>
  <c r="C96" i="82" s="1"/>
  <c r="C97" i="82" s="1"/>
  <c r="C98" i="82" s="1"/>
  <c r="C99" i="82" s="1"/>
  <c r="C100" i="82" s="1"/>
  <c r="C101" i="82" s="1"/>
  <c r="C102" i="82" s="1"/>
  <c r="C103" i="82" s="1"/>
  <c r="C104" i="82" s="1"/>
  <c r="C105" i="82" s="1"/>
  <c r="G90" i="82"/>
  <c r="G91" i="82" s="1"/>
  <c r="G92" i="82" s="1"/>
  <c r="G93" i="82" s="1"/>
  <c r="G94" i="82" s="1"/>
  <c r="G95" i="82" s="1"/>
  <c r="G96" i="82" s="1"/>
  <c r="G97" i="82" s="1"/>
  <c r="G98" i="82" s="1"/>
  <c r="G99" i="82" s="1"/>
  <c r="G100" i="82" s="1"/>
  <c r="G101" i="82" s="1"/>
  <c r="G102" i="82" s="1"/>
  <c r="G103" i="82" s="1"/>
  <c r="G104" i="82" s="1"/>
  <c r="G105" i="82" s="1"/>
  <c r="B90" i="82"/>
  <c r="J89" i="82"/>
  <c r="D89" i="82"/>
  <c r="D85" i="82"/>
  <c r="I89" i="82"/>
  <c r="C83" i="82"/>
  <c r="D80" i="82"/>
  <c r="D83" i="82" s="1"/>
  <c r="C80" i="82"/>
  <c r="I79" i="82"/>
  <c r="B39" i="84"/>
  <c r="A39" i="84"/>
  <c r="A5" i="84" s="1"/>
  <c r="C19" i="84"/>
  <c r="C20" i="84" s="1"/>
  <c r="C21" i="84" s="1"/>
  <c r="C22" i="84" s="1"/>
  <c r="C23" i="84" s="1"/>
  <c r="C24" i="84" s="1"/>
  <c r="C25" i="84" s="1"/>
  <c r="C26" i="84" s="1"/>
  <c r="C27" i="84" s="1"/>
  <c r="C28" i="84" s="1"/>
  <c r="C29" i="84" s="1"/>
  <c r="C30" i="84" s="1"/>
  <c r="C31" i="84" s="1"/>
  <c r="C32" i="84" s="1"/>
  <c r="C33" i="84" s="1"/>
  <c r="C34" i="84" s="1"/>
  <c r="C35" i="84" s="1"/>
  <c r="C36" i="84" s="1"/>
  <c r="C37" i="84" s="1"/>
  <c r="C38" i="84" s="1"/>
  <c r="G18" i="84"/>
  <c r="G19" i="84" s="1"/>
  <c r="G20" i="84" s="1"/>
  <c r="G21" i="84" s="1"/>
  <c r="G22" i="84" s="1"/>
  <c r="G23" i="84" s="1"/>
  <c r="G24" i="84" s="1"/>
  <c r="G25" i="84" s="1"/>
  <c r="G26" i="84" s="1"/>
  <c r="G27" i="84" s="1"/>
  <c r="G28" i="84" s="1"/>
  <c r="G29" i="84" s="1"/>
  <c r="G30" i="84" s="1"/>
  <c r="G31" i="84" s="1"/>
  <c r="G32" i="84" s="1"/>
  <c r="G33" i="84" s="1"/>
  <c r="G34" i="84" s="1"/>
  <c r="G35" i="84" s="1"/>
  <c r="G36" i="84" s="1"/>
  <c r="G37" i="84" s="1"/>
  <c r="G38" i="84" s="1"/>
  <c r="B18" i="84"/>
  <c r="J17" i="84"/>
  <c r="D17" i="84"/>
  <c r="D13" i="84"/>
  <c r="I17" i="84" s="1"/>
  <c r="C11" i="84"/>
  <c r="C8" i="84"/>
  <c r="I7" i="84"/>
  <c r="B37" i="83"/>
  <c r="A37" i="83"/>
  <c r="A5" i="83" s="1"/>
  <c r="C19" i="83"/>
  <c r="C20" i="83" s="1"/>
  <c r="C21" i="83" s="1"/>
  <c r="C22" i="83" s="1"/>
  <c r="C23" i="83" s="1"/>
  <c r="C24" i="83" s="1"/>
  <c r="C25" i="83" s="1"/>
  <c r="C26" i="83" s="1"/>
  <c r="C27" i="83" s="1"/>
  <c r="C28" i="83" s="1"/>
  <c r="C29" i="83" s="1"/>
  <c r="C30" i="83" s="1"/>
  <c r="C31" i="83" s="1"/>
  <c r="C32" i="83" s="1"/>
  <c r="C33" i="83" s="1"/>
  <c r="C34" i="83" s="1"/>
  <c r="C35" i="83" s="1"/>
  <c r="C36" i="83" s="1"/>
  <c r="B18" i="83"/>
  <c r="J17" i="83"/>
  <c r="D17" i="83"/>
  <c r="D13" i="83"/>
  <c r="I17" i="83" s="1"/>
  <c r="C11" i="83"/>
  <c r="C8" i="83"/>
  <c r="I7" i="83"/>
  <c r="B34" i="82"/>
  <c r="A34" i="82"/>
  <c r="A5" i="82" s="1"/>
  <c r="C19" i="82"/>
  <c r="C20" i="82" s="1"/>
  <c r="C21" i="82" s="1"/>
  <c r="C22" i="82" s="1"/>
  <c r="C23" i="82" s="1"/>
  <c r="C24" i="82" s="1"/>
  <c r="C25" i="82" s="1"/>
  <c r="C26" i="82" s="1"/>
  <c r="C27" i="82" s="1"/>
  <c r="C28" i="82" s="1"/>
  <c r="C29" i="82" s="1"/>
  <c r="C30" i="82" s="1"/>
  <c r="C31" i="82" s="1"/>
  <c r="C32" i="82" s="1"/>
  <c r="C33" i="82" s="1"/>
  <c r="B18" i="82"/>
  <c r="J17" i="82"/>
  <c r="D17" i="82"/>
  <c r="D13" i="82"/>
  <c r="I17" i="82"/>
  <c r="C11" i="82"/>
  <c r="C8" i="82"/>
  <c r="I7" i="82"/>
  <c r="C64" i="87"/>
  <c r="D64" i="87"/>
  <c r="E64" i="87"/>
  <c r="F64" i="87"/>
  <c r="G64" i="87"/>
  <c r="H64" i="87"/>
  <c r="I64" i="87"/>
  <c r="J64" i="87"/>
  <c r="K64" i="87"/>
  <c r="L64" i="87"/>
  <c r="M64" i="87"/>
  <c r="N64" i="87"/>
  <c r="O64" i="87"/>
  <c r="P64" i="87"/>
  <c r="Q64" i="87"/>
  <c r="R64" i="87"/>
  <c r="S64" i="87"/>
  <c r="T64" i="87"/>
  <c r="K34" i="30"/>
  <c r="C39" i="64"/>
  <c r="C38" i="64"/>
  <c r="B25" i="37"/>
  <c r="B11" i="47" s="1"/>
  <c r="U44" i="83"/>
  <c r="K17" i="30"/>
  <c r="K16" i="30" s="1"/>
  <c r="U48" i="88"/>
  <c r="U43" i="86"/>
  <c r="W44" i="84"/>
  <c r="R62" i="82"/>
  <c r="K36" i="30"/>
  <c r="K38" i="30"/>
  <c r="G55" i="37" s="1"/>
  <c r="K37" i="30"/>
  <c r="G54" i="37" s="1"/>
  <c r="A4" i="68"/>
  <c r="A4" i="64"/>
  <c r="A4" i="60"/>
  <c r="A4" i="49"/>
  <c r="A4" i="47"/>
  <c r="B4" i="38"/>
  <c r="A4" i="37"/>
  <c r="B4" i="66" s="1"/>
  <c r="H30" i="66"/>
  <c r="G74" i="66" s="1"/>
  <c r="G62" i="66"/>
  <c r="G77" i="66" s="1"/>
  <c r="D41" i="64"/>
  <c r="D19" i="64"/>
  <c r="D43" i="64"/>
  <c r="H24" i="66"/>
  <c r="G73" i="66" s="1"/>
  <c r="D9" i="64"/>
  <c r="G53" i="37" l="1"/>
  <c r="E39" i="68" s="1"/>
  <c r="K35" i="30"/>
  <c r="G51" i="37"/>
  <c r="E37" i="68" s="1"/>
  <c r="K33" i="30"/>
  <c r="K32" i="30" s="1"/>
  <c r="F23" i="79"/>
  <c r="G25" i="79"/>
  <c r="H25" i="79" s="1"/>
  <c r="J24" i="30" s="1"/>
  <c r="H16" i="66" s="1"/>
  <c r="D16" i="64" s="1"/>
  <c r="G34" i="37"/>
  <c r="E13" i="68"/>
  <c r="C15" i="47"/>
  <c r="C40" i="47"/>
  <c r="E40" i="68"/>
  <c r="D90" i="82"/>
  <c r="J90" i="82" s="1"/>
  <c r="B116" i="82" s="1"/>
  <c r="E32" i="68"/>
  <c r="C34" i="47"/>
  <c r="I17" i="78"/>
  <c r="C41" i="47"/>
  <c r="E41" i="68"/>
  <c r="J31" i="79"/>
  <c r="G54" i="66"/>
  <c r="D65" i="84"/>
  <c r="J65" i="84" s="1"/>
  <c r="B115" i="84" s="1"/>
  <c r="D26" i="64"/>
  <c r="H17" i="66"/>
  <c r="D17" i="64" s="1"/>
  <c r="G60" i="37"/>
  <c r="G47" i="37"/>
  <c r="D27" i="64"/>
  <c r="D25" i="64"/>
  <c r="D8" i="87"/>
  <c r="D11" i="87" s="1"/>
  <c r="D18" i="87" s="1"/>
  <c r="J18" i="87" s="1"/>
  <c r="B66" i="87" s="1"/>
  <c r="G59" i="37"/>
  <c r="G58" i="37"/>
  <c r="E35" i="68" s="1"/>
  <c r="G57" i="37"/>
  <c r="G61" i="37"/>
  <c r="H13" i="66"/>
  <c r="D13" i="64" s="1"/>
  <c r="K25" i="30"/>
  <c r="G42" i="37" s="1"/>
  <c r="D31" i="64"/>
  <c r="D8" i="86"/>
  <c r="D11" i="86" s="1"/>
  <c r="D34" i="86" s="1"/>
  <c r="B9" i="68"/>
  <c r="K28" i="30"/>
  <c r="G45" i="37" s="1"/>
  <c r="G49" i="37" l="1"/>
  <c r="C35" i="47" s="1"/>
  <c r="C37" i="47"/>
  <c r="F37" i="47" s="1"/>
  <c r="E90" i="82"/>
  <c r="C39" i="47"/>
  <c r="BA39" i="47" s="1"/>
  <c r="AF34" i="47"/>
  <c r="N34" i="47"/>
  <c r="K32" i="68" s="1"/>
  <c r="Z34" i="47"/>
  <c r="AL34" i="47"/>
  <c r="T34" i="47"/>
  <c r="AR34" i="47"/>
  <c r="AY34" i="47"/>
  <c r="C12" i="49"/>
  <c r="D30" i="64"/>
  <c r="K24" i="30"/>
  <c r="H90" i="82"/>
  <c r="I90" i="82" s="1"/>
  <c r="B115" i="82" s="1"/>
  <c r="B117" i="82" s="1"/>
  <c r="E33" i="68"/>
  <c r="C44" i="47"/>
  <c r="I19" i="78"/>
  <c r="J11" i="30"/>
  <c r="G33" i="37"/>
  <c r="C13" i="38"/>
  <c r="E28" i="68"/>
  <c r="C30" i="47"/>
  <c r="C45" i="47"/>
  <c r="E34" i="68"/>
  <c r="C33" i="47"/>
  <c r="E30" i="68"/>
  <c r="BJ39" i="47"/>
  <c r="BJ38" i="47" s="1"/>
  <c r="AI40" i="47"/>
  <c r="AI38" i="47" s="1"/>
  <c r="C37" i="49"/>
  <c r="AD40" i="47"/>
  <c r="AG40" i="47"/>
  <c r="AG38" i="47" s="1"/>
  <c r="E17" i="68"/>
  <c r="C20" i="47"/>
  <c r="C28" i="47"/>
  <c r="E25" i="68"/>
  <c r="E44" i="68"/>
  <c r="C47" i="47"/>
  <c r="C18" i="38"/>
  <c r="G52" i="37"/>
  <c r="E43" i="68"/>
  <c r="C46" i="47"/>
  <c r="E31" i="68"/>
  <c r="C43" i="47"/>
  <c r="G50" i="37"/>
  <c r="C17" i="38"/>
  <c r="C38" i="49"/>
  <c r="BG41" i="47"/>
  <c r="BD41" i="47"/>
  <c r="BI41" i="47"/>
  <c r="C31" i="49"/>
  <c r="D24" i="64"/>
  <c r="G53" i="66"/>
  <c r="G67" i="66"/>
  <c r="G78" i="66" s="1"/>
  <c r="A53" i="93"/>
  <c r="D8" i="84"/>
  <c r="D11" i="84" s="1"/>
  <c r="D31" i="84" s="1"/>
  <c r="D33" i="64"/>
  <c r="D32" i="64"/>
  <c r="G55" i="66"/>
  <c r="D34" i="64"/>
  <c r="H65" i="84"/>
  <c r="I65" i="84" s="1"/>
  <c r="B114" i="84" s="1"/>
  <c r="B116" i="84" s="1"/>
  <c r="E65" i="84"/>
  <c r="D28" i="87"/>
  <c r="H28" i="87" s="1"/>
  <c r="D31" i="87"/>
  <c r="J31" i="87" s="1"/>
  <c r="O66" i="87" s="1"/>
  <c r="O67" i="87" s="1"/>
  <c r="D23" i="87"/>
  <c r="J23" i="87" s="1"/>
  <c r="G66" i="87" s="1"/>
  <c r="G67" i="87" s="1"/>
  <c r="D27" i="87"/>
  <c r="J27" i="87" s="1"/>
  <c r="K66" i="87" s="1"/>
  <c r="K67" i="87" s="1"/>
  <c r="D35" i="87"/>
  <c r="J35" i="87" s="1"/>
  <c r="S66" i="87" s="1"/>
  <c r="S67" i="87" s="1"/>
  <c r="D32" i="87"/>
  <c r="J32" i="87" s="1"/>
  <c r="P66" i="87" s="1"/>
  <c r="P67" i="87" s="1"/>
  <c r="D22" i="87"/>
  <c r="J22" i="87" s="1"/>
  <c r="F66" i="87" s="1"/>
  <c r="F67" i="87" s="1"/>
  <c r="D25" i="87"/>
  <c r="J25" i="87" s="1"/>
  <c r="I66" i="87" s="1"/>
  <c r="I67" i="87" s="1"/>
  <c r="D29" i="87"/>
  <c r="H29" i="87" s="1"/>
  <c r="D21" i="87"/>
  <c r="J21" i="87" s="1"/>
  <c r="D24" i="87"/>
  <c r="D20" i="87"/>
  <c r="J20" i="87" s="1"/>
  <c r="D33" i="87"/>
  <c r="J33" i="87" s="1"/>
  <c r="Q66" i="87" s="1"/>
  <c r="Q67" i="87" s="1"/>
  <c r="D34" i="87"/>
  <c r="H34" i="87" s="1"/>
  <c r="D26" i="87"/>
  <c r="J26" i="87" s="1"/>
  <c r="J66" i="87" s="1"/>
  <c r="J67" i="87" s="1"/>
  <c r="D36" i="87"/>
  <c r="H36" i="87" s="1"/>
  <c r="D30" i="87"/>
  <c r="J30" i="87" s="1"/>
  <c r="N66" i="87" s="1"/>
  <c r="N67" i="87" s="1"/>
  <c r="D19" i="87"/>
  <c r="H19" i="87" s="1"/>
  <c r="D38" i="64"/>
  <c r="D29" i="86"/>
  <c r="J29" i="86" s="1"/>
  <c r="M44" i="86" s="1"/>
  <c r="M45" i="86" s="1"/>
  <c r="AM15" i="47" s="1"/>
  <c r="D30" i="86"/>
  <c r="H30" i="86" s="1"/>
  <c r="G31" i="37"/>
  <c r="D29" i="64"/>
  <c r="D31" i="86"/>
  <c r="H31" i="86" s="1"/>
  <c r="D21" i="86"/>
  <c r="J21" i="86" s="1"/>
  <c r="D20" i="86"/>
  <c r="J20" i="86" s="1"/>
  <c r="D44" i="86" s="1"/>
  <c r="D45" i="86" s="1"/>
  <c r="AD15" i="47" s="1"/>
  <c r="D33" i="86"/>
  <c r="J33" i="86" s="1"/>
  <c r="D18" i="86"/>
  <c r="H18" i="86" s="1"/>
  <c r="H18" i="87"/>
  <c r="I18" i="87" s="1"/>
  <c r="E18" i="87"/>
  <c r="D25" i="86"/>
  <c r="H25" i="86" s="1"/>
  <c r="D32" i="86"/>
  <c r="J32" i="86" s="1"/>
  <c r="P44" i="86" s="1"/>
  <c r="P45" i="86" s="1"/>
  <c r="AP15" i="47" s="1"/>
  <c r="D28" i="86"/>
  <c r="J28" i="86" s="1"/>
  <c r="L44" i="86" s="1"/>
  <c r="L45" i="86" s="1"/>
  <c r="AL15" i="47" s="1"/>
  <c r="D35" i="86"/>
  <c r="H35" i="86" s="1"/>
  <c r="D23" i="86"/>
  <c r="H23" i="86" s="1"/>
  <c r="D24" i="86"/>
  <c r="J24" i="86" s="1"/>
  <c r="H44" i="86" s="1"/>
  <c r="H45" i="86" s="1"/>
  <c r="AH15" i="47" s="1"/>
  <c r="D22" i="86"/>
  <c r="J22" i="86" s="1"/>
  <c r="F44" i="86" s="1"/>
  <c r="F45" i="86" s="1"/>
  <c r="AF15" i="47" s="1"/>
  <c r="J34" i="86"/>
  <c r="R44" i="86" s="1"/>
  <c r="R45" i="86" s="1"/>
  <c r="AR15" i="47" s="1"/>
  <c r="H34" i="86"/>
  <c r="D26" i="86"/>
  <c r="H26" i="86" s="1"/>
  <c r="D19" i="86"/>
  <c r="J19" i="86" s="1"/>
  <c r="C44" i="86" s="1"/>
  <c r="C45" i="86" s="1"/>
  <c r="AC15" i="47" s="1"/>
  <c r="D36" i="86"/>
  <c r="H36" i="86" s="1"/>
  <c r="D27" i="86"/>
  <c r="H27" i="86" s="1"/>
  <c r="B67" i="87"/>
  <c r="C16" i="38" l="1"/>
  <c r="G41" i="37"/>
  <c r="K23" i="30"/>
  <c r="C34" i="49"/>
  <c r="D8" i="82"/>
  <c r="D11" i="82" s="1"/>
  <c r="D21" i="82" s="1"/>
  <c r="AQ39" i="47"/>
  <c r="AQ38" i="47" s="1"/>
  <c r="C36" i="49"/>
  <c r="T39" i="47"/>
  <c r="T38" i="47" s="1"/>
  <c r="BI39" i="47"/>
  <c r="BI38" i="47" s="1"/>
  <c r="Q39" i="47"/>
  <c r="Q38" i="47" s="1"/>
  <c r="AO39" i="47"/>
  <c r="AO38" i="47" s="1"/>
  <c r="BG39" i="47"/>
  <c r="BG38" i="47" s="1"/>
  <c r="BC39" i="47"/>
  <c r="BC38" i="47" s="1"/>
  <c r="AE39" i="47"/>
  <c r="AE38" i="47" s="1"/>
  <c r="AF39" i="47"/>
  <c r="AF38" i="47" s="1"/>
  <c r="BD39" i="47"/>
  <c r="BD38" i="47" s="1"/>
  <c r="AN20" i="47"/>
  <c r="AZ20" i="47"/>
  <c r="S20" i="47"/>
  <c r="AE20" i="47"/>
  <c r="BK20" i="47"/>
  <c r="AQ20" i="47"/>
  <c r="BC20" i="47"/>
  <c r="P20" i="47"/>
  <c r="AB20" i="47"/>
  <c r="J20" i="47"/>
  <c r="AT20" i="47"/>
  <c r="BI20" i="47"/>
  <c r="M20" i="47"/>
  <c r="Y20" i="47"/>
  <c r="AK20" i="47"/>
  <c r="AW20" i="47"/>
  <c r="BF20" i="47"/>
  <c r="AH20" i="47"/>
  <c r="V20" i="47"/>
  <c r="AC39" i="47"/>
  <c r="AC38" i="47" s="1"/>
  <c r="S39" i="47"/>
  <c r="S38" i="47" s="1"/>
  <c r="AR39" i="47"/>
  <c r="AR38" i="47" s="1"/>
  <c r="Z44" i="47"/>
  <c r="AG44" i="47"/>
  <c r="AK44" i="47"/>
  <c r="AC44" i="47"/>
  <c r="AE43" i="47"/>
  <c r="Y43" i="47"/>
  <c r="AO43" i="47"/>
  <c r="AS43" i="47"/>
  <c r="AJ43" i="47"/>
  <c r="AM46" i="47"/>
  <c r="BE46" i="47"/>
  <c r="AH46" i="47"/>
  <c r="S46" i="47"/>
  <c r="AX46" i="47"/>
  <c r="AC46" i="47"/>
  <c r="AR46" i="47"/>
  <c r="X46" i="47"/>
  <c r="C25" i="49"/>
  <c r="AM33" i="47"/>
  <c r="AC33" i="47"/>
  <c r="AH33" i="47"/>
  <c r="AQ47" i="47"/>
  <c r="AC47" i="47"/>
  <c r="Q47" i="47"/>
  <c r="AM47" i="47"/>
  <c r="Z47" i="47"/>
  <c r="N47" i="47"/>
  <c r="AI47" i="47"/>
  <c r="W47" i="47"/>
  <c r="AF47" i="47"/>
  <c r="T47" i="47"/>
  <c r="S45" i="47"/>
  <c r="AA45" i="47"/>
  <c r="W45" i="47"/>
  <c r="AR33" i="47"/>
  <c r="X33" i="47"/>
  <c r="S33" i="47"/>
  <c r="N33" i="47"/>
  <c r="G40" i="37"/>
  <c r="F36" i="47"/>
  <c r="BA38" i="47"/>
  <c r="H12" i="66"/>
  <c r="D8" i="83"/>
  <c r="D11" i="83" s="1"/>
  <c r="K11" i="30"/>
  <c r="K10" i="30" s="1"/>
  <c r="K9" i="30" s="1"/>
  <c r="C36" i="47"/>
  <c r="E36" i="68"/>
  <c r="AD38" i="47"/>
  <c r="BL40" i="47"/>
  <c r="BN40" i="47" s="1"/>
  <c r="C30" i="49"/>
  <c r="C29" i="49" s="1"/>
  <c r="C38" i="47"/>
  <c r="C35" i="49" s="1"/>
  <c r="C32" i="49" s="1"/>
  <c r="E38" i="68"/>
  <c r="C17" i="49"/>
  <c r="C16" i="49" s="1"/>
  <c r="BL41" i="47"/>
  <c r="BN41" i="47" s="1"/>
  <c r="E26" i="68"/>
  <c r="C29" i="47"/>
  <c r="C17" i="47"/>
  <c r="C15" i="38"/>
  <c r="G46" i="37"/>
  <c r="C27" i="47"/>
  <c r="E24" i="68"/>
  <c r="C19" i="47"/>
  <c r="E16" i="68"/>
  <c r="E27" i="68"/>
  <c r="C31" i="47"/>
  <c r="D85" i="84"/>
  <c r="H85" i="84" s="1"/>
  <c r="D68" i="84"/>
  <c r="J68" i="84" s="1"/>
  <c r="E115" i="84" s="1"/>
  <c r="D30" i="84"/>
  <c r="H30" i="84" s="1"/>
  <c r="D72" i="84"/>
  <c r="H72" i="84" s="1"/>
  <c r="D77" i="84"/>
  <c r="J77" i="84" s="1"/>
  <c r="N115" i="84" s="1"/>
  <c r="D28" i="84"/>
  <c r="H28" i="84" s="1"/>
  <c r="D38" i="84"/>
  <c r="H38" i="84" s="1"/>
  <c r="D19" i="84"/>
  <c r="J19" i="84" s="1"/>
  <c r="C45" i="84" s="1"/>
  <c r="C46" i="84" s="1"/>
  <c r="AF28" i="47" s="1"/>
  <c r="D67" i="84"/>
  <c r="H67" i="84" s="1"/>
  <c r="D34" i="84"/>
  <c r="H34" i="84" s="1"/>
  <c r="D84" i="84"/>
  <c r="J84" i="84" s="1"/>
  <c r="U115" i="84" s="1"/>
  <c r="D22" i="84"/>
  <c r="H22" i="84" s="1"/>
  <c r="D76" i="84"/>
  <c r="J76" i="84" s="1"/>
  <c r="M115" i="84" s="1"/>
  <c r="D25" i="84"/>
  <c r="H25" i="84" s="1"/>
  <c r="D69" i="84"/>
  <c r="J69" i="84" s="1"/>
  <c r="F115" i="84" s="1"/>
  <c r="D29" i="84"/>
  <c r="J29" i="84" s="1"/>
  <c r="M45" i="84" s="1"/>
  <c r="M46" i="84" s="1"/>
  <c r="AP28" i="47" s="1"/>
  <c r="D20" i="84"/>
  <c r="H20" i="84" s="1"/>
  <c r="D71" i="84"/>
  <c r="J71" i="84" s="1"/>
  <c r="H115" i="84" s="1"/>
  <c r="D79" i="84"/>
  <c r="H79" i="84" s="1"/>
  <c r="D33" i="84"/>
  <c r="H33" i="84" s="1"/>
  <c r="D74" i="84"/>
  <c r="J74" i="84" s="1"/>
  <c r="K115" i="84" s="1"/>
  <c r="D37" i="84"/>
  <c r="H37" i="84" s="1"/>
  <c r="D18" i="84"/>
  <c r="J18" i="84" s="1"/>
  <c r="D70" i="84"/>
  <c r="J70" i="84" s="1"/>
  <c r="G115" i="84" s="1"/>
  <c r="D73" i="84"/>
  <c r="J73" i="84" s="1"/>
  <c r="J115" i="84" s="1"/>
  <c r="D82" i="84"/>
  <c r="J82" i="84" s="1"/>
  <c r="S115" i="84" s="1"/>
  <c r="D36" i="84"/>
  <c r="J36" i="84" s="1"/>
  <c r="T45" i="84" s="1"/>
  <c r="T46" i="84" s="1"/>
  <c r="AW28" i="47" s="1"/>
  <c r="D24" i="84"/>
  <c r="J24" i="84" s="1"/>
  <c r="H45" i="84" s="1"/>
  <c r="H46" i="84" s="1"/>
  <c r="AK28" i="47" s="1"/>
  <c r="D80" i="84"/>
  <c r="J80" i="84" s="1"/>
  <c r="Q115" i="84" s="1"/>
  <c r="D27" i="84"/>
  <c r="H27" i="84" s="1"/>
  <c r="D21" i="84"/>
  <c r="H21" i="84" s="1"/>
  <c r="I37" i="47"/>
  <c r="A55" i="93"/>
  <c r="C55" i="93" s="1"/>
  <c r="C48" i="93" s="1"/>
  <c r="B49" i="93"/>
  <c r="W49" i="93" s="1"/>
  <c r="A54" i="93"/>
  <c r="A49" i="92"/>
  <c r="D81" i="84"/>
  <c r="H81" i="84" s="1"/>
  <c r="D83" i="84"/>
  <c r="J83" i="84" s="1"/>
  <c r="T115" i="84" s="1"/>
  <c r="D66" i="84"/>
  <c r="H66" i="84" s="1"/>
  <c r="D78" i="84"/>
  <c r="H78" i="84" s="1"/>
  <c r="D35" i="84"/>
  <c r="H35" i="84" s="1"/>
  <c r="D26" i="84"/>
  <c r="H26" i="84" s="1"/>
  <c r="D75" i="84"/>
  <c r="J75" i="84" s="1"/>
  <c r="L115" i="84" s="1"/>
  <c r="D32" i="84"/>
  <c r="H32" i="84" s="1"/>
  <c r="D23" i="84"/>
  <c r="H23" i="84" s="1"/>
  <c r="E19" i="87"/>
  <c r="E20" i="87" s="1"/>
  <c r="E21" i="87" s="1"/>
  <c r="E22" i="87" s="1"/>
  <c r="E23" i="87" s="1"/>
  <c r="E24" i="87" s="1"/>
  <c r="H29" i="86"/>
  <c r="I29" i="86" s="1"/>
  <c r="H31" i="87"/>
  <c r="I31" i="87" s="1"/>
  <c r="J28" i="87"/>
  <c r="L66" i="87" s="1"/>
  <c r="L67" i="87" s="1"/>
  <c r="J29" i="87"/>
  <c r="M66" i="87" s="1"/>
  <c r="M67" i="87" s="1"/>
  <c r="H30" i="87"/>
  <c r="I30" i="87" s="1"/>
  <c r="H21" i="87"/>
  <c r="I21" i="87" s="1"/>
  <c r="H23" i="87"/>
  <c r="I23" i="87" s="1"/>
  <c r="H28" i="86"/>
  <c r="I28" i="86" s="1"/>
  <c r="H20" i="87"/>
  <c r="I20" i="87" s="1"/>
  <c r="H33" i="87"/>
  <c r="I33" i="87" s="1"/>
  <c r="H35" i="87"/>
  <c r="I35" i="87" s="1"/>
  <c r="H32" i="87"/>
  <c r="I32" i="87" s="1"/>
  <c r="J36" i="87"/>
  <c r="T66" i="87" s="1"/>
  <c r="T67" i="87" s="1"/>
  <c r="H22" i="87"/>
  <c r="I22" i="87" s="1"/>
  <c r="H27" i="87"/>
  <c r="I27" i="87" s="1"/>
  <c r="J34" i="87"/>
  <c r="R66" i="87" s="1"/>
  <c r="R67" i="87" s="1"/>
  <c r="H21" i="86"/>
  <c r="I21" i="86" s="1"/>
  <c r="H26" i="87"/>
  <c r="I26" i="87" s="1"/>
  <c r="J19" i="87"/>
  <c r="C66" i="87" s="1"/>
  <c r="C67" i="87" s="1"/>
  <c r="J35" i="86"/>
  <c r="S44" i="86" s="1"/>
  <c r="S45" i="86" s="1"/>
  <c r="AS15" i="47" s="1"/>
  <c r="D37" i="87"/>
  <c r="J24" i="87"/>
  <c r="H66" i="87" s="1"/>
  <c r="H67" i="87" s="1"/>
  <c r="H24" i="87"/>
  <c r="H25" i="87"/>
  <c r="I25" i="87" s="1"/>
  <c r="D37" i="64"/>
  <c r="D39" i="64"/>
  <c r="J31" i="86"/>
  <c r="O44" i="86" s="1"/>
  <c r="O45" i="86" s="1"/>
  <c r="AO15" i="47" s="1"/>
  <c r="J30" i="86"/>
  <c r="N44" i="86" s="1"/>
  <c r="N45" i="86" s="1"/>
  <c r="AN15" i="47" s="1"/>
  <c r="H19" i="86"/>
  <c r="I19" i="86" s="1"/>
  <c r="J36" i="86"/>
  <c r="T44" i="86" s="1"/>
  <c r="T45" i="86" s="1"/>
  <c r="AT15" i="47" s="1"/>
  <c r="H24" i="86"/>
  <c r="I24" i="86" s="1"/>
  <c r="E18" i="86"/>
  <c r="E19" i="86" s="1"/>
  <c r="H32" i="86"/>
  <c r="I32" i="86" s="1"/>
  <c r="J25" i="86"/>
  <c r="I44" i="86" s="1"/>
  <c r="I45" i="86" s="1"/>
  <c r="AI15" i="47" s="1"/>
  <c r="H33" i="86"/>
  <c r="I33" i="86" s="1"/>
  <c r="J18" i="86"/>
  <c r="K20" i="86" s="1"/>
  <c r="J23" i="86"/>
  <c r="G44" i="86" s="1"/>
  <c r="G45" i="86" s="1"/>
  <c r="AG15" i="47" s="1"/>
  <c r="A52" i="91"/>
  <c r="B49" i="91" s="1"/>
  <c r="U49" i="91" s="1"/>
  <c r="H20" i="86"/>
  <c r="I20" i="86" s="1"/>
  <c r="J27" i="86"/>
  <c r="K44" i="86" s="1"/>
  <c r="K45" i="86" s="1"/>
  <c r="AK15" i="47" s="1"/>
  <c r="J26" i="86"/>
  <c r="J44" i="86" s="1"/>
  <c r="J45" i="86" s="1"/>
  <c r="AJ15" i="47" s="1"/>
  <c r="I34" i="86"/>
  <c r="H22" i="86"/>
  <c r="I22" i="86" s="1"/>
  <c r="E66" i="87"/>
  <c r="E67" i="87" s="1"/>
  <c r="D66" i="87"/>
  <c r="D37" i="86"/>
  <c r="E44" i="86"/>
  <c r="E45" i="86" s="1"/>
  <c r="AE15" i="47" s="1"/>
  <c r="J31" i="84"/>
  <c r="O45" i="84" s="1"/>
  <c r="O46" i="84" s="1"/>
  <c r="AR28" i="47" s="1"/>
  <c r="H31" i="84"/>
  <c r="Q44" i="86"/>
  <c r="Q45" i="86" s="1"/>
  <c r="AQ15" i="47" s="1"/>
  <c r="D105" i="82" l="1"/>
  <c r="D31" i="82"/>
  <c r="J31" i="82" s="1"/>
  <c r="O63" i="82" s="1"/>
  <c r="O64" i="82" s="1"/>
  <c r="AA27" i="47" s="1"/>
  <c r="D91" i="82"/>
  <c r="H91" i="82" s="1"/>
  <c r="D92" i="82"/>
  <c r="H92" i="82" s="1"/>
  <c r="D94" i="82"/>
  <c r="J94" i="82" s="1"/>
  <c r="F116" i="82" s="1"/>
  <c r="D24" i="82"/>
  <c r="J24" i="82" s="1"/>
  <c r="H63" i="82" s="1"/>
  <c r="H64" i="82" s="1"/>
  <c r="T27" i="47" s="1"/>
  <c r="D20" i="82"/>
  <c r="J20" i="82" s="1"/>
  <c r="D63" i="82" s="1"/>
  <c r="D64" i="82" s="1"/>
  <c r="P27" i="47" s="1"/>
  <c r="D103" i="82"/>
  <c r="H103" i="82" s="1"/>
  <c r="D93" i="82"/>
  <c r="J93" i="82" s="1"/>
  <c r="E116" i="82" s="1"/>
  <c r="D99" i="82"/>
  <c r="J99" i="82" s="1"/>
  <c r="K116" i="82" s="1"/>
  <c r="D23" i="82"/>
  <c r="J23" i="82" s="1"/>
  <c r="G63" i="82" s="1"/>
  <c r="G64" i="82" s="1"/>
  <c r="S27" i="47" s="1"/>
  <c r="D95" i="82"/>
  <c r="J95" i="82" s="1"/>
  <c r="G116" i="82" s="1"/>
  <c r="D19" i="82"/>
  <c r="H19" i="82" s="1"/>
  <c r="D30" i="82"/>
  <c r="H30" i="82" s="1"/>
  <c r="D28" i="82"/>
  <c r="H28" i="82" s="1"/>
  <c r="D96" i="82"/>
  <c r="H96" i="82" s="1"/>
  <c r="D98" i="82"/>
  <c r="J98" i="82" s="1"/>
  <c r="J116" i="82" s="1"/>
  <c r="D104" i="82"/>
  <c r="J104" i="82" s="1"/>
  <c r="P116" i="82" s="1"/>
  <c r="D25" i="82"/>
  <c r="H25" i="82" s="1"/>
  <c r="D97" i="82"/>
  <c r="J97" i="82" s="1"/>
  <c r="I116" i="82" s="1"/>
  <c r="D33" i="82"/>
  <c r="H33" i="82" s="1"/>
  <c r="D27" i="82"/>
  <c r="J27" i="82" s="1"/>
  <c r="K63" i="82" s="1"/>
  <c r="K64" i="82" s="1"/>
  <c r="W27" i="47" s="1"/>
  <c r="D32" i="82"/>
  <c r="H32" i="82" s="1"/>
  <c r="D102" i="82"/>
  <c r="H102" i="82" s="1"/>
  <c r="D101" i="82"/>
  <c r="H101" i="82" s="1"/>
  <c r="D100" i="82"/>
  <c r="J100" i="82" s="1"/>
  <c r="L116" i="82" s="1"/>
  <c r="D29" i="82"/>
  <c r="J29" i="82" s="1"/>
  <c r="M63" i="82" s="1"/>
  <c r="M64" i="82" s="1"/>
  <c r="Y27" i="47" s="1"/>
  <c r="D26" i="82"/>
  <c r="H26" i="82" s="1"/>
  <c r="D18" i="82"/>
  <c r="J18" i="82" s="1"/>
  <c r="D22" i="82"/>
  <c r="H22" i="82" s="1"/>
  <c r="E36" i="49"/>
  <c r="F36" i="49"/>
  <c r="F30" i="49"/>
  <c r="BL39" i="47"/>
  <c r="BN39" i="47" s="1"/>
  <c r="H36" i="49"/>
  <c r="G36" i="49"/>
  <c r="C24" i="49"/>
  <c r="C23" i="49" s="1"/>
  <c r="E30" i="49"/>
  <c r="D30" i="49"/>
  <c r="E35" i="49"/>
  <c r="D45" i="60" s="1"/>
  <c r="G35" i="49"/>
  <c r="F45" i="60" s="1"/>
  <c r="C14" i="38"/>
  <c r="F16" i="49"/>
  <c r="F17" i="49"/>
  <c r="H16" i="49"/>
  <c r="H17" i="49"/>
  <c r="E16" i="49"/>
  <c r="E17" i="49"/>
  <c r="G16" i="49"/>
  <c r="G17" i="49"/>
  <c r="D17" i="49"/>
  <c r="K17" i="68" s="1"/>
  <c r="BL20" i="47"/>
  <c r="BN20" i="47" s="1"/>
  <c r="H35" i="49"/>
  <c r="G45" i="60" s="1"/>
  <c r="F35" i="49"/>
  <c r="E45" i="60" s="1"/>
  <c r="D12" i="64"/>
  <c r="D11" i="64" s="1"/>
  <c r="H18" i="66"/>
  <c r="G72" i="66" s="1"/>
  <c r="C32" i="47"/>
  <c r="E29" i="68"/>
  <c r="G28" i="37"/>
  <c r="BL38" i="47"/>
  <c r="BN38" i="47" s="1"/>
  <c r="C26" i="47"/>
  <c r="E23" i="68"/>
  <c r="D29" i="83"/>
  <c r="D19" i="83"/>
  <c r="D27" i="83"/>
  <c r="D22" i="83"/>
  <c r="D20" i="83"/>
  <c r="D30" i="83"/>
  <c r="D36" i="83"/>
  <c r="D32" i="83"/>
  <c r="D28" i="83"/>
  <c r="D23" i="83"/>
  <c r="D25" i="83"/>
  <c r="D31" i="83"/>
  <c r="D18" i="83"/>
  <c r="D21" i="83"/>
  <c r="D26" i="83"/>
  <c r="D24" i="83"/>
  <c r="D35" i="83"/>
  <c r="D34" i="83"/>
  <c r="D33" i="83"/>
  <c r="Y31" i="47"/>
  <c r="V31" i="47"/>
  <c r="Q31" i="47"/>
  <c r="G10" i="49"/>
  <c r="E5" i="98" s="1"/>
  <c r="I36" i="47"/>
  <c r="BL44" i="47"/>
  <c r="J85" i="84"/>
  <c r="V115" i="84" s="1"/>
  <c r="J30" i="84"/>
  <c r="N45" i="84" s="1"/>
  <c r="N46" i="84" s="1"/>
  <c r="AQ28" i="47" s="1"/>
  <c r="H68" i="84"/>
  <c r="I68" i="84" s="1"/>
  <c r="E114" i="84" s="1"/>
  <c r="E116" i="84" s="1"/>
  <c r="J26" i="84"/>
  <c r="J45" i="84" s="1"/>
  <c r="J46" i="84" s="1"/>
  <c r="AM28" i="47" s="1"/>
  <c r="H70" i="84"/>
  <c r="I70" i="84" s="1"/>
  <c r="G114" i="84" s="1"/>
  <c r="G116" i="84" s="1"/>
  <c r="H24" i="84"/>
  <c r="I24" i="84" s="1"/>
  <c r="J27" i="84"/>
  <c r="K45" i="84" s="1"/>
  <c r="K46" i="84" s="1"/>
  <c r="AN28" i="47" s="1"/>
  <c r="H71" i="84"/>
  <c r="I71" i="84" s="1"/>
  <c r="H114" i="84" s="1"/>
  <c r="H116" i="84" s="1"/>
  <c r="J38" i="84"/>
  <c r="V45" i="84" s="1"/>
  <c r="V46" i="84" s="1"/>
  <c r="H82" i="84"/>
  <c r="I82" i="84" s="1"/>
  <c r="S114" i="84" s="1"/>
  <c r="S116" i="84" s="1"/>
  <c r="J72" i="84"/>
  <c r="I115" i="84" s="1"/>
  <c r="H74" i="84"/>
  <c r="I74" i="84" s="1"/>
  <c r="K114" i="84" s="1"/>
  <c r="K116" i="84" s="1"/>
  <c r="J25" i="84"/>
  <c r="I45" i="84" s="1"/>
  <c r="I46" i="84" s="1"/>
  <c r="AL28" i="47" s="1"/>
  <c r="H80" i="84"/>
  <c r="I80" i="84" s="1"/>
  <c r="Q114" i="84" s="1"/>
  <c r="Q116" i="84" s="1"/>
  <c r="H84" i="84"/>
  <c r="I84" i="84" s="1"/>
  <c r="U114" i="84" s="1"/>
  <c r="U116" i="84" s="1"/>
  <c r="J20" i="84"/>
  <c r="D45" i="84" s="1"/>
  <c r="D46" i="84" s="1"/>
  <c r="AG28" i="47" s="1"/>
  <c r="H73" i="84"/>
  <c r="I73" i="84" s="1"/>
  <c r="J114" i="84" s="1"/>
  <c r="J116" i="84" s="1"/>
  <c r="J78" i="84"/>
  <c r="O115" i="84" s="1"/>
  <c r="J37" i="84"/>
  <c r="U45" i="84" s="1"/>
  <c r="U46" i="84" s="1"/>
  <c r="AX28" i="47" s="1"/>
  <c r="H19" i="84"/>
  <c r="I19" i="84" s="1"/>
  <c r="H77" i="84"/>
  <c r="I77" i="84" s="1"/>
  <c r="N114" i="84" s="1"/>
  <c r="N116" i="84" s="1"/>
  <c r="J22" i="84"/>
  <c r="F45" i="84" s="1"/>
  <c r="F46" i="84" s="1"/>
  <c r="AI28" i="47" s="1"/>
  <c r="H83" i="84"/>
  <c r="I83" i="84" s="1"/>
  <c r="T114" i="84" s="1"/>
  <c r="T116" i="84" s="1"/>
  <c r="H76" i="84"/>
  <c r="I76" i="84" s="1"/>
  <c r="M114" i="84" s="1"/>
  <c r="M116" i="84" s="1"/>
  <c r="H29" i="84"/>
  <c r="I29" i="84" s="1"/>
  <c r="J33" i="84"/>
  <c r="Q45" i="84" s="1"/>
  <c r="Q46" i="84" s="1"/>
  <c r="AT28" i="47" s="1"/>
  <c r="J28" i="84"/>
  <c r="L45" i="84" s="1"/>
  <c r="L46" i="84" s="1"/>
  <c r="AO28" i="47" s="1"/>
  <c r="H36" i="84"/>
  <c r="I36" i="84" s="1"/>
  <c r="J79" i="84"/>
  <c r="P115" i="84" s="1"/>
  <c r="J34" i="84"/>
  <c r="R45" i="84" s="1"/>
  <c r="R46" i="84" s="1"/>
  <c r="AU28" i="47" s="1"/>
  <c r="H69" i="84"/>
  <c r="I69" i="84" s="1"/>
  <c r="F114" i="84" s="1"/>
  <c r="F116" i="84" s="1"/>
  <c r="H18" i="84"/>
  <c r="I18" i="84" s="1"/>
  <c r="J67" i="84"/>
  <c r="D115" i="84" s="1"/>
  <c r="H75" i="84"/>
  <c r="I75" i="84" s="1"/>
  <c r="L114" i="84" s="1"/>
  <c r="L116" i="84" s="1"/>
  <c r="J21" i="84"/>
  <c r="E45" i="84" s="1"/>
  <c r="E46" i="84" s="1"/>
  <c r="AH28" i="47" s="1"/>
  <c r="E18" i="84"/>
  <c r="E19" i="84" s="1"/>
  <c r="E66" i="84"/>
  <c r="E67" i="84" s="1"/>
  <c r="J66" i="84"/>
  <c r="I66" i="84" s="1"/>
  <c r="C114" i="84" s="1"/>
  <c r="J32" i="84"/>
  <c r="P45" i="84" s="1"/>
  <c r="P46" i="84" s="1"/>
  <c r="AS28" i="47" s="1"/>
  <c r="D86" i="84"/>
  <c r="A51" i="92"/>
  <c r="C51" i="92" s="1"/>
  <c r="C43" i="92" s="1"/>
  <c r="B44" i="92"/>
  <c r="R44" i="92" s="1"/>
  <c r="A50" i="92"/>
  <c r="D48" i="93"/>
  <c r="E48" i="93" s="1"/>
  <c r="F48" i="93" s="1"/>
  <c r="G48" i="93" s="1"/>
  <c r="H48" i="93" s="1"/>
  <c r="I48" i="93" s="1"/>
  <c r="J48" i="93" s="1"/>
  <c r="K48" i="93" s="1"/>
  <c r="L48" i="93" s="1"/>
  <c r="M48" i="93" s="1"/>
  <c r="N48" i="93" s="1"/>
  <c r="O48" i="93" s="1"/>
  <c r="P48" i="93" s="1"/>
  <c r="Q48" i="93" s="1"/>
  <c r="R48" i="93" s="1"/>
  <c r="S48" i="93" s="1"/>
  <c r="T48" i="93" s="1"/>
  <c r="U48" i="93" s="1"/>
  <c r="V48" i="93" s="1"/>
  <c r="L37" i="47"/>
  <c r="L36" i="47" s="1"/>
  <c r="J23" i="84"/>
  <c r="G45" i="84" s="1"/>
  <c r="G46" i="84" s="1"/>
  <c r="AJ28" i="47" s="1"/>
  <c r="J35" i="84"/>
  <c r="S45" i="84" s="1"/>
  <c r="S46" i="84" s="1"/>
  <c r="AV28" i="47" s="1"/>
  <c r="J81" i="84"/>
  <c r="R115" i="84" s="1"/>
  <c r="D39" i="84"/>
  <c r="K32" i="87"/>
  <c r="I34" i="87"/>
  <c r="I28" i="87"/>
  <c r="I29" i="87"/>
  <c r="I36" i="86"/>
  <c r="K36" i="86"/>
  <c r="I31" i="86"/>
  <c r="I35" i="86"/>
  <c r="I19" i="87"/>
  <c r="I36" i="87"/>
  <c r="K36" i="87"/>
  <c r="K20" i="87"/>
  <c r="I24" i="87"/>
  <c r="J37" i="87"/>
  <c r="I30" i="86"/>
  <c r="D36" i="64"/>
  <c r="J37" i="86"/>
  <c r="G56" i="66"/>
  <c r="G76" i="66" s="1"/>
  <c r="D47" i="64"/>
  <c r="G68" i="66"/>
  <c r="I25" i="86"/>
  <c r="B44" i="86"/>
  <c r="U44" i="86" s="1"/>
  <c r="U45" i="86" s="1"/>
  <c r="I18" i="86"/>
  <c r="I26" i="86"/>
  <c r="K32" i="86"/>
  <c r="I23" i="86"/>
  <c r="I27" i="86"/>
  <c r="A53" i="91"/>
  <c r="A54" i="91"/>
  <c r="C54" i="91" s="1"/>
  <c r="C48" i="91" s="1"/>
  <c r="D67" i="87"/>
  <c r="U66" i="87"/>
  <c r="U67" i="87" s="1"/>
  <c r="D8" i="93"/>
  <c r="D11" i="93" s="1"/>
  <c r="J19" i="82"/>
  <c r="C63" i="82" s="1"/>
  <c r="C64" i="82" s="1"/>
  <c r="O27" i="47" s="1"/>
  <c r="J96" i="82"/>
  <c r="H116" i="82" s="1"/>
  <c r="H97" i="82"/>
  <c r="E25" i="87"/>
  <c r="B45" i="84"/>
  <c r="H94" i="82"/>
  <c r="J105" i="82"/>
  <c r="Q116" i="82" s="1"/>
  <c r="H105" i="82"/>
  <c r="I31" i="84"/>
  <c r="E20" i="86"/>
  <c r="J21" i="82"/>
  <c r="E63" i="82" s="1"/>
  <c r="E64" i="82" s="1"/>
  <c r="Q27" i="47" s="1"/>
  <c r="H21" i="82"/>
  <c r="G39" i="60" l="1"/>
  <c r="F6" i="98"/>
  <c r="E6" i="98"/>
  <c r="F39" i="60"/>
  <c r="E39" i="60"/>
  <c r="D6" i="98"/>
  <c r="C6" i="98"/>
  <c r="D39" i="60"/>
  <c r="J30" i="82"/>
  <c r="N63" i="82" s="1"/>
  <c r="N64" i="82" s="1"/>
  <c r="Z27" i="47" s="1"/>
  <c r="H20" i="82"/>
  <c r="H99" i="82"/>
  <c r="I99" i="82" s="1"/>
  <c r="K115" i="82" s="1"/>
  <c r="K117" i="82" s="1"/>
  <c r="J102" i="82"/>
  <c r="N116" i="82" s="1"/>
  <c r="H98" i="82"/>
  <c r="I98" i="82" s="1"/>
  <c r="J115" i="82" s="1"/>
  <c r="J117" i="82" s="1"/>
  <c r="H18" i="82"/>
  <c r="I18" i="82" s="1"/>
  <c r="J101" i="82"/>
  <c r="M116" i="82" s="1"/>
  <c r="H31" i="82"/>
  <c r="I31" i="82" s="1"/>
  <c r="J26" i="82"/>
  <c r="J63" i="82" s="1"/>
  <c r="J64" i="82" s="1"/>
  <c r="V27" i="47" s="1"/>
  <c r="H24" i="82"/>
  <c r="I24" i="82" s="1"/>
  <c r="J33" i="82"/>
  <c r="Q63" i="82" s="1"/>
  <c r="Q64" i="82" s="1"/>
  <c r="H27" i="82"/>
  <c r="I27" i="82" s="1"/>
  <c r="H104" i="82"/>
  <c r="I104" i="82" s="1"/>
  <c r="P115" i="82" s="1"/>
  <c r="P117" i="82" s="1"/>
  <c r="J28" i="82"/>
  <c r="L63" i="82" s="1"/>
  <c r="L64" i="82" s="1"/>
  <c r="X27" i="47" s="1"/>
  <c r="E18" i="82"/>
  <c r="E19" i="82" s="1"/>
  <c r="J91" i="82"/>
  <c r="C116" i="82" s="1"/>
  <c r="J92" i="82"/>
  <c r="D116" i="82" s="1"/>
  <c r="J103" i="82"/>
  <c r="O116" i="82" s="1"/>
  <c r="E91" i="82"/>
  <c r="E92" i="82" s="1"/>
  <c r="H23" i="82"/>
  <c r="I23" i="82" s="1"/>
  <c r="J22" i="82"/>
  <c r="F63" i="82" s="1"/>
  <c r="F64" i="82" s="1"/>
  <c r="R27" i="47" s="1"/>
  <c r="H29" i="82"/>
  <c r="I29" i="82" s="1"/>
  <c r="H93" i="82"/>
  <c r="I93" i="82" s="1"/>
  <c r="E115" i="82" s="1"/>
  <c r="E117" i="82" s="1"/>
  <c r="D106" i="82"/>
  <c r="H100" i="82"/>
  <c r="I100" i="82" s="1"/>
  <c r="L115" i="82" s="1"/>
  <c r="L117" i="82" s="1"/>
  <c r="H95" i="82"/>
  <c r="I95" i="82" s="1"/>
  <c r="G115" i="82" s="1"/>
  <c r="G117" i="82" s="1"/>
  <c r="J32" i="82"/>
  <c r="P63" i="82" s="1"/>
  <c r="P64" i="82" s="1"/>
  <c r="AB27" i="47" s="1"/>
  <c r="F24" i="49" s="1"/>
  <c r="E40" i="60" s="1"/>
  <c r="J25" i="82"/>
  <c r="I63" i="82" s="1"/>
  <c r="I64" i="82" s="1"/>
  <c r="U27" i="47" s="1"/>
  <c r="D34" i="82"/>
  <c r="E29" i="49"/>
  <c r="BM44" i="47"/>
  <c r="BN44" i="47"/>
  <c r="BM20" i="47"/>
  <c r="K30" i="68"/>
  <c r="D29" i="49"/>
  <c r="D16" i="49"/>
  <c r="BL19" i="47"/>
  <c r="BN19" i="47" s="1"/>
  <c r="J34" i="83"/>
  <c r="R45" i="83" s="1"/>
  <c r="R46" i="83" s="1"/>
  <c r="AF14" i="47" s="1"/>
  <c r="H34" i="83"/>
  <c r="H23" i="83"/>
  <c r="J23" i="83"/>
  <c r="G45" i="83" s="1"/>
  <c r="G46" i="83" s="1"/>
  <c r="U14" i="47" s="1"/>
  <c r="J19" i="83"/>
  <c r="C45" i="83" s="1"/>
  <c r="C46" i="83" s="1"/>
  <c r="Q14" i="47" s="1"/>
  <c r="H19" i="83"/>
  <c r="H35" i="83"/>
  <c r="J35" i="83"/>
  <c r="S45" i="83" s="1"/>
  <c r="S46" i="83" s="1"/>
  <c r="AG14" i="47" s="1"/>
  <c r="J28" i="83"/>
  <c r="L45" i="83" s="1"/>
  <c r="L46" i="83" s="1"/>
  <c r="Z14" i="47" s="1"/>
  <c r="H28" i="83"/>
  <c r="J29" i="83"/>
  <c r="M45" i="83" s="1"/>
  <c r="M46" i="83" s="1"/>
  <c r="AA14" i="47" s="1"/>
  <c r="H29" i="83"/>
  <c r="D28" i="64"/>
  <c r="D21" i="64" s="1"/>
  <c r="D46" i="64" s="1"/>
  <c r="D48" i="64" s="1"/>
  <c r="G48" i="66"/>
  <c r="G75" i="66" s="1"/>
  <c r="G79" i="66" s="1"/>
  <c r="G80" i="66" s="1"/>
  <c r="G27" i="37"/>
  <c r="C12" i="38"/>
  <c r="C11" i="38" s="1"/>
  <c r="H24" i="83"/>
  <c r="J24" i="83"/>
  <c r="H45" i="83" s="1"/>
  <c r="H46" i="83" s="1"/>
  <c r="V14" i="47" s="1"/>
  <c r="H31" i="83"/>
  <c r="J31" i="83"/>
  <c r="O45" i="83" s="1"/>
  <c r="O46" i="83" s="1"/>
  <c r="AC14" i="47" s="1"/>
  <c r="H32" i="83"/>
  <c r="J32" i="83"/>
  <c r="P45" i="83" s="1"/>
  <c r="P46" i="83" s="1"/>
  <c r="AD14" i="47" s="1"/>
  <c r="H22" i="83"/>
  <c r="J22" i="83"/>
  <c r="F45" i="83" s="1"/>
  <c r="F46" i="83" s="1"/>
  <c r="T14" i="47" s="1"/>
  <c r="G30" i="37"/>
  <c r="A55" i="88"/>
  <c r="E12" i="68"/>
  <c r="C14" i="47"/>
  <c r="J21" i="83"/>
  <c r="H21" i="83"/>
  <c r="J30" i="83"/>
  <c r="N45" i="83" s="1"/>
  <c r="N46" i="83" s="1"/>
  <c r="AB14" i="47" s="1"/>
  <c r="H30" i="83"/>
  <c r="J18" i="83"/>
  <c r="D37" i="83"/>
  <c r="H18" i="83"/>
  <c r="E18" i="83"/>
  <c r="E19" i="83" s="1"/>
  <c r="E20" i="83" s="1"/>
  <c r="E21" i="83" s="1"/>
  <c r="E22" i="83" s="1"/>
  <c r="E23" i="83" s="1"/>
  <c r="E24" i="83" s="1"/>
  <c r="E25" i="83" s="1"/>
  <c r="E26" i="83" s="1"/>
  <c r="E27" i="83" s="1"/>
  <c r="E28" i="83" s="1"/>
  <c r="E29" i="83" s="1"/>
  <c r="J20" i="83"/>
  <c r="D45" i="83" s="1"/>
  <c r="D46" i="83" s="1"/>
  <c r="R14" i="47" s="1"/>
  <c r="H20" i="83"/>
  <c r="H33" i="83"/>
  <c r="J33" i="83"/>
  <c r="H26" i="83"/>
  <c r="J26" i="83"/>
  <c r="J45" i="83" s="1"/>
  <c r="J46" i="83" s="1"/>
  <c r="X14" i="47" s="1"/>
  <c r="H25" i="83"/>
  <c r="J25" i="83"/>
  <c r="I45" i="83" s="1"/>
  <c r="I46" i="83" s="1"/>
  <c r="W14" i="47" s="1"/>
  <c r="H36" i="83"/>
  <c r="J36" i="83"/>
  <c r="T45" i="83" s="1"/>
  <c r="T46" i="83" s="1"/>
  <c r="AH14" i="47" s="1"/>
  <c r="J27" i="83"/>
  <c r="K45" i="83" s="1"/>
  <c r="K46" i="83" s="1"/>
  <c r="Y14" i="47" s="1"/>
  <c r="H27" i="83"/>
  <c r="BL31" i="47"/>
  <c r="G23" i="49"/>
  <c r="E7" i="98" s="1"/>
  <c r="I37" i="84"/>
  <c r="I85" i="84"/>
  <c r="V114" i="84" s="1"/>
  <c r="V116" i="84" s="1"/>
  <c r="I22" i="84"/>
  <c r="I21" i="84"/>
  <c r="C115" i="84"/>
  <c r="C116" i="84" s="1"/>
  <c r="I30" i="84"/>
  <c r="I32" i="84"/>
  <c r="I72" i="84"/>
  <c r="I114" i="84" s="1"/>
  <c r="I116" i="84" s="1"/>
  <c r="I25" i="84"/>
  <c r="I26" i="84"/>
  <c r="I20" i="84"/>
  <c r="I27" i="84"/>
  <c r="I28" i="84"/>
  <c r="I38" i="84"/>
  <c r="I33" i="84"/>
  <c r="I78" i="84"/>
  <c r="O114" i="84" s="1"/>
  <c r="O116" i="84" s="1"/>
  <c r="I81" i="84"/>
  <c r="R114" i="84" s="1"/>
  <c r="R116" i="84" s="1"/>
  <c r="I67" i="84"/>
  <c r="D114" i="84" s="1"/>
  <c r="D116" i="84" s="1"/>
  <c r="I23" i="84"/>
  <c r="I34" i="84"/>
  <c r="I79" i="84"/>
  <c r="P114" i="84" s="1"/>
  <c r="P116" i="84" s="1"/>
  <c r="W48" i="93"/>
  <c r="J39" i="84"/>
  <c r="I35" i="84"/>
  <c r="O37" i="47"/>
  <c r="O36" i="47" s="1"/>
  <c r="D43" i="92"/>
  <c r="E43" i="92" s="1"/>
  <c r="F43" i="92" s="1"/>
  <c r="G43" i="92" s="1"/>
  <c r="H43" i="92" s="1"/>
  <c r="I43" i="92" s="1"/>
  <c r="J43" i="92" s="1"/>
  <c r="K43" i="92" s="1"/>
  <c r="L43" i="92" s="1"/>
  <c r="M43" i="92" s="1"/>
  <c r="N43" i="92" s="1"/>
  <c r="O43" i="92" s="1"/>
  <c r="P43" i="92" s="1"/>
  <c r="Q43" i="92" s="1"/>
  <c r="J86" i="84"/>
  <c r="D48" i="91"/>
  <c r="E48" i="91" s="1"/>
  <c r="F48" i="91" s="1"/>
  <c r="G48" i="91" s="1"/>
  <c r="H48" i="91" s="1"/>
  <c r="I48" i="91" s="1"/>
  <c r="J48" i="91" s="1"/>
  <c r="K48" i="91" s="1"/>
  <c r="L48" i="91" s="1"/>
  <c r="M48" i="91" s="1"/>
  <c r="N48" i="91" s="1"/>
  <c r="O48" i="91" s="1"/>
  <c r="P48" i="91" s="1"/>
  <c r="Q48" i="91" s="1"/>
  <c r="R48" i="91" s="1"/>
  <c r="S48" i="91" s="1"/>
  <c r="T48" i="91" s="1"/>
  <c r="I37" i="87"/>
  <c r="I38" i="87" s="1"/>
  <c r="I39" i="87" s="1"/>
  <c r="B45" i="86"/>
  <c r="AB15" i="47" s="1"/>
  <c r="I37" i="86"/>
  <c r="I38" i="86" s="1"/>
  <c r="I39" i="86" s="1"/>
  <c r="I21" i="82"/>
  <c r="I105" i="82"/>
  <c r="Q115" i="82" s="1"/>
  <c r="Q117" i="82" s="1"/>
  <c r="I97" i="82"/>
  <c r="I115" i="82" s="1"/>
  <c r="I117" i="82" s="1"/>
  <c r="D8" i="91"/>
  <c r="D11" i="91" s="1"/>
  <c r="I19" i="82"/>
  <c r="D20" i="93"/>
  <c r="D30" i="93"/>
  <c r="D24" i="93"/>
  <c r="D32" i="93"/>
  <c r="D35" i="93"/>
  <c r="D37" i="93"/>
  <c r="D22" i="93"/>
  <c r="D33" i="93"/>
  <c r="D25" i="93"/>
  <c r="D34" i="93"/>
  <c r="D36" i="93"/>
  <c r="D27" i="93"/>
  <c r="D19" i="93"/>
  <c r="D28" i="93"/>
  <c r="D31" i="93"/>
  <c r="D18" i="93"/>
  <c r="D23" i="93"/>
  <c r="D29" i="93"/>
  <c r="D26" i="93"/>
  <c r="D21" i="93"/>
  <c r="D38" i="93"/>
  <c r="I96" i="82"/>
  <c r="H115" i="82" s="1"/>
  <c r="H117" i="82" s="1"/>
  <c r="I30" i="82"/>
  <c r="I94" i="82"/>
  <c r="F115" i="82" s="1"/>
  <c r="F117" i="82" s="1"/>
  <c r="E21" i="86"/>
  <c r="D8" i="92"/>
  <c r="D11" i="92" s="1"/>
  <c r="B63" i="82"/>
  <c r="E68" i="84"/>
  <c r="I20" i="82"/>
  <c r="B46" i="84"/>
  <c r="W45" i="84"/>
  <c r="W46" i="84" s="1"/>
  <c r="E20" i="84"/>
  <c r="E26" i="87"/>
  <c r="D42" i="60" l="1"/>
  <c r="C8" i="98"/>
  <c r="C42" i="60"/>
  <c r="B8" i="98"/>
  <c r="B6" i="98"/>
  <c r="C39" i="60"/>
  <c r="I102" i="82"/>
  <c r="N115" i="82" s="1"/>
  <c r="N117" i="82" s="1"/>
  <c r="I28" i="82"/>
  <c r="I25" i="82"/>
  <c r="I33" i="82"/>
  <c r="I101" i="82"/>
  <c r="M115" i="82" s="1"/>
  <c r="M117" i="82" s="1"/>
  <c r="J106" i="82"/>
  <c r="I91" i="82"/>
  <c r="C115" i="82" s="1"/>
  <c r="C117" i="82" s="1"/>
  <c r="I22" i="82"/>
  <c r="I32" i="82"/>
  <c r="I92" i="82"/>
  <c r="D115" i="82" s="1"/>
  <c r="D117" i="82" s="1"/>
  <c r="I26" i="82"/>
  <c r="I103" i="82"/>
  <c r="O115" i="82" s="1"/>
  <c r="O117" i="82" s="1"/>
  <c r="E23" i="49"/>
  <c r="C7" i="98" s="1"/>
  <c r="E24" i="49"/>
  <c r="D40" i="60" s="1"/>
  <c r="J34" i="82"/>
  <c r="I28" i="83"/>
  <c r="BM31" i="47"/>
  <c r="BN31" i="47"/>
  <c r="BM19" i="47"/>
  <c r="C11" i="49"/>
  <c r="C10" i="49" s="1"/>
  <c r="C9" i="49" s="1"/>
  <c r="C45" i="49" s="1"/>
  <c r="K29" i="68"/>
  <c r="I29" i="83"/>
  <c r="K16" i="68"/>
  <c r="I23" i="83"/>
  <c r="I25" i="83"/>
  <c r="I33" i="83"/>
  <c r="H72" i="66"/>
  <c r="I32" i="83"/>
  <c r="I24" i="83"/>
  <c r="I20" i="83"/>
  <c r="I21" i="83"/>
  <c r="I35" i="83"/>
  <c r="D34" i="49"/>
  <c r="D33" i="49"/>
  <c r="D32" i="49" s="1"/>
  <c r="I36" i="83"/>
  <c r="I26" i="83"/>
  <c r="K20" i="83"/>
  <c r="B45" i="83"/>
  <c r="J37" i="83"/>
  <c r="I31" i="83"/>
  <c r="I27" i="83"/>
  <c r="Q45" i="83"/>
  <c r="Q46" i="83" s="1"/>
  <c r="AE14" i="47" s="1"/>
  <c r="K36" i="83"/>
  <c r="I30" i="83"/>
  <c r="E14" i="68"/>
  <c r="C16" i="47"/>
  <c r="E11" i="68"/>
  <c r="C13" i="47"/>
  <c r="I19" i="83"/>
  <c r="I34" i="83"/>
  <c r="B52" i="88"/>
  <c r="U52" i="88" s="1"/>
  <c r="A56" i="88"/>
  <c r="A57" i="88"/>
  <c r="E45" i="83"/>
  <c r="E46" i="83" s="1"/>
  <c r="S14" i="47" s="1"/>
  <c r="K32" i="83"/>
  <c r="I22" i="83"/>
  <c r="I18" i="83"/>
  <c r="BL15" i="47"/>
  <c r="W115" i="84"/>
  <c r="W114" i="84"/>
  <c r="I39" i="84"/>
  <c r="I40" i="84" s="1"/>
  <c r="I41" i="84" s="1"/>
  <c r="I86" i="84"/>
  <c r="I87" i="84" s="1"/>
  <c r="I88" i="84" s="1"/>
  <c r="B117" i="84"/>
  <c r="R43" i="92"/>
  <c r="R37" i="47"/>
  <c r="U48" i="91"/>
  <c r="H77" i="66"/>
  <c r="H78" i="66"/>
  <c r="H73" i="66"/>
  <c r="H75" i="66"/>
  <c r="H76" i="66"/>
  <c r="H74" i="66"/>
  <c r="AE28" i="47"/>
  <c r="B47" i="84"/>
  <c r="B46" i="86"/>
  <c r="AU33" i="47"/>
  <c r="D32" i="91"/>
  <c r="D26" i="91"/>
  <c r="D34" i="91"/>
  <c r="D20" i="91"/>
  <c r="D19" i="91"/>
  <c r="D23" i="91"/>
  <c r="D28" i="91"/>
  <c r="D29" i="91"/>
  <c r="D21" i="91"/>
  <c r="D30" i="91"/>
  <c r="D22" i="91"/>
  <c r="D27" i="91"/>
  <c r="D18" i="91"/>
  <c r="D24" i="91"/>
  <c r="D25" i="91"/>
  <c r="D35" i="91"/>
  <c r="D36" i="91"/>
  <c r="D33" i="91"/>
  <c r="D31" i="91"/>
  <c r="J23" i="93"/>
  <c r="G46" i="93" s="1"/>
  <c r="G47" i="93" s="1"/>
  <c r="G50" i="93" s="1"/>
  <c r="H23" i="93"/>
  <c r="J25" i="93"/>
  <c r="I46" i="93" s="1"/>
  <c r="I47" i="93" s="1"/>
  <c r="I50" i="93" s="1"/>
  <c r="H25" i="93"/>
  <c r="H35" i="93"/>
  <c r="J35" i="93"/>
  <c r="S46" i="93" s="1"/>
  <c r="S47" i="93" s="1"/>
  <c r="S50" i="93" s="1"/>
  <c r="H29" i="93"/>
  <c r="J29" i="93"/>
  <c r="M46" i="93" s="1"/>
  <c r="M47" i="93" s="1"/>
  <c r="M50" i="93" s="1"/>
  <c r="J34" i="93"/>
  <c r="R46" i="93" s="1"/>
  <c r="R47" i="93" s="1"/>
  <c r="R50" i="93" s="1"/>
  <c r="H34" i="93"/>
  <c r="J21" i="93"/>
  <c r="E46" i="93" s="1"/>
  <c r="E47" i="93" s="1"/>
  <c r="E50" i="93" s="1"/>
  <c r="H21" i="93"/>
  <c r="E18" i="93"/>
  <c r="E19" i="93" s="1"/>
  <c r="E20" i="93" s="1"/>
  <c r="E21" i="93" s="1"/>
  <c r="H18" i="93"/>
  <c r="J18" i="93"/>
  <c r="D39" i="93"/>
  <c r="H27" i="93"/>
  <c r="J27" i="93"/>
  <c r="K46" i="93" s="1"/>
  <c r="K47" i="93" s="1"/>
  <c r="K50" i="93" s="1"/>
  <c r="J33" i="93"/>
  <c r="Q46" i="93" s="1"/>
  <c r="Q47" i="93" s="1"/>
  <c r="Q50" i="93" s="1"/>
  <c r="H33" i="93"/>
  <c r="J32" i="93"/>
  <c r="P46" i="93" s="1"/>
  <c r="P47" i="93" s="1"/>
  <c r="P50" i="93" s="1"/>
  <c r="H32" i="93"/>
  <c r="H38" i="93"/>
  <c r="J38" i="93"/>
  <c r="V46" i="93" s="1"/>
  <c r="V47" i="93" s="1"/>
  <c r="V50" i="93" s="1"/>
  <c r="J19" i="93"/>
  <c r="C46" i="93" s="1"/>
  <c r="C47" i="93" s="1"/>
  <c r="C50" i="93" s="1"/>
  <c r="H19" i="93"/>
  <c r="J20" i="93"/>
  <c r="D46" i="93" s="1"/>
  <c r="D47" i="93" s="1"/>
  <c r="D50" i="93" s="1"/>
  <c r="H20" i="93"/>
  <c r="H28" i="93"/>
  <c r="J28" i="93"/>
  <c r="L46" i="93" s="1"/>
  <c r="L47" i="93" s="1"/>
  <c r="L50" i="93" s="1"/>
  <c r="J37" i="93"/>
  <c r="U46" i="93" s="1"/>
  <c r="U47" i="93" s="1"/>
  <c r="U50" i="93" s="1"/>
  <c r="H37" i="93"/>
  <c r="H30" i="93"/>
  <c r="J30" i="93"/>
  <c r="N46" i="93" s="1"/>
  <c r="N47" i="93" s="1"/>
  <c r="N50" i="93" s="1"/>
  <c r="H26" i="93"/>
  <c r="J26" i="93"/>
  <c r="J46" i="93" s="1"/>
  <c r="J47" i="93" s="1"/>
  <c r="J50" i="93" s="1"/>
  <c r="H31" i="93"/>
  <c r="J31" i="93"/>
  <c r="O46" i="93" s="1"/>
  <c r="O47" i="93" s="1"/>
  <c r="O50" i="93" s="1"/>
  <c r="H36" i="93"/>
  <c r="J36" i="93"/>
  <c r="T46" i="93" s="1"/>
  <c r="T47" i="93" s="1"/>
  <c r="T50" i="93" s="1"/>
  <c r="H22" i="93"/>
  <c r="J22" i="93"/>
  <c r="F46" i="93" s="1"/>
  <c r="F47" i="93" s="1"/>
  <c r="F50" i="93" s="1"/>
  <c r="H24" i="93"/>
  <c r="J24" i="93"/>
  <c r="H46" i="93" s="1"/>
  <c r="H47" i="93" s="1"/>
  <c r="H50" i="93" s="1"/>
  <c r="E30" i="83"/>
  <c r="E20" i="82"/>
  <c r="E27" i="87"/>
  <c r="D19" i="92"/>
  <c r="D20" i="92"/>
  <c r="D22" i="92"/>
  <c r="D23" i="92"/>
  <c r="D27" i="92"/>
  <c r="D31" i="92"/>
  <c r="D30" i="92"/>
  <c r="D33" i="92"/>
  <c r="D24" i="92"/>
  <c r="D25" i="92"/>
  <c r="D26" i="92"/>
  <c r="D29" i="92"/>
  <c r="D21" i="92"/>
  <c r="D32" i="92"/>
  <c r="D28" i="92"/>
  <c r="D18" i="92"/>
  <c r="E69" i="84"/>
  <c r="B64" i="82"/>
  <c r="R63" i="82"/>
  <c r="R64" i="82" s="1"/>
  <c r="E21" i="84"/>
  <c r="E93" i="82"/>
  <c r="E22" i="86"/>
  <c r="K37" i="68" l="1"/>
  <c r="C44" i="60"/>
  <c r="C43" i="60" s="1"/>
  <c r="G6" i="98"/>
  <c r="G30" i="49"/>
  <c r="I106" i="82"/>
  <c r="I107" i="82" s="1"/>
  <c r="I108" i="82" s="1"/>
  <c r="B118" i="82"/>
  <c r="I34" i="82"/>
  <c r="I35" i="82" s="1"/>
  <c r="I36" i="82" s="1"/>
  <c r="BM15" i="47"/>
  <c r="BN15" i="47"/>
  <c r="B10" i="98"/>
  <c r="F10" i="49"/>
  <c r="F11" i="49"/>
  <c r="E38" i="60" s="1"/>
  <c r="K36" i="68"/>
  <c r="U45" i="83"/>
  <c r="U46" i="83" s="1"/>
  <c r="B46" i="83"/>
  <c r="I37" i="83"/>
  <c r="I38" i="83" s="1"/>
  <c r="I39" i="83" s="1"/>
  <c r="C57" i="88"/>
  <c r="C51" i="88" s="1"/>
  <c r="D51" i="88" s="1"/>
  <c r="E51" i="88" s="1"/>
  <c r="F51" i="88" s="1"/>
  <c r="G51" i="88" s="1"/>
  <c r="H51" i="88" s="1"/>
  <c r="I51" i="88" s="1"/>
  <c r="J51" i="88" s="1"/>
  <c r="K51" i="88" s="1"/>
  <c r="L51" i="88" s="1"/>
  <c r="M51" i="88" s="1"/>
  <c r="N51" i="88" s="1"/>
  <c r="O51" i="88" s="1"/>
  <c r="P51" i="88" s="1"/>
  <c r="Q51" i="88" s="1"/>
  <c r="R51" i="88" s="1"/>
  <c r="S51" i="88" s="1"/>
  <c r="T51" i="88" s="1"/>
  <c r="D8" i="88"/>
  <c r="D11" i="88" s="1"/>
  <c r="F23" i="49"/>
  <c r="D7" i="98" s="1"/>
  <c r="R36" i="47"/>
  <c r="BL33" i="47"/>
  <c r="BN33" i="47" s="1"/>
  <c r="BL28" i="47"/>
  <c r="BL45" i="47"/>
  <c r="N27" i="47"/>
  <c r="B65" i="82"/>
  <c r="U37" i="47"/>
  <c r="U36" i="47" s="1"/>
  <c r="H79" i="66"/>
  <c r="I22" i="93"/>
  <c r="I31" i="93"/>
  <c r="I38" i="93"/>
  <c r="I20" i="93"/>
  <c r="I25" i="93"/>
  <c r="I19" i="93"/>
  <c r="I18" i="93"/>
  <c r="I35" i="93"/>
  <c r="J24" i="91"/>
  <c r="H46" i="91" s="1"/>
  <c r="H24" i="91"/>
  <c r="J23" i="91"/>
  <c r="G46" i="91" s="1"/>
  <c r="H23" i="91"/>
  <c r="H28" i="91"/>
  <c r="J28" i="91"/>
  <c r="L46" i="91" s="1"/>
  <c r="J36" i="91"/>
  <c r="T46" i="91" s="1"/>
  <c r="H36" i="91"/>
  <c r="H18" i="91"/>
  <c r="D37" i="91"/>
  <c r="J18" i="91"/>
  <c r="E18" i="91"/>
  <c r="E19" i="91" s="1"/>
  <c r="E20" i="91" s="1"/>
  <c r="E21" i="91" s="1"/>
  <c r="H21" i="91"/>
  <c r="J21" i="91"/>
  <c r="H19" i="91"/>
  <c r="J19" i="91"/>
  <c r="C46" i="91" s="1"/>
  <c r="H32" i="91"/>
  <c r="J32" i="91"/>
  <c r="P46" i="91" s="1"/>
  <c r="I34" i="93"/>
  <c r="H33" i="91"/>
  <c r="J33" i="91"/>
  <c r="J30" i="91"/>
  <c r="N46" i="91" s="1"/>
  <c r="H30" i="91"/>
  <c r="J26" i="91"/>
  <c r="J46" i="91" s="1"/>
  <c r="H26" i="91"/>
  <c r="H31" i="91"/>
  <c r="J31" i="91"/>
  <c r="O46" i="91" s="1"/>
  <c r="H25" i="91"/>
  <c r="J25" i="91"/>
  <c r="I46" i="91" s="1"/>
  <c r="H22" i="91"/>
  <c r="J22" i="91"/>
  <c r="F46" i="91" s="1"/>
  <c r="H34" i="91"/>
  <c r="J34" i="91"/>
  <c r="R46" i="91" s="1"/>
  <c r="H35" i="91"/>
  <c r="J35" i="91"/>
  <c r="S46" i="91" s="1"/>
  <c r="J27" i="91"/>
  <c r="K46" i="91" s="1"/>
  <c r="H27" i="91"/>
  <c r="H29" i="91"/>
  <c r="J29" i="91"/>
  <c r="M46" i="91" s="1"/>
  <c r="J20" i="91"/>
  <c r="D46" i="91" s="1"/>
  <c r="H20" i="91"/>
  <c r="I32" i="93"/>
  <c r="I29" i="93"/>
  <c r="I23" i="93"/>
  <c r="I26" i="93"/>
  <c r="I36" i="93"/>
  <c r="I27" i="93"/>
  <c r="I24" i="93"/>
  <c r="I28" i="93"/>
  <c r="I33" i="93"/>
  <c r="J39" i="93"/>
  <c r="B46" i="93"/>
  <c r="I30" i="93"/>
  <c r="I37" i="93"/>
  <c r="I21" i="93"/>
  <c r="D34" i="92"/>
  <c r="J18" i="92"/>
  <c r="E18" i="92"/>
  <c r="H18" i="92"/>
  <c r="J23" i="92"/>
  <c r="G41" i="92" s="1"/>
  <c r="G42" i="92" s="1"/>
  <c r="G45" i="92" s="1"/>
  <c r="H23" i="92"/>
  <c r="E21" i="82"/>
  <c r="E23" i="86"/>
  <c r="J21" i="92"/>
  <c r="E41" i="92" s="1"/>
  <c r="E42" i="92" s="1"/>
  <c r="E45" i="92" s="1"/>
  <c r="H21" i="92"/>
  <c r="J24" i="92"/>
  <c r="H41" i="92" s="1"/>
  <c r="H42" i="92" s="1"/>
  <c r="H45" i="92" s="1"/>
  <c r="H24" i="92"/>
  <c r="J27" i="92"/>
  <c r="K41" i="92" s="1"/>
  <c r="K42" i="92" s="1"/>
  <c r="K45" i="92" s="1"/>
  <c r="H27" i="92"/>
  <c r="J19" i="92"/>
  <c r="C41" i="92" s="1"/>
  <c r="C42" i="92" s="1"/>
  <c r="C45" i="92" s="1"/>
  <c r="H19" i="92"/>
  <c r="E31" i="83"/>
  <c r="J29" i="92"/>
  <c r="M41" i="92" s="1"/>
  <c r="M42" i="92" s="1"/>
  <c r="M45" i="92" s="1"/>
  <c r="H29" i="92"/>
  <c r="E70" i="84"/>
  <c r="J32" i="92"/>
  <c r="P41" i="92" s="1"/>
  <c r="P42" i="92" s="1"/>
  <c r="P45" i="92" s="1"/>
  <c r="H32" i="92"/>
  <c r="J25" i="92"/>
  <c r="I41" i="92" s="1"/>
  <c r="I42" i="92" s="1"/>
  <c r="I45" i="92" s="1"/>
  <c r="H25" i="92"/>
  <c r="J31" i="92"/>
  <c r="O41" i="92" s="1"/>
  <c r="O42" i="92" s="1"/>
  <c r="O45" i="92" s="1"/>
  <c r="H31" i="92"/>
  <c r="J20" i="92"/>
  <c r="D41" i="92" s="1"/>
  <c r="D42" i="92" s="1"/>
  <c r="D45" i="92" s="1"/>
  <c r="H20" i="92"/>
  <c r="E28" i="87"/>
  <c r="E94" i="82"/>
  <c r="J33" i="92"/>
  <c r="Q41" i="92" s="1"/>
  <c r="Q42" i="92" s="1"/>
  <c r="Q45" i="92" s="1"/>
  <c r="H33" i="92"/>
  <c r="E22" i="84"/>
  <c r="E22" i="93"/>
  <c r="J28" i="92"/>
  <c r="L41" i="92" s="1"/>
  <c r="L42" i="92" s="1"/>
  <c r="L45" i="92" s="1"/>
  <c r="H28" i="92"/>
  <c r="J26" i="92"/>
  <c r="J41" i="92" s="1"/>
  <c r="J42" i="92" s="1"/>
  <c r="J45" i="92" s="1"/>
  <c r="H26" i="92"/>
  <c r="J30" i="92"/>
  <c r="N41" i="92" s="1"/>
  <c r="N42" i="92" s="1"/>
  <c r="N45" i="92" s="1"/>
  <c r="H30" i="92"/>
  <c r="J22" i="92"/>
  <c r="F41" i="92" s="1"/>
  <c r="F42" i="92" s="1"/>
  <c r="F45" i="92" s="1"/>
  <c r="H22" i="92"/>
  <c r="D5" i="98" l="1"/>
  <c r="BM28" i="47"/>
  <c r="BN28" i="47"/>
  <c r="B9" i="98"/>
  <c r="BM45" i="47"/>
  <c r="BN45" i="47"/>
  <c r="F29" i="49"/>
  <c r="F9" i="49" s="1"/>
  <c r="D24" i="49"/>
  <c r="C40" i="60" s="1"/>
  <c r="C36" i="60" s="1"/>
  <c r="P14" i="47"/>
  <c r="E11" i="49" s="1"/>
  <c r="D38" i="60" s="1"/>
  <c r="D36" i="60" s="1"/>
  <c r="B47" i="83"/>
  <c r="D21" i="88"/>
  <c r="D25" i="88"/>
  <c r="D27" i="88"/>
  <c r="D22" i="88"/>
  <c r="D31" i="88"/>
  <c r="D18" i="88"/>
  <c r="D26" i="88"/>
  <c r="D24" i="88"/>
  <c r="D23" i="88"/>
  <c r="D32" i="88"/>
  <c r="D30" i="88"/>
  <c r="D29" i="88"/>
  <c r="D19" i="88"/>
  <c r="D36" i="88"/>
  <c r="D20" i="88"/>
  <c r="D28" i="88"/>
  <c r="D35" i="88"/>
  <c r="D33" i="88"/>
  <c r="D34" i="88"/>
  <c r="D23" i="49"/>
  <c r="BL27" i="47"/>
  <c r="BM33" i="47"/>
  <c r="X37" i="47"/>
  <c r="X36" i="47" s="1"/>
  <c r="B47" i="93"/>
  <c r="W46" i="93"/>
  <c r="U51" i="88"/>
  <c r="I18" i="91"/>
  <c r="B45" i="91" s="1"/>
  <c r="I28" i="91"/>
  <c r="L45" i="91" s="1"/>
  <c r="L47" i="91" s="1"/>
  <c r="L50" i="91" s="1"/>
  <c r="AL17" i="47" s="1"/>
  <c r="I28" i="92"/>
  <c r="I31" i="92"/>
  <c r="I29" i="92"/>
  <c r="I34" i="91"/>
  <c r="R45" i="91" s="1"/>
  <c r="R47" i="91" s="1"/>
  <c r="R50" i="91" s="1"/>
  <c r="I25" i="91"/>
  <c r="I45" i="91" s="1"/>
  <c r="I47" i="91" s="1"/>
  <c r="I50" i="91" s="1"/>
  <c r="AI17" i="47" s="1"/>
  <c r="I23" i="91"/>
  <c r="G45" i="91" s="1"/>
  <c r="G47" i="91" s="1"/>
  <c r="G50" i="91" s="1"/>
  <c r="AG17" i="47" s="1"/>
  <c r="I24" i="92"/>
  <c r="I23" i="92"/>
  <c r="I24" i="91"/>
  <c r="H45" i="91" s="1"/>
  <c r="H47" i="91" s="1"/>
  <c r="H50" i="91" s="1"/>
  <c r="AH17" i="47" s="1"/>
  <c r="I20" i="91"/>
  <c r="D45" i="91" s="1"/>
  <c r="D47" i="91" s="1"/>
  <c r="D50" i="91" s="1"/>
  <c r="AD17" i="47" s="1"/>
  <c r="I19" i="91"/>
  <c r="C45" i="91" s="1"/>
  <c r="C47" i="91" s="1"/>
  <c r="C50" i="91" s="1"/>
  <c r="AC17" i="47" s="1"/>
  <c r="I27" i="91"/>
  <c r="K45" i="91" s="1"/>
  <c r="K47" i="91" s="1"/>
  <c r="K50" i="91" s="1"/>
  <c r="AK17" i="47" s="1"/>
  <c r="I22" i="91"/>
  <c r="F45" i="91" s="1"/>
  <c r="F47" i="91" s="1"/>
  <c r="F50" i="91" s="1"/>
  <c r="AF17" i="47" s="1"/>
  <c r="I30" i="91"/>
  <c r="N45" i="91" s="1"/>
  <c r="N47" i="91" s="1"/>
  <c r="N50" i="91" s="1"/>
  <c r="AN17" i="47" s="1"/>
  <c r="I29" i="91"/>
  <c r="M45" i="91" s="1"/>
  <c r="M47" i="91" s="1"/>
  <c r="M50" i="91" s="1"/>
  <c r="AM17" i="47" s="1"/>
  <c r="I21" i="91"/>
  <c r="E45" i="91" s="1"/>
  <c r="K36" i="91"/>
  <c r="Q46" i="91"/>
  <c r="I35" i="91"/>
  <c r="S45" i="91" s="1"/>
  <c r="S47" i="91" s="1"/>
  <c r="S50" i="91" s="1"/>
  <c r="I31" i="91"/>
  <c r="O45" i="91" s="1"/>
  <c r="O47" i="91" s="1"/>
  <c r="O50" i="91" s="1"/>
  <c r="I36" i="91"/>
  <c r="T45" i="91" s="1"/>
  <c r="T47" i="91" s="1"/>
  <c r="T50" i="91" s="1"/>
  <c r="E46" i="91"/>
  <c r="K32" i="91"/>
  <c r="J37" i="91"/>
  <c r="B46" i="91"/>
  <c r="K20" i="91"/>
  <c r="I33" i="91"/>
  <c r="Q45" i="91" s="1"/>
  <c r="I32" i="91"/>
  <c r="P45" i="91" s="1"/>
  <c r="P47" i="91" s="1"/>
  <c r="P50" i="91" s="1"/>
  <c r="AP17" i="47" s="1"/>
  <c r="I26" i="91"/>
  <c r="J45" i="91" s="1"/>
  <c r="J47" i="91" s="1"/>
  <c r="J50" i="91" s="1"/>
  <c r="AJ17" i="47" s="1"/>
  <c r="I27" i="92"/>
  <c r="I20" i="92"/>
  <c r="I39" i="93"/>
  <c r="I40" i="93" s="1"/>
  <c r="I41" i="93" s="1"/>
  <c r="I22" i="92"/>
  <c r="I30" i="92"/>
  <c r="I26" i="92"/>
  <c r="I25" i="92"/>
  <c r="I21" i="92"/>
  <c r="I18" i="92"/>
  <c r="E23" i="84"/>
  <c r="E29" i="87"/>
  <c r="B41" i="92"/>
  <c r="J34" i="92"/>
  <c r="E23" i="93"/>
  <c r="E95" i="82"/>
  <c r="E32" i="83"/>
  <c r="I33" i="92"/>
  <c r="I32" i="92"/>
  <c r="E24" i="86"/>
  <c r="E22" i="91"/>
  <c r="E71" i="84"/>
  <c r="E22" i="82"/>
  <c r="E19" i="92"/>
  <c r="I19" i="92"/>
  <c r="B7" i="98" l="1"/>
  <c r="B4" i="98" s="1"/>
  <c r="D9" i="49"/>
  <c r="D45" i="49" s="1"/>
  <c r="D35" i="60"/>
  <c r="C35" i="60"/>
  <c r="C46" i="60"/>
  <c r="D8" i="98"/>
  <c r="D4" i="98" s="1"/>
  <c r="E42" i="60"/>
  <c r="E36" i="60" s="1"/>
  <c r="BM27" i="47"/>
  <c r="BN27" i="47"/>
  <c r="K24" i="68"/>
  <c r="J35" i="88"/>
  <c r="S49" i="88" s="1"/>
  <c r="S50" i="88" s="1"/>
  <c r="S53" i="88" s="1"/>
  <c r="AG16" i="47" s="1"/>
  <c r="H35" i="88"/>
  <c r="H19" i="88"/>
  <c r="J19" i="88"/>
  <c r="C49" i="88" s="1"/>
  <c r="C50" i="88" s="1"/>
  <c r="C53" i="88" s="1"/>
  <c r="Q16" i="47" s="1"/>
  <c r="J23" i="88"/>
  <c r="G49" i="88" s="1"/>
  <c r="G50" i="88" s="1"/>
  <c r="G53" i="88" s="1"/>
  <c r="U16" i="47" s="1"/>
  <c r="H23" i="88"/>
  <c r="J31" i="88"/>
  <c r="O49" i="88" s="1"/>
  <c r="O50" i="88" s="1"/>
  <c r="O53" i="88" s="1"/>
  <c r="AC16" i="47" s="1"/>
  <c r="H31" i="88"/>
  <c r="H21" i="88"/>
  <c r="J21" i="88"/>
  <c r="H28" i="88"/>
  <c r="J28" i="88"/>
  <c r="L49" i="88" s="1"/>
  <c r="L50" i="88" s="1"/>
  <c r="L53" i="88" s="1"/>
  <c r="Z16" i="47" s="1"/>
  <c r="H29" i="88"/>
  <c r="J29" i="88"/>
  <c r="M49" i="88" s="1"/>
  <c r="M50" i="88" s="1"/>
  <c r="M53" i="88" s="1"/>
  <c r="AA16" i="47" s="1"/>
  <c r="J24" i="88"/>
  <c r="H49" i="88" s="1"/>
  <c r="H50" i="88" s="1"/>
  <c r="H53" i="88" s="1"/>
  <c r="V16" i="47" s="1"/>
  <c r="H24" i="88"/>
  <c r="J22" i="88"/>
  <c r="F49" i="88" s="1"/>
  <c r="F50" i="88" s="1"/>
  <c r="F53" i="88" s="1"/>
  <c r="T16" i="47" s="1"/>
  <c r="H22" i="88"/>
  <c r="J34" i="88"/>
  <c r="R49" i="88" s="1"/>
  <c r="R50" i="88" s="1"/>
  <c r="R53" i="88" s="1"/>
  <c r="AF16" i="47" s="1"/>
  <c r="H34" i="88"/>
  <c r="J20" i="88"/>
  <c r="D49" i="88" s="1"/>
  <c r="D50" i="88" s="1"/>
  <c r="D53" i="88" s="1"/>
  <c r="R16" i="47" s="1"/>
  <c r="H20" i="88"/>
  <c r="H30" i="88"/>
  <c r="J30" i="88"/>
  <c r="N49" i="88" s="1"/>
  <c r="N50" i="88" s="1"/>
  <c r="N53" i="88" s="1"/>
  <c r="AB16" i="47" s="1"/>
  <c r="J26" i="88"/>
  <c r="J49" i="88" s="1"/>
  <c r="J50" i="88" s="1"/>
  <c r="J53" i="88" s="1"/>
  <c r="X16" i="47" s="1"/>
  <c r="H26" i="88"/>
  <c r="J27" i="88"/>
  <c r="K49" i="88" s="1"/>
  <c r="K50" i="88" s="1"/>
  <c r="K53" i="88" s="1"/>
  <c r="Y16" i="47" s="1"/>
  <c r="H27" i="88"/>
  <c r="BL14" i="47"/>
  <c r="E10" i="49"/>
  <c r="J33" i="88"/>
  <c r="H33" i="88"/>
  <c r="J36" i="88"/>
  <c r="T49" i="88" s="1"/>
  <c r="T50" i="88" s="1"/>
  <c r="T53" i="88" s="1"/>
  <c r="H36" i="88"/>
  <c r="H32" i="88"/>
  <c r="J32" i="88"/>
  <c r="P49" i="88" s="1"/>
  <c r="P50" i="88" s="1"/>
  <c r="P53" i="88" s="1"/>
  <c r="AD16" i="47" s="1"/>
  <c r="H18" i="88"/>
  <c r="E18" i="88"/>
  <c r="E19" i="88" s="1"/>
  <c r="E20" i="88" s="1"/>
  <c r="E21" i="88" s="1"/>
  <c r="E22" i="88" s="1"/>
  <c r="E23" i="88" s="1"/>
  <c r="E24" i="88" s="1"/>
  <c r="D37" i="88"/>
  <c r="J18" i="88"/>
  <c r="J25" i="88"/>
  <c r="I49" i="88" s="1"/>
  <c r="I50" i="88" s="1"/>
  <c r="I53" i="88" s="1"/>
  <c r="W16" i="47" s="1"/>
  <c r="H25" i="88"/>
  <c r="K23" i="68"/>
  <c r="BL26" i="47"/>
  <c r="R41" i="92"/>
  <c r="B42" i="92"/>
  <c r="AA37" i="47"/>
  <c r="E34" i="49" s="1"/>
  <c r="D44" i="60" s="1"/>
  <c r="D43" i="60" s="1"/>
  <c r="W47" i="93"/>
  <c r="B50" i="93"/>
  <c r="R40" i="92"/>
  <c r="Q47" i="91"/>
  <c r="Q50" i="91" s="1"/>
  <c r="AQ17" i="47" s="1"/>
  <c r="B47" i="91"/>
  <c r="E47" i="91"/>
  <c r="E50" i="91" s="1"/>
  <c r="AE17" i="47" s="1"/>
  <c r="U45" i="91"/>
  <c r="I37" i="91"/>
  <c r="I38" i="91" s="1"/>
  <c r="I39" i="91" s="1"/>
  <c r="I34" i="92"/>
  <c r="I35" i="92" s="1"/>
  <c r="I36" i="92" s="1"/>
  <c r="U46" i="91"/>
  <c r="E23" i="82"/>
  <c r="E25" i="86"/>
  <c r="E96" i="82"/>
  <c r="E24" i="93"/>
  <c r="E20" i="92"/>
  <c r="E72" i="84"/>
  <c r="E23" i="91"/>
  <c r="E33" i="83"/>
  <c r="E24" i="84"/>
  <c r="E30" i="87"/>
  <c r="C5" i="98" l="1"/>
  <c r="C4" i="98" s="1"/>
  <c r="E9" i="49"/>
  <c r="BM26" i="47"/>
  <c r="BN26" i="47"/>
  <c r="G5" i="98"/>
  <c r="G7" i="98"/>
  <c r="BM14" i="47"/>
  <c r="BN14" i="47"/>
  <c r="I35" i="88"/>
  <c r="I32" i="88"/>
  <c r="I27" i="88"/>
  <c r="I34" i="88"/>
  <c r="I28" i="88"/>
  <c r="I21" i="88"/>
  <c r="I22" i="88"/>
  <c r="I25" i="88"/>
  <c r="I36" i="88"/>
  <c r="I31" i="88"/>
  <c r="BL47" i="47"/>
  <c r="I19" i="88"/>
  <c r="I18" i="88"/>
  <c r="BL13" i="47"/>
  <c r="BL12" i="47" s="1"/>
  <c r="BL11" i="47" s="1"/>
  <c r="I30" i="88"/>
  <c r="I29" i="88"/>
  <c r="I23" i="88"/>
  <c r="B49" i="88"/>
  <c r="J37" i="88"/>
  <c r="K20" i="88"/>
  <c r="I33" i="88"/>
  <c r="I26" i="88"/>
  <c r="I20" i="88"/>
  <c r="I24" i="88"/>
  <c r="E49" i="88"/>
  <c r="E50" i="88" s="1"/>
  <c r="E53" i="88" s="1"/>
  <c r="S16" i="47" s="1"/>
  <c r="K32" i="88"/>
  <c r="Q49" i="88"/>
  <c r="Q50" i="88" s="1"/>
  <c r="Q53" i="88" s="1"/>
  <c r="AE16" i="47" s="1"/>
  <c r="K36" i="88"/>
  <c r="AA36" i="47"/>
  <c r="B45" i="92"/>
  <c r="R42" i="92"/>
  <c r="B50" i="91"/>
  <c r="AB17" i="47" s="1"/>
  <c r="U47" i="91"/>
  <c r="U50" i="91" s="1"/>
  <c r="W50" i="93"/>
  <c r="AD37" i="47"/>
  <c r="C54" i="88"/>
  <c r="E25" i="88"/>
  <c r="E25" i="93"/>
  <c r="E26" i="86"/>
  <c r="E25" i="84"/>
  <c r="E24" i="91"/>
  <c r="E97" i="82"/>
  <c r="E31" i="87"/>
  <c r="E34" i="83"/>
  <c r="E21" i="92"/>
  <c r="E24" i="82"/>
  <c r="E73" i="84"/>
  <c r="BM13" i="47" l="1"/>
  <c r="BN13" i="47"/>
  <c r="BM47" i="47"/>
  <c r="BN47" i="47"/>
  <c r="E33" i="49"/>
  <c r="E32" i="49" s="1"/>
  <c r="E45" i="49" s="1"/>
  <c r="U49" i="88"/>
  <c r="B50" i="88"/>
  <c r="U50" i="88" s="1"/>
  <c r="I37" i="88"/>
  <c r="I38" i="88" s="1"/>
  <c r="I39" i="88" s="1"/>
  <c r="AD36" i="47"/>
  <c r="BL30" i="47"/>
  <c r="BL17" i="47"/>
  <c r="AG37" i="47"/>
  <c r="AG36" i="47" s="1"/>
  <c r="R45" i="92"/>
  <c r="E25" i="91"/>
  <c r="E35" i="83"/>
  <c r="E27" i="86"/>
  <c r="E74" i="84"/>
  <c r="E22" i="92"/>
  <c r="E32" i="87"/>
  <c r="E98" i="82"/>
  <c r="E26" i="84"/>
  <c r="E26" i="93"/>
  <c r="E26" i="88"/>
  <c r="E25" i="82"/>
  <c r="B53" i="88" l="1"/>
  <c r="U53" i="88" s="1"/>
  <c r="BM30" i="47"/>
  <c r="BN30" i="47"/>
  <c r="BM17" i="47"/>
  <c r="BN17" i="47"/>
  <c r="C10" i="98"/>
  <c r="B11" i="98"/>
  <c r="BL29" i="47"/>
  <c r="AJ37" i="47"/>
  <c r="AJ36" i="47" s="1"/>
  <c r="E27" i="84"/>
  <c r="E28" i="86"/>
  <c r="E26" i="82"/>
  <c r="E27" i="93"/>
  <c r="E99" i="82"/>
  <c r="E36" i="83"/>
  <c r="E27" i="88"/>
  <c r="E33" i="87"/>
  <c r="E23" i="92"/>
  <c r="E75" i="84"/>
  <c r="E26" i="91"/>
  <c r="P16" i="47" l="1"/>
  <c r="C9" i="98"/>
  <c r="BM29" i="47"/>
  <c r="BN29" i="47"/>
  <c r="B9" i="60"/>
  <c r="B10" i="60" s="1"/>
  <c r="AG48" i="47"/>
  <c r="AM37" i="47"/>
  <c r="F34" i="49" s="1"/>
  <c r="E44" i="60" s="1"/>
  <c r="E43" i="60" s="1"/>
  <c r="E35" i="60" s="1"/>
  <c r="E76" i="84"/>
  <c r="E34" i="87"/>
  <c r="E100" i="82"/>
  <c r="E28" i="84"/>
  <c r="F36" i="83"/>
  <c r="F22" i="83"/>
  <c r="F18" i="83"/>
  <c r="F21" i="83"/>
  <c r="F20" i="83"/>
  <c r="F19" i="83"/>
  <c r="F24" i="83"/>
  <c r="F23" i="83"/>
  <c r="F25" i="83"/>
  <c r="F26" i="83"/>
  <c r="F27" i="83"/>
  <c r="F28" i="83"/>
  <c r="F29" i="83"/>
  <c r="F30" i="83"/>
  <c r="F31" i="83"/>
  <c r="F32" i="83"/>
  <c r="F33" i="83"/>
  <c r="F34" i="83"/>
  <c r="E28" i="93"/>
  <c r="E29" i="86"/>
  <c r="E28" i="88"/>
  <c r="E27" i="82"/>
  <c r="E27" i="91"/>
  <c r="E24" i="92"/>
  <c r="F35" i="83"/>
  <c r="BL16" i="47" l="1"/>
  <c r="BM16" i="47" s="1"/>
  <c r="C11" i="98"/>
  <c r="C9" i="60"/>
  <c r="C10" i="60" s="1"/>
  <c r="AM36" i="47"/>
  <c r="AP37" i="47"/>
  <c r="E30" i="86"/>
  <c r="E101" i="82"/>
  <c r="E77" i="84"/>
  <c r="E28" i="91"/>
  <c r="E29" i="93"/>
  <c r="E29" i="88"/>
  <c r="E25" i="92"/>
  <c r="E28" i="82"/>
  <c r="E29" i="84"/>
  <c r="E35" i="87"/>
  <c r="BN16" i="47" l="1"/>
  <c r="BL34" i="47"/>
  <c r="F33" i="49"/>
  <c r="F32" i="49" s="1"/>
  <c r="F45" i="49" s="1"/>
  <c r="D46" i="60"/>
  <c r="U48" i="47"/>
  <c r="AP36" i="47"/>
  <c r="AS37" i="47"/>
  <c r="AS36" i="47" s="1"/>
  <c r="D46" i="49"/>
  <c r="K10" i="68"/>
  <c r="K46" i="68" s="1"/>
  <c r="E29" i="91"/>
  <c r="E29" i="82"/>
  <c r="E102" i="82"/>
  <c r="E36" i="87"/>
  <c r="F35" i="87" s="1"/>
  <c r="E30" i="93"/>
  <c r="E31" i="86"/>
  <c r="E26" i="92"/>
  <c r="E30" i="84"/>
  <c r="E30" i="88"/>
  <c r="E78" i="84"/>
  <c r="BM34" i="47" l="1"/>
  <c r="BN34" i="47"/>
  <c r="D9" i="60"/>
  <c r="D10" i="60" s="1"/>
  <c r="D10" i="98"/>
  <c r="E46" i="60"/>
  <c r="H29" i="49"/>
  <c r="BL46" i="47"/>
  <c r="E46" i="49"/>
  <c r="AV37" i="47"/>
  <c r="E31" i="84"/>
  <c r="E30" i="91"/>
  <c r="E31" i="93"/>
  <c r="E27" i="92"/>
  <c r="E30" i="82"/>
  <c r="E103" i="82"/>
  <c r="E31" i="88"/>
  <c r="E32" i="86"/>
  <c r="E79" i="84"/>
  <c r="F36" i="87"/>
  <c r="F20" i="87"/>
  <c r="F19" i="87"/>
  <c r="F18" i="87"/>
  <c r="F21" i="87"/>
  <c r="F22" i="87"/>
  <c r="F23" i="87"/>
  <c r="F24" i="87"/>
  <c r="F25" i="87"/>
  <c r="F26" i="87"/>
  <c r="F27" i="87"/>
  <c r="F28" i="87"/>
  <c r="F29" i="87"/>
  <c r="F30" i="87"/>
  <c r="F31" i="87"/>
  <c r="F32" i="87"/>
  <c r="F33" i="87"/>
  <c r="F34" i="87"/>
  <c r="G42" i="60" l="1"/>
  <c r="G36" i="60" s="1"/>
  <c r="F8" i="98"/>
  <c r="F4" i="98" s="1"/>
  <c r="H9" i="49"/>
  <c r="D9" i="98"/>
  <c r="BM46" i="47"/>
  <c r="BN46" i="47"/>
  <c r="AS48" i="47"/>
  <c r="F46" i="49"/>
  <c r="AV36" i="47"/>
  <c r="AY37" i="47"/>
  <c r="AY36" i="47" s="1"/>
  <c r="E33" i="86"/>
  <c r="E32" i="93"/>
  <c r="E32" i="84"/>
  <c r="E80" i="84"/>
  <c r="E32" i="88"/>
  <c r="E31" i="82"/>
  <c r="E104" i="82"/>
  <c r="E28" i="92"/>
  <c r="E31" i="91"/>
  <c r="D11" i="98" l="1"/>
  <c r="G34" i="49"/>
  <c r="F44" i="60" s="1"/>
  <c r="F43" i="60" s="1"/>
  <c r="G33" i="49"/>
  <c r="G32" i="49" s="1"/>
  <c r="BB37" i="47"/>
  <c r="E34" i="86"/>
  <c r="E33" i="88"/>
  <c r="E33" i="93"/>
  <c r="E29" i="92"/>
  <c r="E32" i="82"/>
  <c r="E105" i="82"/>
  <c r="E32" i="91"/>
  <c r="E81" i="84"/>
  <c r="E33" i="84"/>
  <c r="E10" i="98" l="1"/>
  <c r="BB36" i="47"/>
  <c r="BE37" i="47"/>
  <c r="BE36" i="47" s="1"/>
  <c r="E34" i="88"/>
  <c r="E82" i="84"/>
  <c r="E30" i="92"/>
  <c r="E34" i="84"/>
  <c r="E33" i="82"/>
  <c r="F32" i="82" s="1"/>
  <c r="E35" i="86"/>
  <c r="E33" i="91"/>
  <c r="E34" i="93"/>
  <c r="E9" i="98" l="1"/>
  <c r="BH37" i="47"/>
  <c r="E35" i="88"/>
  <c r="E83" i="84"/>
  <c r="E31" i="92"/>
  <c r="E35" i="93"/>
  <c r="E36" i="86"/>
  <c r="E35" i="84"/>
  <c r="E34" i="91"/>
  <c r="F33" i="82"/>
  <c r="F90" i="82"/>
  <c r="F91" i="82"/>
  <c r="F18" i="82"/>
  <c r="F92" i="82"/>
  <c r="F19" i="82"/>
  <c r="F20" i="82"/>
  <c r="F93" i="82"/>
  <c r="F21" i="82"/>
  <c r="F94" i="82"/>
  <c r="F95" i="82"/>
  <c r="F22" i="82"/>
  <c r="F96" i="82"/>
  <c r="F23" i="82"/>
  <c r="F97" i="82"/>
  <c r="F24" i="82"/>
  <c r="F25" i="82"/>
  <c r="F98" i="82"/>
  <c r="F26" i="82"/>
  <c r="F99" i="82"/>
  <c r="F100" i="82"/>
  <c r="F27" i="82"/>
  <c r="F28" i="82"/>
  <c r="F101" i="82"/>
  <c r="F29" i="82"/>
  <c r="F102" i="82"/>
  <c r="F30" i="82"/>
  <c r="F103" i="82"/>
  <c r="F31" i="82"/>
  <c r="F104" i="82"/>
  <c r="F105" i="82"/>
  <c r="BH36" i="47" l="1"/>
  <c r="BK37" i="47"/>
  <c r="BK36" i="47" s="1"/>
  <c r="E36" i="93"/>
  <c r="F36" i="86"/>
  <c r="F18" i="86"/>
  <c r="F19" i="86"/>
  <c r="F20" i="86"/>
  <c r="F21" i="86"/>
  <c r="F22" i="86"/>
  <c r="F23" i="86"/>
  <c r="F24" i="86"/>
  <c r="F25" i="86"/>
  <c r="F26" i="86"/>
  <c r="F27" i="86"/>
  <c r="F28" i="86"/>
  <c r="F29" i="86"/>
  <c r="F30" i="86"/>
  <c r="F31" i="86"/>
  <c r="F32" i="86"/>
  <c r="F33" i="86"/>
  <c r="F34" i="86"/>
  <c r="E84" i="84"/>
  <c r="E36" i="88"/>
  <c r="E35" i="91"/>
  <c r="E36" i="84"/>
  <c r="E32" i="92"/>
  <c r="F35" i="86"/>
  <c r="H34" i="49" l="1"/>
  <c r="G44" i="60" s="1"/>
  <c r="G43" i="60" s="1"/>
  <c r="G35" i="60" s="1"/>
  <c r="H33" i="49"/>
  <c r="BL36" i="47"/>
  <c r="BL37" i="47"/>
  <c r="BN37" i="47" s="1"/>
  <c r="F36" i="88"/>
  <c r="F18" i="88"/>
  <c r="F19" i="88"/>
  <c r="F20" i="88"/>
  <c r="F21" i="88"/>
  <c r="F22" i="88"/>
  <c r="F23" i="88"/>
  <c r="F24" i="88"/>
  <c r="F25" i="88"/>
  <c r="F26" i="88"/>
  <c r="F27" i="88"/>
  <c r="F28" i="88"/>
  <c r="F29" i="88"/>
  <c r="F30" i="88"/>
  <c r="F31" i="88"/>
  <c r="F32" i="88"/>
  <c r="F33" i="88"/>
  <c r="F34" i="88"/>
  <c r="E33" i="92"/>
  <c r="F32" i="92" s="1"/>
  <c r="E37" i="93"/>
  <c r="E37" i="84"/>
  <c r="E85" i="84"/>
  <c r="E36" i="91"/>
  <c r="F35" i="88"/>
  <c r="H32" i="49" l="1"/>
  <c r="H45" i="49" s="1"/>
  <c r="BN36" i="47"/>
  <c r="F9" i="60"/>
  <c r="E38" i="93"/>
  <c r="F37" i="93" s="1"/>
  <c r="F36" i="91"/>
  <c r="F18" i="91"/>
  <c r="F19" i="91"/>
  <c r="F20" i="91"/>
  <c r="F21" i="91"/>
  <c r="F22" i="91"/>
  <c r="F23" i="91"/>
  <c r="F24" i="91"/>
  <c r="F25" i="91"/>
  <c r="F26" i="91"/>
  <c r="F27" i="91"/>
  <c r="F28" i="91"/>
  <c r="F29" i="91"/>
  <c r="F30" i="91"/>
  <c r="F31" i="91"/>
  <c r="F32" i="91"/>
  <c r="F33" i="91"/>
  <c r="F34" i="91"/>
  <c r="E38" i="84"/>
  <c r="F33" i="92"/>
  <c r="F18" i="92"/>
  <c r="F19" i="92"/>
  <c r="F20" i="92"/>
  <c r="F21" i="92"/>
  <c r="F22" i="92"/>
  <c r="F23" i="92"/>
  <c r="F24" i="92"/>
  <c r="F25" i="92"/>
  <c r="F26" i="92"/>
  <c r="F27" i="92"/>
  <c r="F28" i="92"/>
  <c r="F29" i="92"/>
  <c r="F30" i="92"/>
  <c r="F31" i="92"/>
  <c r="F35" i="91"/>
  <c r="F10" i="98" l="1"/>
  <c r="BM35" i="47"/>
  <c r="BN35" i="47"/>
  <c r="BK48" i="47"/>
  <c r="F38" i="93"/>
  <c r="F18" i="93"/>
  <c r="F19" i="93"/>
  <c r="F20" i="93"/>
  <c r="F21" i="93"/>
  <c r="F22" i="93"/>
  <c r="F23" i="93"/>
  <c r="F24" i="93"/>
  <c r="F25" i="93"/>
  <c r="F26" i="93"/>
  <c r="F27" i="93"/>
  <c r="F28" i="93"/>
  <c r="F29" i="93"/>
  <c r="F30" i="93"/>
  <c r="F31" i="93"/>
  <c r="F32" i="93"/>
  <c r="F33" i="93"/>
  <c r="F34" i="93"/>
  <c r="F35" i="93"/>
  <c r="F36" i="93"/>
  <c r="F38" i="84"/>
  <c r="F65" i="84"/>
  <c r="F18" i="84"/>
  <c r="F66" i="84"/>
  <c r="F19" i="84"/>
  <c r="F67" i="84"/>
  <c r="F68" i="84"/>
  <c r="F20" i="84"/>
  <c r="F69" i="84"/>
  <c r="F21" i="84"/>
  <c r="F70" i="84"/>
  <c r="F22" i="84"/>
  <c r="F23" i="84"/>
  <c r="F71" i="84"/>
  <c r="F24" i="84"/>
  <c r="F72" i="84"/>
  <c r="F25" i="84"/>
  <c r="F73" i="84"/>
  <c r="F26" i="84"/>
  <c r="F74" i="84"/>
  <c r="F27" i="84"/>
  <c r="F75" i="84"/>
  <c r="F28" i="84"/>
  <c r="F76" i="84"/>
  <c r="F29" i="84"/>
  <c r="F77" i="84"/>
  <c r="F78" i="84"/>
  <c r="F30" i="84"/>
  <c r="F79" i="84"/>
  <c r="F31" i="84"/>
  <c r="F32" i="84"/>
  <c r="F80" i="84"/>
  <c r="F81" i="84"/>
  <c r="F33" i="84"/>
  <c r="F82" i="84"/>
  <c r="F34" i="84"/>
  <c r="F35" i="84"/>
  <c r="F83" i="84"/>
  <c r="F36" i="84"/>
  <c r="F84" i="84"/>
  <c r="F85" i="84"/>
  <c r="F37" i="84"/>
  <c r="F9" i="98" l="1"/>
  <c r="G10" i="98"/>
  <c r="G29" i="49"/>
  <c r="BL43" i="47"/>
  <c r="BN43" i="47" s="1"/>
  <c r="F42" i="60" l="1"/>
  <c r="F36" i="60" s="1"/>
  <c r="F35" i="60" s="1"/>
  <c r="F46" i="60" s="1"/>
  <c r="G46" i="60" s="1"/>
  <c r="E8" i="98"/>
  <c r="G9" i="49"/>
  <c r="G45" i="49" s="1"/>
  <c r="E9" i="60" s="1"/>
  <c r="G9" i="60" s="1"/>
  <c r="E11" i="60" s="1"/>
  <c r="G9" i="98"/>
  <c r="F11" i="98"/>
  <c r="BM43" i="47"/>
  <c r="BN32" i="47"/>
  <c r="E4" i="98" l="1"/>
  <c r="G8" i="98"/>
  <c r="E10" i="60"/>
  <c r="F10" i="60" s="1"/>
  <c r="G11" i="60"/>
  <c r="B11" i="60"/>
  <c r="C11" i="60"/>
  <c r="D11" i="60"/>
  <c r="F11" i="60"/>
  <c r="BM32" i="47"/>
  <c r="G4" i="98" l="1"/>
  <c r="E11" i="98"/>
  <c r="G11" i="98" s="1"/>
  <c r="BE48" i="47"/>
  <c r="G46" i="49"/>
  <c r="H46" i="49" s="1"/>
  <c r="K8" i="30" l="1"/>
  <c r="G25" i="37" s="1"/>
  <c r="C11" i="47" s="1"/>
  <c r="BM11" i="47" s="1"/>
  <c r="E46" i="68"/>
  <c r="C20" i="38" l="1"/>
  <c r="G26" i="37"/>
  <c r="D19" i="38" l="1"/>
  <c r="D27" i="38"/>
  <c r="D28" i="38"/>
  <c r="D29" i="38"/>
  <c r="D30" i="38"/>
  <c r="D34" i="38"/>
  <c r="D35" i="38"/>
  <c r="D26" i="38"/>
  <c r="D33" i="38"/>
  <c r="D36" i="38"/>
  <c r="D11" i="38"/>
  <c r="D16" i="38"/>
  <c r="D12" i="38"/>
  <c r="D18" i="38"/>
  <c r="D13" i="38"/>
  <c r="D14" i="38"/>
  <c r="D17" i="38"/>
  <c r="D15" i="38"/>
  <c r="D20" i="38"/>
  <c r="E10" i="68"/>
  <c r="C12" i="47"/>
  <c r="F47" i="49" l="1"/>
  <c r="G47" i="49"/>
  <c r="D47" i="49"/>
  <c r="E47" i="49"/>
  <c r="H47" i="49"/>
  <c r="BM12" i="47"/>
</calcChain>
</file>

<file path=xl/comments1.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10.xml><?xml version="1.0" encoding="utf-8"?>
<comments xmlns="http://schemas.openxmlformats.org/spreadsheetml/2006/main">
  <authors>
    <author>Shirley Cañete</author>
  </authors>
  <commentList>
    <comment ref="C21" authorId="0">
      <text>
        <r>
          <rPr>
            <b/>
            <sz val="9"/>
            <color indexed="81"/>
            <rFont val="Tahoma"/>
            <family val="2"/>
          </rPr>
          <t>Diseño en eleaboracion</t>
        </r>
      </text>
    </comment>
  </commentList>
</comments>
</file>

<file path=xl/comments2.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3.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4.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5.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 ref="I79" authorId="0">
      <text>
        <r>
          <rPr>
            <b/>
            <sz val="8"/>
            <color indexed="81"/>
            <rFont val="Tahoma"/>
            <family val="2"/>
          </rPr>
          <t>Fijar la fecha de elaboracion</t>
        </r>
      </text>
    </comment>
  </commentList>
</comments>
</file>

<file path=xl/comments6.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7.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 ref="I54" authorId="0">
      <text>
        <r>
          <rPr>
            <b/>
            <sz val="8"/>
            <color indexed="81"/>
            <rFont val="Tahoma"/>
            <family val="2"/>
          </rPr>
          <t>Fijar la fecha de elaboracion</t>
        </r>
      </text>
    </comment>
  </commentList>
</comments>
</file>

<file path=xl/comments8.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comments9.xml><?xml version="1.0" encoding="utf-8"?>
<comments xmlns="http://schemas.openxmlformats.org/spreadsheetml/2006/main">
  <authors>
    <author>mrivelli</author>
  </authors>
  <commentList>
    <comment ref="I7" authorId="0">
      <text>
        <r>
          <rPr>
            <b/>
            <sz val="8"/>
            <color indexed="81"/>
            <rFont val="Tahoma"/>
            <family val="2"/>
          </rPr>
          <t>Fijar la fecha de elaboracion</t>
        </r>
      </text>
    </comment>
  </commentList>
</comments>
</file>

<file path=xl/sharedStrings.xml><?xml version="1.0" encoding="utf-8"?>
<sst xmlns="http://schemas.openxmlformats.org/spreadsheetml/2006/main" count="2144" uniqueCount="814">
  <si>
    <t>COSTO</t>
  </si>
  <si>
    <t>Cantidad</t>
  </si>
  <si>
    <t>Responsable</t>
  </si>
  <si>
    <t>TOTAL</t>
  </si>
  <si>
    <t>BID</t>
  </si>
  <si>
    <t>SBCC</t>
  </si>
  <si>
    <t xml:space="preserve">Costo </t>
  </si>
  <si>
    <t>Nombre del Componente/Actividad</t>
  </si>
  <si>
    <t>Nivel</t>
  </si>
  <si>
    <t>Capacitaciones</t>
  </si>
  <si>
    <t>Producto</t>
  </si>
  <si>
    <t>Actividad</t>
  </si>
  <si>
    <t>RESPONSABLES</t>
  </si>
  <si>
    <t>Nombre de la Tarea</t>
  </si>
  <si>
    <t>Inicio</t>
  </si>
  <si>
    <t>Fin</t>
  </si>
  <si>
    <t>T1</t>
  </si>
  <si>
    <t>T2</t>
  </si>
  <si>
    <t>T3</t>
  </si>
  <si>
    <t>T4</t>
  </si>
  <si>
    <t>A.</t>
  </si>
  <si>
    <t>Etapa de preparación, aprobación y cumplimiento de condiciones previas</t>
  </si>
  <si>
    <t>A.1</t>
  </si>
  <si>
    <t>Etapa de preparación del Proyecto</t>
  </si>
  <si>
    <t>A.1.1</t>
  </si>
  <si>
    <t>A.1.2</t>
  </si>
  <si>
    <t>A.1.3</t>
  </si>
  <si>
    <t>A.1.4</t>
  </si>
  <si>
    <t>Misión de Negociación</t>
  </si>
  <si>
    <t>A.1.5</t>
  </si>
  <si>
    <t>Aprobación del Directorio del BID</t>
  </si>
  <si>
    <t>Etapa de aprobación del Contrato de Préstamo</t>
  </si>
  <si>
    <t>A.2.1</t>
  </si>
  <si>
    <t>A.2.2</t>
  </si>
  <si>
    <t>A.2.3</t>
  </si>
  <si>
    <t>A.2.4</t>
  </si>
  <si>
    <t xml:space="preserve">Cumplimiento de condiciones previas al primer desembolso </t>
  </si>
  <si>
    <t>B.</t>
  </si>
  <si>
    <t>Etapa de ejecución del  Programa</t>
  </si>
  <si>
    <t>%</t>
  </si>
  <si>
    <t>Año 1</t>
  </si>
  <si>
    <t>Año 2</t>
  </si>
  <si>
    <t>Año 3</t>
  </si>
  <si>
    <t>Año 4</t>
  </si>
  <si>
    <t>Año 5</t>
  </si>
  <si>
    <t>Total</t>
  </si>
  <si>
    <t>(Expresado en USD.)</t>
  </si>
  <si>
    <t>Categoría de Inversión               (2)</t>
  </si>
  <si>
    <t>TOTAL POR AÑO</t>
  </si>
  <si>
    <t>ACUMULATIVO</t>
  </si>
  <si>
    <t>FUENTE</t>
  </si>
  <si>
    <t>INDICE</t>
  </si>
  <si>
    <t>PEP</t>
  </si>
  <si>
    <t xml:space="preserve">Plan de Ejecución del Programa </t>
  </si>
  <si>
    <t>Comentario</t>
  </si>
  <si>
    <t>Instrumento</t>
  </si>
  <si>
    <t>#</t>
  </si>
  <si>
    <t>Cuadro de Costos Detallado del programa</t>
  </si>
  <si>
    <t>CCD</t>
  </si>
  <si>
    <t>PF M BID</t>
  </si>
  <si>
    <t>Plan Financiero Mensualizado - Recursos del Préstamo BID</t>
  </si>
  <si>
    <t>PF A BID</t>
  </si>
  <si>
    <t>Plan Financiero Anual - Recursos del Préstamo BID</t>
  </si>
  <si>
    <t>Base de cálculo mensualizado para programación financiera BID</t>
  </si>
  <si>
    <t>Requerimientos financieros anualizado BID</t>
  </si>
  <si>
    <t>Este cuadro va en el POD</t>
  </si>
  <si>
    <t>Obras</t>
  </si>
  <si>
    <t>Bienes</t>
  </si>
  <si>
    <t>INFORMACIÓN PARA CARGA INICIAL DEL PLAN DE ADQUISICIONES (EN CURSO Y/O ULTIMO PRESENTADO)</t>
  </si>
  <si>
    <t>OBRAS</t>
  </si>
  <si>
    <t>Unidad Ejecutora:</t>
  </si>
  <si>
    <t>Actividad:</t>
  </si>
  <si>
    <t>Descripción adicional:</t>
  </si>
  <si>
    <t>Método de Selección/Adquisición
(Seleccionar una de las opciones):</t>
  </si>
  <si>
    <t>Cantidad de Lotes :</t>
  </si>
  <si>
    <t>Número de Proceso:</t>
  </si>
  <si>
    <t xml:space="preserve">Monto Estimado </t>
  </si>
  <si>
    <t>Componente Asociado :</t>
  </si>
  <si>
    <t>Método de Revisión (Seleccionar una de las opciones):</t>
  </si>
  <si>
    <t>Fechas</t>
  </si>
  <si>
    <t>Comentarios</t>
  </si>
  <si>
    <t>Ex-Post</t>
  </si>
  <si>
    <t>Monto Estimado, en u$s :</t>
  </si>
  <si>
    <t>Monto Estimado % BID:</t>
  </si>
  <si>
    <t>Monto Estimado % Contraparte:</t>
  </si>
  <si>
    <t>Aviso Especial de Adquisiciones</t>
  </si>
  <si>
    <t>Firma del Contrato</t>
  </si>
  <si>
    <t>Ex-Ante</t>
  </si>
  <si>
    <t>Previsto</t>
  </si>
  <si>
    <t>TOTAL OBRAS</t>
  </si>
  <si>
    <t>Declaración de Licitación Desierta</t>
  </si>
  <si>
    <t>Rechazo de Ofertas</t>
  </si>
  <si>
    <t>BIENES</t>
  </si>
  <si>
    <t>Contrato En Ejecución</t>
  </si>
  <si>
    <t>Método de Adquisición
(Seleccionar una de las opciones):</t>
  </si>
  <si>
    <t>Contrato Terminado</t>
  </si>
  <si>
    <t>Licitación Pública Internacional </t>
  </si>
  <si>
    <t>TOTAL BIENES</t>
  </si>
  <si>
    <t>SERVICIOS DE NO CONSULTORÍA</t>
  </si>
  <si>
    <t>Licitación Pública Internacional con Precalificación</t>
  </si>
  <si>
    <t>Licitación Pública Internacional en 2 etapas </t>
  </si>
  <si>
    <t>Documento de Licitación</t>
  </si>
  <si>
    <t>Licitación Pública Internacional por Lotes </t>
  </si>
  <si>
    <t>TOTAL DE SERVICIOS DE NO CONSULTORIA</t>
  </si>
  <si>
    <t>CONSULTORÍAS FIRMAS</t>
  </si>
  <si>
    <t>Selección Basada en la Calidad </t>
  </si>
  <si>
    <t>Descripción adicional (producto relacionado)</t>
  </si>
  <si>
    <t>Selección Basada en la Calidad y Costo </t>
  </si>
  <si>
    <t>Aviso de Expresiones de Interés</t>
  </si>
  <si>
    <t>Selección basada en las calificaciones de los consultores</t>
  </si>
  <si>
    <t>Llave en mano</t>
  </si>
  <si>
    <t>Bienes </t>
  </si>
  <si>
    <t>Precios Unitarios</t>
  </si>
  <si>
    <t>TOTAL CONSULTORIAS FIRMAS</t>
  </si>
  <si>
    <t>CONSULTORÍAS INDIVIDUOS</t>
  </si>
  <si>
    <t>Suma Alzada</t>
  </si>
  <si>
    <t>Cantidad Estimada de Consultores :</t>
  </si>
  <si>
    <t>Obras </t>
  </si>
  <si>
    <t>Firma Contrato</t>
  </si>
  <si>
    <t>Servicios de No Consultoría </t>
  </si>
  <si>
    <t>3CV</t>
  </si>
  <si>
    <t>TOTAL CONSULTORIAS INDIVIDUALES</t>
  </si>
  <si>
    <t>Suma global</t>
  </si>
  <si>
    <t>Suma global + Gastos Reembolsables</t>
  </si>
  <si>
    <t>Consultoría - Firmas </t>
  </si>
  <si>
    <t>CAPACITACIÓN</t>
  </si>
  <si>
    <t>Tiempo Trabajado</t>
  </si>
  <si>
    <t>Consultoría - Individuos </t>
  </si>
  <si>
    <t>Plan de Capacitación Anual (PCA)</t>
  </si>
  <si>
    <t>Fin de la Actividad</t>
  </si>
  <si>
    <t>TOTAL CAPACITACIÓN</t>
  </si>
  <si>
    <t>Comparación de Precios para Bienes</t>
  </si>
  <si>
    <t>Especificaciones Técnicas</t>
  </si>
  <si>
    <t>SUBPROYECTOS</t>
  </si>
  <si>
    <t>Suministro e instalación de plantas y equipos</t>
  </si>
  <si>
    <t>Objeto de la Transferencia:</t>
  </si>
  <si>
    <t>Cantidad Estimada de Subproyectos:</t>
  </si>
  <si>
    <t>Suministro e instalación de sist. de información</t>
  </si>
  <si>
    <t>Firma del Contrato / Convenio por Adjudicación de los Subproyectos</t>
  </si>
  <si>
    <t>Fecha de 
Transferencia</t>
  </si>
  <si>
    <t>TOTAL SUBPROYECTOS</t>
  </si>
  <si>
    <t>Fecha Estimada</t>
  </si>
  <si>
    <t>Monto Estimado</t>
  </si>
  <si>
    <t>Servicios de no consultoría</t>
  </si>
  <si>
    <t>Individuos</t>
  </si>
  <si>
    <t>Subproyectos</t>
  </si>
  <si>
    <t>Tipo Licitación</t>
  </si>
  <si>
    <t>Firmas</t>
  </si>
  <si>
    <t>No Objeción a los TDRs de la Actividad</t>
  </si>
  <si>
    <t>A.1.6</t>
  </si>
  <si>
    <t>A.2.5</t>
  </si>
  <si>
    <t xml:space="preserve">Aprobación del perfil </t>
  </si>
  <si>
    <t>Preparación del POD</t>
  </si>
  <si>
    <t xml:space="preserve">Misión de Análisis </t>
  </si>
  <si>
    <t>Revisión interna del POD en el BID</t>
  </si>
  <si>
    <t xml:space="preserve">Firma de Contrato BID </t>
  </si>
  <si>
    <t>Envío del Contrato de Préstamo al Congreso Nacional</t>
  </si>
  <si>
    <t>Ratificación Legislativa</t>
  </si>
  <si>
    <t>Preparación de cumplimiento de condiciones previas</t>
  </si>
  <si>
    <t>PLAN DE ADQUISICIONES INICIAL</t>
  </si>
  <si>
    <t>Nombre de la tarea</t>
  </si>
  <si>
    <t>Ejecución</t>
  </si>
  <si>
    <t xml:space="preserve">Inicio </t>
  </si>
  <si>
    <t>Costo Ejecutado</t>
  </si>
  <si>
    <t>% Avance</t>
  </si>
  <si>
    <t>PA G</t>
  </si>
  <si>
    <t>PAI</t>
  </si>
  <si>
    <t xml:space="preserve">Plan de Adquisiciones Inicial </t>
  </si>
  <si>
    <t>Plan de Adquisiciones Global del programa</t>
  </si>
  <si>
    <t>POA año 1</t>
  </si>
  <si>
    <t>Plan Operativo Anual - año 1</t>
  </si>
  <si>
    <t>EDT</t>
  </si>
  <si>
    <t>Estructura de Trabajo</t>
  </si>
  <si>
    <t>Este cuadro va en el Anexo III Acuerdo Fiduciario</t>
  </si>
  <si>
    <t>Va en archivo adjunto en Project</t>
  </si>
  <si>
    <t>Período comprendido:  Año 1 a Año 5</t>
  </si>
  <si>
    <t>Código</t>
  </si>
  <si>
    <t>Costo Planeado</t>
  </si>
  <si>
    <t>Descomposición jerárquica de entregables (productos) del Programa</t>
  </si>
  <si>
    <t>Esta planilla se complementa con la Matriz de Resultados y el Cronogama</t>
  </si>
  <si>
    <t>Presupuesto Detallado de Inversión del Programa</t>
  </si>
  <si>
    <t>Esta planilla se complementa con el Cuadro de Consistencia de Indicadores</t>
  </si>
  <si>
    <t>C. Aux</t>
  </si>
  <si>
    <t>Calculos Auxiliares</t>
  </si>
  <si>
    <t>Detalle de estimaciones de costos que se consolidaron en el presupuesto</t>
  </si>
  <si>
    <t xml:space="preserve">PEP_Gestión de Tiempos_Cronograma de ejecución </t>
  </si>
  <si>
    <t>PEP (Plan de Ejecución del Proyecto)</t>
  </si>
  <si>
    <t>Cuadro de  Costo y Financiamiento del programa (en miles de US$)</t>
  </si>
  <si>
    <t>PLAN FINANCIERO MENSUAL DEL PROGRAMA - FONDOS BID</t>
  </si>
  <si>
    <t>PLAN FINANCIERO ANUAL DEL PROGRAMA</t>
  </si>
  <si>
    <t>CUADRO DE DESEMBOLSO</t>
  </si>
  <si>
    <t>PLAN DE ADQUISICIONES GLOBAL</t>
  </si>
  <si>
    <t>CUADRO DE COSTO DETALLADO</t>
  </si>
  <si>
    <t>CUADRO DE COSTO RESUMIDO</t>
  </si>
  <si>
    <t xml:space="preserve">POA (Plan Operativo Anual) Cronograma de Actividades.  </t>
  </si>
  <si>
    <t>Comp. 1</t>
  </si>
  <si>
    <t>CUADRO DE COSTO</t>
  </si>
  <si>
    <t>Método de Contratación</t>
  </si>
  <si>
    <t>Duración de Contrato</t>
  </si>
  <si>
    <t>SUBTOTAL</t>
  </si>
  <si>
    <t>Plazo de ejecución</t>
  </si>
  <si>
    <t>Proceso Contratación</t>
  </si>
  <si>
    <t>Firma Consultora</t>
  </si>
  <si>
    <t>18 meses</t>
  </si>
  <si>
    <t>T1 - Año 2</t>
  </si>
  <si>
    <t>T2 - Año 3</t>
  </si>
  <si>
    <t>T3 - Año 3</t>
  </si>
  <si>
    <t>T4 - Año 4</t>
  </si>
  <si>
    <t>6 meses</t>
  </si>
  <si>
    <t>1.</t>
  </si>
  <si>
    <t>1.1.1</t>
  </si>
  <si>
    <t>1.1.2</t>
  </si>
  <si>
    <t>1.2.1</t>
  </si>
  <si>
    <t>1.3.1</t>
  </si>
  <si>
    <t>T4 - Año 2</t>
  </si>
  <si>
    <t>T4 - Año 1</t>
  </si>
  <si>
    <t>T2 - Año 2</t>
  </si>
  <si>
    <t>T1 - Año 3</t>
  </si>
  <si>
    <t>T3 - Año 2</t>
  </si>
  <si>
    <t>T3 - Año 4</t>
  </si>
  <si>
    <t>T1 - Año 4</t>
  </si>
  <si>
    <t>Ex ante</t>
  </si>
  <si>
    <t>Programación Año 1</t>
  </si>
  <si>
    <t>Meta del Programa</t>
  </si>
  <si>
    <t>Meta Año 1</t>
  </si>
  <si>
    <t>Medio de Verificación</t>
  </si>
  <si>
    <t>CCR-1</t>
  </si>
  <si>
    <t>Cuadro de Costos Resumido (2)</t>
  </si>
  <si>
    <t>Trimestre 1</t>
  </si>
  <si>
    <t>mes 1</t>
  </si>
  <si>
    <t>mes 2</t>
  </si>
  <si>
    <t>mes 3</t>
  </si>
  <si>
    <t>Trimestre 2</t>
  </si>
  <si>
    <t>mes 4</t>
  </si>
  <si>
    <t>mes 5</t>
  </si>
  <si>
    <t>mes 6</t>
  </si>
  <si>
    <t>Trimestre 3</t>
  </si>
  <si>
    <t>mes 7</t>
  </si>
  <si>
    <t>mes 8</t>
  </si>
  <si>
    <t>mes 9</t>
  </si>
  <si>
    <t>Trimestre 4</t>
  </si>
  <si>
    <t>mes 10</t>
  </si>
  <si>
    <t>mes 11</t>
  </si>
  <si>
    <t>mes 12</t>
  </si>
  <si>
    <t>mes 13</t>
  </si>
  <si>
    <t>mes 14</t>
  </si>
  <si>
    <t>mes 15</t>
  </si>
  <si>
    <t>mes 16</t>
  </si>
  <si>
    <t>mes 17</t>
  </si>
  <si>
    <t>mes 18</t>
  </si>
  <si>
    <t>mes 19</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</si>
  <si>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</si>
  <si>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</si>
  <si>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</si>
  <si>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</si>
  <si>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</si>
  <si>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</si>
  <si>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</si>
  <si>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</si>
  <si>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</si>
  <si>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</si>
  <si>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</si>
  <si>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</si>
  <si>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</si>
  <si>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</si>
  <si>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</si>
  <si>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</si>
  <si>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</si>
  <si>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</si>
  <si>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</si>
  <si>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</si>
  <si>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</si>
  <si>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</si>
  <si>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</si>
  <si>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</si>
  <si>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</si>
  <si>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</si>
  <si>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</si>
  <si>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</si>
  <si>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</si>
  <si>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</si>
  <si>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mes 50</t>
  </si>
  <si>
    <t>mes 51</t>
  </si>
  <si>
    <t>mes 52</t>
  </si>
  <si>
    <t>mes 53</t>
  </si>
  <si>
    <t>mes 54</t>
  </si>
  <si>
    <t>mes 55</t>
  </si>
  <si>
    <t>mes 56</t>
  </si>
  <si>
    <t>mes 57</t>
  </si>
  <si>
    <t>mes 58</t>
  </si>
  <si>
    <t>mes 59</t>
  </si>
  <si>
    <t>mes 60</t>
  </si>
  <si>
    <t>Fiscalización</t>
  </si>
  <si>
    <t>Operación: Programa de Mejoramiento de Caminos Vecinales II (PMCV)</t>
  </si>
  <si>
    <t xml:space="preserve">Programa de Mejoramiento de Caminos Vecinales II (PMCV) </t>
  </si>
  <si>
    <t>Departamento</t>
  </si>
  <si>
    <t>Distrito</t>
  </si>
  <si>
    <t>Tramos</t>
  </si>
  <si>
    <t>Km</t>
  </si>
  <si>
    <t>Redondeo</t>
  </si>
  <si>
    <t>Muestra</t>
  </si>
  <si>
    <t>DFI</t>
  </si>
  <si>
    <t>PVP</t>
  </si>
  <si>
    <t>Costo Según Proyecto C/IVA
USD</t>
  </si>
  <si>
    <t>Costo Según Proyecto
USD/Km</t>
  </si>
  <si>
    <t>ITAPUA</t>
  </si>
  <si>
    <t>La Paz
Jesus</t>
  </si>
  <si>
    <t xml:space="preserve"> La Paz  - Jesus</t>
  </si>
  <si>
    <t>E</t>
  </si>
  <si>
    <t>2Ddo Orden
Alta
8</t>
  </si>
  <si>
    <t>Gral Artigas
Fram</t>
  </si>
  <si>
    <t>Gral. Artigas - Fram</t>
  </si>
  <si>
    <t>2Ddo Orden
Media
12</t>
  </si>
  <si>
    <t>Sub Total</t>
  </si>
  <si>
    <t>ALTO PARANÁ</t>
  </si>
  <si>
    <t>Itakyry</t>
  </si>
  <si>
    <t>Itakyry -Col. Ykua Pora - Rancho Alegre - Nva. Conquista - Ruta 10</t>
  </si>
  <si>
    <t>2Ddo Orden
Baja
21</t>
  </si>
  <si>
    <t>CORDILLERA</t>
  </si>
  <si>
    <t>Arroyos y Esteros</t>
  </si>
  <si>
    <t>Ruta 3 - Cañada - Costa Pucu - Pirapomi</t>
  </si>
  <si>
    <t>3er Orden
Alta
25</t>
  </si>
  <si>
    <t>Altos</t>
  </si>
  <si>
    <t>Altos - Compañía Itagaza</t>
  </si>
  <si>
    <t>SAN PEDRO/   CANINDEYU</t>
  </si>
  <si>
    <t xml:space="preserve">Gral Resquin
</t>
  </si>
  <si>
    <t>San Vicente - Aº Itanara</t>
  </si>
  <si>
    <t>RIPIO</t>
  </si>
  <si>
    <t>Villa Ygatimi
Ype Jhu</t>
  </si>
  <si>
    <t>Villa Ygatymi - Itanarami - Koe Pora - Asent. Primavera - 8 de Diciembre</t>
  </si>
  <si>
    <t>TOTAL DE INTERVENCION</t>
  </si>
  <si>
    <t>MUESTRA (GRUPO 1)</t>
  </si>
  <si>
    <t>USD/Km Promedio</t>
  </si>
  <si>
    <t>GRUPO 2</t>
  </si>
  <si>
    <t>REGION ORIENTAL</t>
  </si>
  <si>
    <t>DEPARTAMENTO</t>
  </si>
  <si>
    <t>DISTRITO</t>
  </si>
  <si>
    <t>TRAMO</t>
  </si>
  <si>
    <t>Coordenada</t>
  </si>
  <si>
    <t>Aº /Rio</t>
  </si>
  <si>
    <t>LONG</t>
  </si>
  <si>
    <t>ANCHO</t>
  </si>
  <si>
    <t>Diseños</t>
  </si>
  <si>
    <t>PARAGUARI</t>
  </si>
  <si>
    <t>Quiindy - Laguna Pyta Oeste - Acahay</t>
  </si>
  <si>
    <t>Aº Balmori</t>
  </si>
  <si>
    <t>CD</t>
  </si>
  <si>
    <t>Aº Rincon</t>
  </si>
  <si>
    <t>Misiones</t>
  </si>
  <si>
    <t>Santa Rosa - San Juan Bechmans; Cerro Costa - San Juan Berchmaans</t>
  </si>
  <si>
    <t>Aº  Sanguri</t>
  </si>
  <si>
    <t>Ruta Asf.Tobati-Oratorio 3 Reyes-Col. 21 de Julio</t>
  </si>
  <si>
    <t>Aº Tobati</t>
  </si>
  <si>
    <t>TOTAL MUESTRA</t>
  </si>
  <si>
    <t>SAN PEDRO</t>
  </si>
  <si>
    <t>Ruta 3-(Calle 10.000)-Cururuo
Emp.S. Isidro-Tajy Care</t>
  </si>
  <si>
    <t>SN</t>
  </si>
  <si>
    <t>Aº Kururuo</t>
  </si>
  <si>
    <t>Aº Capiibary</t>
  </si>
  <si>
    <t>GUAIRA</t>
  </si>
  <si>
    <t>Cruce Emp. V01714 (Pikysyry) Paso Yobaí - San Agustín</t>
  </si>
  <si>
    <t>Aº Yhovy</t>
  </si>
  <si>
    <t>Aº Capiibary(Palmeta)</t>
  </si>
  <si>
    <t>ALTO PARANA</t>
  </si>
  <si>
    <t>Desvio Pakukua - Rio Monday</t>
  </si>
  <si>
    <t>SD</t>
  </si>
  <si>
    <t>Pakukua - Naranjal</t>
  </si>
  <si>
    <t>AMAMBAY</t>
  </si>
  <si>
    <t>Karapai-Cruce Panaderos</t>
  </si>
  <si>
    <t>Rio Aguaray Guazu</t>
  </si>
  <si>
    <t>SUB TOTAL</t>
  </si>
  <si>
    <t>LONGITUD</t>
  </si>
  <si>
    <t>CANTIDAD</t>
  </si>
  <si>
    <t>MISIONES</t>
  </si>
  <si>
    <t>Plazo estimado ejecución (meses)</t>
  </si>
  <si>
    <t>GRUPO 1</t>
  </si>
  <si>
    <t>Grupo 1: Itakyry - Arroyos y Esteros - Altos y Gral Resquin. (80,9 Km)</t>
  </si>
  <si>
    <t>Grupo 2:  La Paz - Gral Artigas Fram y illa Ygatimi Ype Jhu (99 Km)</t>
  </si>
  <si>
    <t>Grupo 1: Paraguari - Misiones - Coordillera y San Pedro (405 ml)</t>
  </si>
  <si>
    <t>Grupo 2:  Guaira - Alto Parana y Amambay (195 ml)</t>
  </si>
  <si>
    <t>60 meses</t>
  </si>
  <si>
    <t>LPI</t>
  </si>
  <si>
    <t>SBMC</t>
  </si>
  <si>
    <t>1-PROGRAMA DE mitigacion de IMPACTOS DIRECTOS</t>
  </si>
  <si>
    <t>Costos (US$)</t>
  </si>
  <si>
    <r>
      <t>Ø</t>
    </r>
    <r>
      <rPr>
        <sz val="7"/>
        <rFont val="Times New Roman"/>
        <family val="1"/>
      </rPr>
      <t xml:space="preserve"> </t>
    </r>
    <r>
      <rPr>
        <sz val="11"/>
        <rFont val="Calibri"/>
        <family val="2"/>
      </rPr>
      <t xml:space="preserve">SUBPrograma DE Recomposición Paisajística </t>
    </r>
  </si>
  <si>
    <t>(*)</t>
  </si>
  <si>
    <r>
      <t>Ø</t>
    </r>
    <r>
      <rPr>
        <sz val="7"/>
        <rFont val="Times New Roman"/>
        <family val="1"/>
      </rPr>
      <t xml:space="preserve"> </t>
    </r>
    <r>
      <rPr>
        <sz val="11"/>
        <rFont val="Calibri"/>
        <family val="2"/>
      </rPr>
      <t>SUBPrograma de Educación Ambiental e Higiene Laboral</t>
    </r>
  </si>
  <si>
    <r>
      <t>Ø</t>
    </r>
    <r>
      <rPr>
        <sz val="7"/>
        <rFont val="Times New Roman"/>
        <family val="1"/>
      </rPr>
      <t xml:space="preserve"> </t>
    </r>
    <r>
      <rPr>
        <sz val="11"/>
        <rFont val="Calibri"/>
        <family val="2"/>
      </rPr>
      <t>SUBPrograma de Señalización Ambiental</t>
    </r>
  </si>
  <si>
    <t>2-PROGRAMA DE mitigacion de IMPACTOS INDIRECTOS</t>
  </si>
  <si>
    <r>
      <t>Ø</t>
    </r>
    <r>
      <rPr>
        <sz val="7"/>
        <rFont val="Times New Roman"/>
        <family val="1"/>
      </rPr>
      <t xml:space="preserve">  </t>
    </r>
    <r>
      <rPr>
        <sz val="11"/>
        <rFont val="Calibri"/>
        <family val="2"/>
      </rPr>
      <t>SUBPrograma de Educación Ambiental</t>
    </r>
  </si>
  <si>
    <r>
      <t>Ø</t>
    </r>
    <r>
      <rPr>
        <sz val="7"/>
        <rFont val="Times New Roman"/>
        <family val="1"/>
      </rPr>
      <t xml:space="preserve">  </t>
    </r>
    <r>
      <rPr>
        <sz val="11"/>
        <rFont val="Calibri"/>
        <family val="2"/>
      </rPr>
      <t>SUBPROGRAMA DE CAPACITACIÓN PARA EL GERENCIAMIENTO AMBIENTAL</t>
    </r>
  </si>
  <si>
    <r>
      <t>Ø</t>
    </r>
    <r>
      <rPr>
        <sz val="7"/>
        <rFont val="Times New Roman"/>
        <family val="1"/>
      </rPr>
      <t xml:space="preserve">  </t>
    </r>
    <r>
      <rPr>
        <sz val="11"/>
        <rFont val="Calibri"/>
        <family val="2"/>
      </rPr>
      <t xml:space="preserve">SUBPrograma de Generación de mANO DE OBRA LOCAL Y GENERO EN ZONA DEL EMPRENDIMIEnTO </t>
    </r>
  </si>
  <si>
    <r>
      <t>Ø</t>
    </r>
    <r>
      <rPr>
        <sz val="7"/>
        <rFont val="Times New Roman"/>
        <family val="1"/>
      </rPr>
      <t xml:space="preserve">  </t>
    </r>
    <r>
      <rPr>
        <sz val="11"/>
        <rFont val="Calibri"/>
        <family val="2"/>
      </rPr>
      <t>SUBprograma de APOYO  a pueblos indigenas</t>
    </r>
  </si>
  <si>
    <t xml:space="preserve">3- Programa de Monitoreo Hidrológico </t>
  </si>
  <si>
    <t>3- Programa DE MONITOREO DEL PLAN DE GESTION socio AMBIENTAL</t>
  </si>
  <si>
    <r>
      <t>Ø</t>
    </r>
    <r>
      <rPr>
        <sz val="7"/>
        <rFont val="Times New Roman"/>
        <family val="1"/>
      </rPr>
      <t xml:space="preserve">  </t>
    </r>
    <r>
      <rPr>
        <sz val="11"/>
        <rFont val="Calibri"/>
        <family val="2"/>
      </rPr>
      <t>SUBPROGRAMA DE MONITOREO Y GESTION SOCIAL Ambiental</t>
    </r>
  </si>
  <si>
    <r>
      <t>Ø</t>
    </r>
    <r>
      <rPr>
        <sz val="7"/>
        <rFont val="Times New Roman"/>
        <family val="1"/>
      </rPr>
      <t xml:space="preserve"> </t>
    </r>
    <r>
      <rPr>
        <sz val="11"/>
        <rFont val="Calibri"/>
        <family val="2"/>
      </rPr>
      <t>SUBprograma de Apoyo a la Supervisión AmbieNtal</t>
    </r>
  </si>
  <si>
    <t>COSTO TOTAL</t>
  </si>
  <si>
    <t>firma consultora</t>
  </si>
  <si>
    <t>CCIN</t>
  </si>
  <si>
    <t xml:space="preserve">Convenios con DINAC </t>
  </si>
  <si>
    <t>SCC</t>
  </si>
  <si>
    <t>Consultoría de Apoyo a la Supervisión Ambiental</t>
  </si>
  <si>
    <r>
      <t xml:space="preserve">Consultoría de Diseño y </t>
    </r>
    <r>
      <rPr>
        <sz val="10"/>
        <rFont val="Calibri"/>
        <family val="2"/>
        <scheme val="minor"/>
      </rPr>
      <t>Capacitación para el Gerenciamiento Ambiental</t>
    </r>
  </si>
  <si>
    <r>
      <t>Consultoría "</t>
    </r>
    <r>
      <rPr>
        <sz val="10"/>
        <rFont val="Calibri"/>
        <family val="2"/>
        <scheme val="minor"/>
      </rPr>
      <t>Monitoreo y Gestión Social Ambiental"</t>
    </r>
  </si>
  <si>
    <t>Obra</t>
  </si>
  <si>
    <t>Tipo de Contratación</t>
  </si>
  <si>
    <t>Consultoría</t>
  </si>
  <si>
    <t>ECATEF/DCV</t>
  </si>
  <si>
    <t>CRONOGRAMA DE DESEMBOLSO ESTIMADO</t>
  </si>
  <si>
    <t xml:space="preserve">OBRA: </t>
  </si>
  <si>
    <t>CONTRATISTA:</t>
  </si>
  <si>
    <t>FECHA:</t>
  </si>
  <si>
    <t>USD</t>
  </si>
  <si>
    <t>Guaranies (Gs) o Dolares (USD)</t>
  </si>
  <si>
    <t>TASA CAMBIARIA:</t>
  </si>
  <si>
    <t>Gs</t>
  </si>
  <si>
    <t>%  FINANCIACIÓN EXTERNA:</t>
  </si>
  <si>
    <t>(ingresar un valor entre 0 y 100)</t>
  </si>
  <si>
    <t>%  FINANCIACIÓN LOCAL:</t>
  </si>
  <si>
    <t>ANTICIPO %:</t>
  </si>
  <si>
    <t>MES/AÑO:</t>
  </si>
  <si>
    <t>FECHA DEL PRIMER DESEMBOLSO</t>
  </si>
  <si>
    <t>Redondeo:</t>
  </si>
  <si>
    <t>MES</t>
  </si>
  <si>
    <t>PORCENTAJE</t>
  </si>
  <si>
    <t>% AVANCE (Físico)</t>
  </si>
  <si>
    <t xml:space="preserve">MONTO ACUMULADO CON ANTICIPO </t>
  </si>
  <si>
    <t>% AVANCE (Financiero)</t>
  </si>
  <si>
    <t>MES DE DESEMBOLSO</t>
  </si>
  <si>
    <t>IVA DEL MONTO MENSUAL</t>
  </si>
  <si>
    <t>Suma:</t>
  </si>
  <si>
    <t>Obs.: Montos de los Desembolsos en Guaranies.</t>
  </si>
  <si>
    <t>Diferencia:</t>
  </si>
  <si>
    <t>LOCAL</t>
  </si>
  <si>
    <t>EXTERNO</t>
  </si>
  <si>
    <t>LONGITUD:</t>
  </si>
  <si>
    <t>71 Ml</t>
  </si>
  <si>
    <t>Mantenimiento Caminos Vecinales</t>
  </si>
  <si>
    <t>total + 45%/18</t>
  </si>
  <si>
    <t>Grupo 1: Paraguari - Misiones - Coordillera y San Pedro (405 ml) Fiscalizacion</t>
  </si>
  <si>
    <t>Grupo 2:  Guaira - Alto Parana y Amambay (195 ml) Fiscalizacion</t>
  </si>
  <si>
    <t>Grupo 1: Itakyry - Arroyos y Esteros - Altos y Gral Resquin. (80,9 Km)- Fiscalización</t>
  </si>
  <si>
    <t>Grupo 1: Itakyry - Arroyos y Esteros - Altos y Gral Resquin. (80,9 Km)- Fiscaliszación</t>
  </si>
  <si>
    <r>
      <t xml:space="preserve">Consultoría para desarrollo de la </t>
    </r>
    <r>
      <rPr>
        <sz val="10"/>
        <rFont val="Calibri"/>
        <family val="2"/>
        <scheme val="minor"/>
      </rPr>
      <t>generación de mano de obra local y genero en zona de emprendimiento</t>
    </r>
  </si>
  <si>
    <r>
      <t xml:space="preserve">Consultoría para desarrollo de apoyo </t>
    </r>
    <r>
      <rPr>
        <sz val="10"/>
        <rFont val="Calibri"/>
        <family val="2"/>
        <scheme val="minor"/>
      </rPr>
      <t>a pueblos indígenas</t>
    </r>
  </si>
  <si>
    <t>ECATEF/DVC</t>
  </si>
  <si>
    <t>Convenios</t>
  </si>
  <si>
    <t>T2 - Año 4</t>
  </si>
  <si>
    <t>T4 - Año 5</t>
  </si>
  <si>
    <t>T1 - Año 1</t>
  </si>
  <si>
    <t>T2 - Año 1</t>
  </si>
  <si>
    <t>15 meses</t>
  </si>
  <si>
    <t>20 meses</t>
  </si>
  <si>
    <t>21 meses</t>
  </si>
  <si>
    <t>23 meses</t>
  </si>
  <si>
    <t>T1 - Año 5</t>
  </si>
  <si>
    <t>Inicio de servicios de ECATEF para el Programa PR-L1092</t>
  </si>
  <si>
    <t>Contratación de Firma Constructora para rehabilitación de Caminos Vecinales - Grupo 2:  La Paz - Gral. Artigas Fram y illa Ygatimi Ype Jhu (99 Km)</t>
  </si>
  <si>
    <t>Contratación de Firma Consultora para la Auditoria Externa del Programa PR-L1092</t>
  </si>
  <si>
    <t>Contratación de Firma Consultora para la Evaluación Intermedia del Programa</t>
  </si>
  <si>
    <t>Contratación de Firma Consultora para la Evaluación Final del Programa</t>
  </si>
  <si>
    <t>Continuación de los servicios de la ECATEF para el Programa PR-L1092</t>
  </si>
  <si>
    <t>Contratación de Firma Constructora para reemplazo de puentes - Grupo 1: Paraguarí - Misiones - Cordillera y San Pedro (405 ml)</t>
  </si>
  <si>
    <t>Contratación de Firma Constructora para reemplazo de puentes - Grupo 2:  Guaira - Alto Paraná y Amambay (195 ml)</t>
  </si>
  <si>
    <t>Contratación de Firma Consultora para Fiscalización de rehabilitación de Caminos Grupo 1</t>
  </si>
  <si>
    <t>Contratación de Firma Consultora para Fiscalización de rehabilitación de Caminos Grupo 2</t>
  </si>
  <si>
    <t>Contratación de Firma Consultora para Fiscalización de reemplazo de puentes Grupo 1</t>
  </si>
  <si>
    <t>Contratación de Firma Consultora para Fiscalización de reemplazo de puentes Grupo 2</t>
  </si>
  <si>
    <t>Mes 1</t>
  </si>
  <si>
    <t>Mes 2</t>
  </si>
  <si>
    <t>Mes 3</t>
  </si>
  <si>
    <t>Mes 4</t>
  </si>
  <si>
    <t>Mes 5</t>
  </si>
  <si>
    <t>Mes 6</t>
  </si>
  <si>
    <t>Mes 7</t>
  </si>
  <si>
    <t>Mes 8</t>
  </si>
  <si>
    <t>Mes 9</t>
  </si>
  <si>
    <t>Mes 10</t>
  </si>
  <si>
    <t>Mes 11</t>
  </si>
  <si>
    <t>Mes 12</t>
  </si>
  <si>
    <t>Mes 13</t>
  </si>
  <si>
    <t>Mes 14</t>
  </si>
  <si>
    <t>Mes 15</t>
  </si>
  <si>
    <t>Mes 16</t>
  </si>
  <si>
    <t>Mes 17</t>
  </si>
  <si>
    <t>Mes 18</t>
  </si>
  <si>
    <t>Mes 19</t>
  </si>
  <si>
    <t>Contrato Firmado</t>
  </si>
  <si>
    <t>Mes 20</t>
  </si>
  <si>
    <t>Mes 21</t>
  </si>
  <si>
    <t>Mes 22</t>
  </si>
  <si>
    <t>Mes 23</t>
  </si>
  <si>
    <t>Mes 24</t>
  </si>
  <si>
    <t>Mes 25</t>
  </si>
  <si>
    <t>Mes 26</t>
  </si>
  <si>
    <t>Mes 27</t>
  </si>
  <si>
    <t>Mes 28</t>
  </si>
  <si>
    <t>Mes 29</t>
  </si>
  <si>
    <t>Mes 30</t>
  </si>
  <si>
    <t>Mes 31</t>
  </si>
  <si>
    <t>Mes 32</t>
  </si>
  <si>
    <t>Mes 33</t>
  </si>
  <si>
    <t>Mes 34</t>
  </si>
  <si>
    <t>Mes 35</t>
  </si>
  <si>
    <t>Mes 36</t>
  </si>
  <si>
    <t>Mes 37</t>
  </si>
  <si>
    <t>Mes 38</t>
  </si>
  <si>
    <t>Mes 39</t>
  </si>
  <si>
    <t>Mes 40</t>
  </si>
  <si>
    <t>Mes 41</t>
  </si>
  <si>
    <t>Mes 42</t>
  </si>
  <si>
    <t>Mes 43</t>
  </si>
  <si>
    <t>Mes 44</t>
  </si>
  <si>
    <t>Mes 45</t>
  </si>
  <si>
    <t>Mes 46</t>
  </si>
  <si>
    <t>Mes 47</t>
  </si>
  <si>
    <t>Mes 48</t>
  </si>
  <si>
    <t>Mes 49</t>
  </si>
  <si>
    <t>Mes 50</t>
  </si>
  <si>
    <t>Mes 51</t>
  </si>
  <si>
    <t>Mes 52</t>
  </si>
  <si>
    <t>Mes 53</t>
  </si>
  <si>
    <t>Mes 54</t>
  </si>
  <si>
    <t>Mes 55</t>
  </si>
  <si>
    <t>Mes 56</t>
  </si>
  <si>
    <t>Mes 57</t>
  </si>
  <si>
    <t>Mes 58</t>
  </si>
  <si>
    <t>Mes 59</t>
  </si>
  <si>
    <t>Mes 60</t>
  </si>
  <si>
    <t>Caledario Project</t>
  </si>
  <si>
    <t>1.3.2</t>
  </si>
  <si>
    <t>Inicio de proceso de contratación</t>
  </si>
  <si>
    <t>2do Orden
Baja
34</t>
  </si>
  <si>
    <t>2do Orden
Baja
21</t>
  </si>
  <si>
    <t>Costo diseño MUESTRA</t>
  </si>
  <si>
    <t>Costo diseño nuevo</t>
  </si>
  <si>
    <t>Muestra Caminos</t>
  </si>
  <si>
    <t>Muestra Puentes</t>
  </si>
  <si>
    <t>Muestra Operación</t>
  </si>
  <si>
    <t>Total Muestra</t>
  </si>
  <si>
    <t>Anticipo</t>
  </si>
  <si>
    <t>Mes 0</t>
  </si>
  <si>
    <r>
      <t xml:space="preserve">Tiempo estimado de ejecución de las obras (para ambos grupos loteados): </t>
    </r>
    <r>
      <rPr>
        <b/>
        <sz val="10"/>
        <color theme="1"/>
        <rFont val="Calibri"/>
        <family val="2"/>
        <scheme val="minor"/>
      </rPr>
      <t>18 meses</t>
    </r>
    <r>
      <rPr>
        <sz val="10"/>
        <rFont val="Calibri"/>
        <family val="2"/>
        <scheme val="minor"/>
      </rPr>
      <t>.</t>
    </r>
  </si>
  <si>
    <t>TOTAL CONVENIOS (TRASFERENCIAS)</t>
  </si>
  <si>
    <t>MdR</t>
  </si>
  <si>
    <t>Matriz de Resultados</t>
  </si>
  <si>
    <t>Indicadores de impacto</t>
  </si>
  <si>
    <t>Línea de Base</t>
  </si>
  <si>
    <t>Meta (2020)</t>
  </si>
  <si>
    <t>Resultados esperados del proyecto</t>
  </si>
  <si>
    <t>Reducción de los costos de transporte de los usuarios de los caminos intervenidos y mejora de la calidad de la infraestructura provista</t>
  </si>
  <si>
    <t>Indicadores de resultados</t>
  </si>
  <si>
    <t>Medios de verificación</t>
  </si>
  <si>
    <t>/ Comentarios</t>
  </si>
  <si>
    <t>Línea de Base (2015)</t>
  </si>
  <si>
    <t>Promedio flota</t>
  </si>
  <si>
    <t>DCV - BID</t>
  </si>
  <si>
    <t>-</t>
  </si>
  <si>
    <t>Tránsito en los caminos intervenidos (número de vehículos)</t>
  </si>
  <si>
    <t>Tránsito Promedio Diario Anual (TPDA)</t>
  </si>
  <si>
    <t xml:space="preserve">Considera todos los tipos de vehículos; resulta del promedio de los TPDA de los tramos de la muestra, ponderados por la longitud de cada tramo. </t>
  </si>
  <si>
    <t>Fuente: conteos de tránsito realizados por la DCV.</t>
  </si>
  <si>
    <t xml:space="preserve">% de días en el año con los camino transitables  </t>
  </si>
  <si>
    <t>Días en el año en que el camino es no transitable. Línea de base es estimación propia en base a registro pluviométrico oficial. Los caminos serán transitables en todo tiempo una vez sean intervenidos.</t>
  </si>
  <si>
    <t>Productos esperados del proyecto</t>
  </si>
  <si>
    <t>Componente 1. Obras civiles y supervisión</t>
  </si>
  <si>
    <t>Indicadores de producto</t>
  </si>
  <si>
    <t>Meta acumulada</t>
  </si>
  <si>
    <t>Acta de recepción provisoria de las obras.</t>
  </si>
  <si>
    <t>PD A</t>
  </si>
  <si>
    <t>Plan de Desembolso Anual</t>
  </si>
  <si>
    <t>3 meses despues de inicio de obra</t>
  </si>
  <si>
    <t>Componente I. Obras Civiles y Supervisión</t>
  </si>
  <si>
    <t>45% Variable</t>
  </si>
  <si>
    <t>RED DE CAMINOS Y PROPUESTA DE ESTRATEGIA DE MANTENIMIENTO</t>
  </si>
  <si>
    <t>Programa Nacional de Caminos Vecinales (PR-L1084)</t>
  </si>
  <si>
    <t>ESTRATEGIA  DE MANTENIMIENTO</t>
  </si>
  <si>
    <t>Caaguazú</t>
  </si>
  <si>
    <t>Cruce PY13 - 3 de Febrero -Colonias Unidas</t>
  </si>
  <si>
    <t>CONTRATO</t>
  </si>
  <si>
    <t>PY 13 - Tarumai - Carpa Cue - San Joaquín</t>
  </si>
  <si>
    <t>Santa Rosa del Mbutuy - San Joaquin</t>
  </si>
  <si>
    <t>Caazapá</t>
  </si>
  <si>
    <t>Boquerón - San Francisco</t>
  </si>
  <si>
    <t>CONVENIO</t>
  </si>
  <si>
    <t>San Francisco - Buena Vista</t>
  </si>
  <si>
    <t>San Francisco - San Juan Nepomuceno</t>
  </si>
  <si>
    <t>Canindeyu</t>
  </si>
  <si>
    <t>Col. Fortuna - Col. Nueva Durango - Asentamiento Maracaná</t>
  </si>
  <si>
    <t>Ruta 10 Araujo Cue</t>
  </si>
  <si>
    <t>Luz Bella - Manduará - Yasy Cañy</t>
  </si>
  <si>
    <t>5.05 Colonia Santa Clara - La Paloma</t>
  </si>
  <si>
    <t>San Pedro</t>
  </si>
  <si>
    <t>San Pablo - Estero Yetyty - Volendam</t>
  </si>
  <si>
    <t>Nueva Germania - A° Ata - Takuaty</t>
  </si>
  <si>
    <t>Lima - Quiindy</t>
  </si>
  <si>
    <t>Quiindy Naranjito</t>
  </si>
  <si>
    <t>Choré - Gral. Aquino</t>
  </si>
  <si>
    <t>Choré - Cocuerá  - San Pablo</t>
  </si>
  <si>
    <t>TOTALES</t>
  </si>
  <si>
    <t>ESTRATEGIA DE MANTENIMIENTO</t>
  </si>
  <si>
    <t>ESTRATEGIA DE MANTENIMIENTO - PRÉSTAMO BID PR-L1092</t>
  </si>
  <si>
    <t>Programa Nacional de Caminos Vecinales (PR-L1092)</t>
  </si>
  <si>
    <t>CRONOGRAMA FÍSICO-FINANCIERO</t>
  </si>
  <si>
    <t>Longitud (Km)</t>
  </si>
  <si>
    <t>Estrategia de Mantenimiento</t>
  </si>
  <si>
    <t>CONCEPCIÓN</t>
  </si>
  <si>
    <t xml:space="preserve">Tramo 1: Concepción - Ko'e Porá - Jhuguá Rivas </t>
  </si>
  <si>
    <t>AÑO 2017</t>
  </si>
  <si>
    <t>AÑO</t>
  </si>
  <si>
    <t>TOTAL (US$)</t>
  </si>
  <si>
    <t xml:space="preserve">Tramo 2: Loreto - Empalme VI-402-b y Acceso a Culandrillo  </t>
  </si>
  <si>
    <t>AVANCE (km)</t>
  </si>
  <si>
    <t>Loreto – Jhuguá Po'i - Paso Barreto</t>
  </si>
  <si>
    <t>DESEMBOLSO (US$)</t>
  </si>
  <si>
    <t>Colonia Jorge Sebastián Miranda - Paso Barreto</t>
  </si>
  <si>
    <t>ACUMULADO (US$)</t>
  </si>
  <si>
    <t>Subtotal</t>
  </si>
  <si>
    <t>CANINDEYÚ</t>
  </si>
  <si>
    <t>Ruta 10 - Colonia Guadalupe</t>
  </si>
  <si>
    <t>Colonia Guadalupe - Camino 3</t>
  </si>
  <si>
    <t>Costo de Mantenimiento</t>
  </si>
  <si>
    <r>
      <t>(US</t>
    </r>
    <r>
      <rPr>
        <sz val="10"/>
        <rFont val="Arial"/>
        <family val="2"/>
      </rPr>
      <t>$</t>
    </r>
    <r>
      <rPr>
        <sz val="10"/>
        <rFont val="Arial"/>
        <family val="2"/>
      </rPr>
      <t>/km/año)</t>
    </r>
  </si>
  <si>
    <t>Itakyry -Colonia Ykua Porá - Rancho Alegre - Nueva Conquista - Ruta 10</t>
  </si>
  <si>
    <t>AÑO 2018</t>
  </si>
  <si>
    <t xml:space="preserve">Supercarretera - Asentamiento Santa María - SECCIÓN 1 </t>
  </si>
  <si>
    <t>Supercarretera - Asentamiento Santa María - SECCIÓN 2</t>
  </si>
  <si>
    <t>Arroyos 
y Esteros</t>
  </si>
  <si>
    <t>Ruta 3 - Cañada - Costa Pucú - Pirapomí</t>
  </si>
  <si>
    <t>CAAZAPÁ</t>
  </si>
  <si>
    <t>Abaí - Tarumá - Tuna</t>
  </si>
  <si>
    <t>Cruce Borda - San Agustín</t>
  </si>
  <si>
    <t>Gral. Morínigo - San Antonio - Caazapá</t>
  </si>
  <si>
    <t>Fortuna Guazú - Cabecerita</t>
  </si>
  <si>
    <t>ITAPÚA</t>
  </si>
  <si>
    <t xml:space="preserve"> La Paz  - Jesús</t>
  </si>
  <si>
    <t>AÑO 2019</t>
  </si>
  <si>
    <t>Colonia Iruña-Maestro Fermín-Empalme Ruta Frutika-Mayor Otaño</t>
  </si>
  <si>
    <t>Gral. Delgado-San Dionisio-Cristo Rey-Potrero Ybaté</t>
  </si>
  <si>
    <t>SAN PEDRO/   CANINDEYÚ</t>
  </si>
  <si>
    <t>San Vicente - Aº Itanará</t>
  </si>
  <si>
    <t>Villa Ygatimi - Itanaramí - Ko'e Pora - Asentamiento Primavera - 8 de Diciembre</t>
  </si>
  <si>
    <t>TOTAL (km)</t>
  </si>
  <si>
    <t>Mantenidos por Contrato</t>
  </si>
  <si>
    <t>Mantenidos por Convenio</t>
  </si>
  <si>
    <t xml:space="preserve">Total </t>
  </si>
  <si>
    <t>CAMINOS A SER INCORPORADOS AL PR-L1092 (además de los 504,90 km)</t>
  </si>
  <si>
    <t>GRAL. RESQUÍN - SAN VICENTE</t>
  </si>
  <si>
    <t>Subtotal1</t>
  </si>
  <si>
    <t>CAAZAPA - COLONIA COSME</t>
  </si>
  <si>
    <t>BOQUERON -  BUENA VISTA</t>
  </si>
  <si>
    <t>Subtotal2</t>
  </si>
  <si>
    <t>GUAIRÁ</t>
  </si>
  <si>
    <t>Potrero del Carmen - Río Tebicuarymí</t>
  </si>
  <si>
    <t>Potrero del Carmen - Yroysá</t>
  </si>
  <si>
    <t>Pireka - Fassardi</t>
  </si>
  <si>
    <t>Itacurubi - Cerro Punta</t>
  </si>
  <si>
    <t>Colonia Independencia - Natalicio Talavera</t>
  </si>
  <si>
    <t>Itapé - Villarica</t>
  </si>
  <si>
    <t>AÑO 2020</t>
  </si>
  <si>
    <t>YBY PYTA - CARUPERAMI - BRITEZ CUÉ</t>
  </si>
  <si>
    <t>TOTAL A SER INCORPORADO (km)</t>
  </si>
  <si>
    <t>Proyecciòn de desembolso</t>
  </si>
  <si>
    <t>1.4.1</t>
  </si>
  <si>
    <t>3ra Etapa de Contrataciòn financiado por el Programa PR-L1092
1ra Etapa de Contrataciòn financiado por el Programa PR-L1019
2da Etapa de Contrataciòn financiado por el Programa PR-L1084</t>
  </si>
  <si>
    <t>T1 . Año 2</t>
  </si>
  <si>
    <t>1.4.2</t>
  </si>
  <si>
    <t>Contratación de Firma Consultora para el desarrollo de diseños de caminos - Grupo 2</t>
  </si>
  <si>
    <t>Contratación de Firma Consultora para el desarrollo de diseños de puentes - Grupo 2</t>
  </si>
  <si>
    <t>1.3.3</t>
  </si>
  <si>
    <t>Contratación de Firma Constructora para rehabilitación de Caminos Vecinales - Grupo 1: Itakyry - Arroyos y Esteros - Altos y Gral. Resquin. (65,51 Km)</t>
  </si>
  <si>
    <t>10 meses</t>
  </si>
  <si>
    <t>T3 - Año 1</t>
  </si>
  <si>
    <t>T2- Año 5</t>
  </si>
  <si>
    <t>T4 - Año 3</t>
  </si>
  <si>
    <t>36 meses</t>
  </si>
  <si>
    <t xml:space="preserve">Convenio con DINAC </t>
  </si>
  <si>
    <t>Publicación de llamado</t>
  </si>
  <si>
    <t>Total Acumulado</t>
  </si>
  <si>
    <t xml:space="preserve"> BID </t>
  </si>
  <si>
    <t xml:space="preserve"> Año 1 </t>
  </si>
  <si>
    <t xml:space="preserve"> Año 2 </t>
  </si>
  <si>
    <t xml:space="preserve"> Año 3 </t>
  </si>
  <si>
    <t xml:space="preserve"> Año 4 </t>
  </si>
  <si>
    <t xml:space="preserve"> Año 5 </t>
  </si>
  <si>
    <t>Costos por producto (en miles de U$S)</t>
  </si>
  <si>
    <t xml:space="preserve">Componente 1. Obras civiles  </t>
  </si>
  <si>
    <t>TOTAL PROGRAMA</t>
  </si>
  <si>
    <t>Productos esperados del programa</t>
  </si>
  <si>
    <t xml:space="preserve">Componente 1. Obras civiles </t>
  </si>
  <si>
    <t xml:space="preserve">(i) Obras de mejoramiento de caminos; (ii) sustitución de puentes de madera; y (iii) mantenimiento. </t>
  </si>
  <si>
    <t>Informes de mantenimiento de la DCV en el que se detalla los tramos incorporados a un esquema de conservación del PGM.</t>
  </si>
  <si>
    <t>Contratación de Firma Constructora para Obra de Mantenimiento. Contratos Grupo 2: 226.63 km</t>
  </si>
  <si>
    <t>Contratación de Firma Constructora para Obra de Mantenimiento. Contratos Grupo 1: 102.79 km</t>
  </si>
  <si>
    <t>Convenio</t>
  </si>
  <si>
    <t xml:space="preserve">Convenio con la DINAC para el desarrollo del Programa de Monitoreo Hidrológico </t>
  </si>
  <si>
    <t>48 meses</t>
  </si>
  <si>
    <t>24 meses</t>
  </si>
  <si>
    <t>Ejecucion por Producto</t>
  </si>
  <si>
    <t>Ejecución por anual por productos de Matriz de Resultados</t>
  </si>
  <si>
    <t>Va en la Plan de Monitoreo y Evaluación</t>
  </si>
  <si>
    <t>número de mujeres capacitadas por el programa en empleos no tradicionales del sector vial.</t>
  </si>
  <si>
    <t>metros lineales de puentes de hormigón construidos en la red vial de la RO</t>
  </si>
  <si>
    <t>km de caminos mantenidos intervenidos por el programa anualmente en la RO</t>
  </si>
  <si>
    <t>km de caminos vecinales mejorados intervenidos por el programa en la RO</t>
  </si>
  <si>
    <t>30</t>
  </si>
  <si>
    <t>40</t>
  </si>
  <si>
    <t>100</t>
  </si>
  <si>
    <t>(i) Obras de mejoramiento de caminos; (ii) sustitución de puentes de madera; (iii) mantenimiento, y (iv) gerero</t>
  </si>
  <si>
    <t>Capacitación de mujeres en empleos no tradicionales del sector vial</t>
  </si>
  <si>
    <t>Consultoría para diseño y divulgación de Programa de Educación Ambiental y de Género</t>
  </si>
  <si>
    <t>30 meses</t>
  </si>
  <si>
    <t>12 meses</t>
  </si>
  <si>
    <t>T2 - Año 5</t>
  </si>
  <si>
    <t>1.2.2</t>
  </si>
  <si>
    <t>1.3.4</t>
  </si>
  <si>
    <t>1.3.5</t>
  </si>
  <si>
    <t>2.1.1</t>
  </si>
  <si>
    <t>Otros Costos</t>
  </si>
  <si>
    <t>Administración del Programa</t>
  </si>
  <si>
    <t>Auditoria, Monitoreo y Evaluación desarrollados</t>
  </si>
  <si>
    <t>2.2.1</t>
  </si>
  <si>
    <t>2.2.2</t>
  </si>
  <si>
    <t>2.2.3</t>
  </si>
  <si>
    <r>
      <t xml:space="preserve">El </t>
    </r>
    <r>
      <rPr>
        <b/>
        <sz val="10"/>
        <rFont val="Calibri"/>
        <family val="2"/>
        <scheme val="minor"/>
      </rPr>
      <t>objetivo general del programa</t>
    </r>
    <r>
      <rPr>
        <sz val="10"/>
        <rFont val="Calibri"/>
        <family val="2"/>
        <scheme val="minor"/>
      </rPr>
      <t xml:space="preserve"> es contribuir a mejorar la conectividad de la zona rural de los departamentos de la Región Oriental (RO) del país, proveyendo mejor acceso de las zonas productivas a puntos de consumo.</t>
    </r>
  </si>
  <si>
    <t>Valor agregado bruto (en USD) de la producción agrícola en el área de influencia (1) de los caminos intervenidos en la Región Oriental(2)</t>
  </si>
  <si>
    <t>Resultados esperados del programa</t>
  </si>
  <si>
    <r>
      <t>(i)</t>
    </r>
    <r>
      <rPr>
        <sz val="7"/>
        <rFont val="Calibri"/>
        <family val="2"/>
        <scheme val="minor"/>
      </rPr>
      <t xml:space="preserve">       </t>
    </r>
    <r>
      <rPr>
        <sz val="10"/>
        <rFont val="Calibri"/>
        <family val="2"/>
        <scheme val="minor"/>
      </rPr>
      <t>i. Reducción de los costos generalizados de transporte de los usuarios de los caminos intervenidos y mejora de la calidad de la infraestructura provista en la Región Oriental del país (3).</t>
    </r>
  </si>
  <si>
    <r>
      <t>1.</t>
    </r>
    <r>
      <rPr>
        <b/>
        <vertAlign val="superscript"/>
        <sz val="7"/>
        <rFont val="Calibri"/>
        <family val="2"/>
        <scheme val="minor"/>
      </rPr>
      <t xml:space="preserve">      </t>
    </r>
    <r>
      <rPr>
        <sz val="9.5"/>
        <rFont val="Calibri"/>
        <family val="2"/>
        <scheme val="minor"/>
      </rPr>
      <t xml:space="preserve"> El área de influencia está definida para cada tramo y la composición de la producción agrícola se incluyen en la Evaluación Económica.  Ver Anexo (EEO#5). El área de influencia de cada tramo es delimitada como la superficie circundante en aproximadamente 6 km a ambos lados del camino, considerándose las características topográficas, geográficas, productivas y socioeconómicas, la red vial existente complementaria al tramo en estudio y el comportamiento del tráfico.</t>
    </r>
  </si>
  <si>
    <r>
      <t>2.</t>
    </r>
    <r>
      <rPr>
        <b/>
        <vertAlign val="superscript"/>
        <sz val="7"/>
        <rFont val="Calibri"/>
        <family val="2"/>
        <scheme val="minor"/>
      </rPr>
      <t xml:space="preserve">      </t>
    </r>
    <r>
      <rPr>
        <sz val="9.5"/>
        <rFont val="Calibri"/>
        <family val="2"/>
        <scheme val="minor"/>
      </rPr>
      <t>La línea de base corresponde al valor agregado bruto de la producción agrícola en el área de influencia de los caminos considerados en la muestra representativa del programa (valuada a precios de 2015). La meta a 2020, estimada preliminarmente, corresponde al valor de la producción en igual área geográfica, valuada a los precios considerados en la valuación de la línea de base. Fuente: Censos Agropecuario 2008 y actualizaciones anuales de los mismos realizadas por el Ministerio de Agricultura y Ganadería (www.mag.gov.py).</t>
    </r>
  </si>
  <si>
    <r>
      <t>3.</t>
    </r>
    <r>
      <rPr>
        <b/>
        <vertAlign val="superscript"/>
        <sz val="7"/>
        <rFont val="Calibri"/>
        <family val="2"/>
        <scheme val="minor"/>
      </rPr>
      <t xml:space="preserve">      </t>
    </r>
    <r>
      <rPr>
        <sz val="9.5"/>
        <rFont val="Calibri"/>
        <family val="2"/>
        <scheme val="minor"/>
      </rPr>
      <t>Los tramos de la muestra son: (i) San Vicente-Arroyo Itanara (Depto. San Pedro )   Ruta 3; (ii) Costa Pucu-Pirapomi (Depto. Coredillera ); y (iii) Itakyry-Col. Ykua Pora- Rancho Alegre (Depto. Alto Paraná ).  Los demás tramos se han preseleccionados y se verificará que cumplan los criterios de elegibilidad.</t>
    </r>
  </si>
  <si>
    <t>Resultados esperados del Programa</t>
  </si>
  <si>
    <t>Meta (2021)</t>
  </si>
  <si>
    <t>Costos promedio de operación por vehículo-kilómetro (en $US) en los caminos intervenidos por el programa (5)</t>
  </si>
  <si>
    <t>Promedio flota(6)</t>
  </si>
  <si>
    <t xml:space="preserve">Highway Development and Management (HDM-4) – 
Evaluación económica ex-post bajo la modalidad de Análisis Costo – Beneficio. 
DCV- BID
</t>
  </si>
  <si>
    <r>
      <t>5.</t>
    </r>
    <r>
      <rPr>
        <b/>
        <vertAlign val="superscript"/>
        <sz val="7"/>
        <rFont val="Calibri"/>
        <family val="2"/>
        <scheme val="minor"/>
      </rPr>
      <t xml:space="preserve">      </t>
    </r>
    <r>
      <rPr>
        <sz val="9.5"/>
        <rFont val="Calibri"/>
        <family val="2"/>
        <scheme val="minor"/>
      </rPr>
      <t>Los valores de los indicadores, tanto en la línea de base como al final del programa, han sido calculados con la aplicación del modelo HDM 4 en los caminos de la muestra intervenidos por el Programa. Para detalles de cálculo ver Plan de Monitoreo y Evaluación del Programa.</t>
    </r>
  </si>
  <si>
    <r>
      <t>6.</t>
    </r>
    <r>
      <rPr>
        <b/>
        <vertAlign val="superscript"/>
        <sz val="7"/>
        <rFont val="Calibri"/>
        <family val="2"/>
        <scheme val="minor"/>
      </rPr>
      <t xml:space="preserve">      </t>
    </r>
    <r>
      <rPr>
        <sz val="9.5"/>
        <rFont val="Calibri"/>
        <family val="2"/>
        <scheme val="minor"/>
      </rPr>
      <t xml:space="preserve"> Para el promedio de la flota,se consideran los valores de Automóvil, Autobuses y camiones.</t>
    </r>
  </si>
  <si>
    <t>Promedio flota(5)</t>
  </si>
  <si>
    <t xml:space="preserve">HDM-4 – Evaluación económica ex-post bajo la modalidad de Análisis Costo – Beneficio. 
DCV- BID
</t>
  </si>
  <si>
    <r>
      <t>7.</t>
    </r>
    <r>
      <rPr>
        <b/>
        <vertAlign val="superscript"/>
        <sz val="7"/>
        <rFont val="Calibri"/>
        <family val="2"/>
        <scheme val="minor"/>
      </rPr>
      <t xml:space="preserve">      </t>
    </r>
    <r>
      <rPr>
        <sz val="9.5"/>
        <rFont val="Calibri"/>
        <family val="2"/>
        <scheme val="minor"/>
      </rPr>
      <t>Los valores de los indicadores, tanto en la línea de base como al final del programa, han sido calculados con la aplicación del modelo HDM 4 en los caminos de la muestra intervenidos por el Programa. Para detalles de cálculo ver Plan de Monitoreo y Evaluación del Programa.</t>
    </r>
  </si>
  <si>
    <t>ii. Promover y mejorar las condiciones de conectividad y acceso del transporte de carga y pasajeros a la infraestructura vial de los tramos intervenidos en la red vial de la RO.</t>
  </si>
  <si>
    <t>Responsable: DCV – El Banco</t>
  </si>
  <si>
    <t>Verificación: Reporte de estado de la Red Vial -DCV</t>
  </si>
  <si>
    <t>% de los empleos no tradicionales(10) que corresponden a mujeres en las obras  financiadas por el programa.</t>
  </si>
  <si>
    <t>0  (por definición del indicador)</t>
  </si>
  <si>
    <t xml:space="preserve">Informes de obra y mantenimiento de la DCV en el que se detalla la composición (género y lugar de residencia) del personal empleado.
Responsable: DCV – El Banco
</t>
  </si>
  <si>
    <t>iii. Mejorar la  inclusión laboral de la población local, y particularmente del empleo femenino en los trabajos de construcción y mantenimiento de los caminos intervenidos por el programa(9)</t>
  </si>
  <si>
    <r>
      <t>8.</t>
    </r>
    <r>
      <rPr>
        <b/>
        <vertAlign val="superscript"/>
        <sz val="7"/>
        <rFont val="Calibri"/>
        <family val="2"/>
        <scheme val="minor"/>
      </rPr>
      <t xml:space="preserve">      </t>
    </r>
    <r>
      <rPr>
        <sz val="9.5"/>
        <rFont val="Calibri"/>
        <family val="2"/>
        <scheme val="minor"/>
      </rPr>
      <t>Se ha considerado para el indicador todos los tipos de vehículos porque para el año meta no resulta posible realizar la verificación del tránsito normal, inducido y generado en forma discriminada</t>
    </r>
  </si>
  <si>
    <r>
      <t>9.</t>
    </r>
    <r>
      <rPr>
        <b/>
        <vertAlign val="superscript"/>
        <sz val="7"/>
        <rFont val="Calibri"/>
        <family val="2"/>
        <scheme val="minor"/>
      </rPr>
      <t xml:space="preserve">      </t>
    </r>
    <r>
      <rPr>
        <sz val="9.5"/>
        <rFont val="Calibri"/>
        <family val="2"/>
        <scheme val="minor"/>
      </rPr>
      <t>Ver Anexo EEO#13 Plan de Acción de Género</t>
    </r>
  </si>
  <si>
    <r>
      <t>10.</t>
    </r>
    <r>
      <rPr>
        <b/>
        <vertAlign val="superscript"/>
        <sz val="7"/>
        <rFont val="Calibri"/>
        <family val="2"/>
        <scheme val="minor"/>
      </rPr>
      <t xml:space="preserve">      </t>
    </r>
    <r>
      <rPr>
        <sz val="9.5"/>
        <rFont val="Calibri"/>
        <family val="2"/>
        <scheme val="minor"/>
      </rPr>
      <t>Entendido como empleo no tradicional, a las tareas que culturalmente son atribuidos solo a los hombres, pero que en la práctica no debiera existir ninguna restricción o limitación para que lo realicen las mujeres.</t>
    </r>
  </si>
  <si>
    <r>
      <t>11.</t>
    </r>
    <r>
      <rPr>
        <b/>
        <vertAlign val="superscript"/>
        <sz val="7"/>
        <rFont val="Calibri"/>
        <family val="2"/>
        <scheme val="minor"/>
      </rPr>
      <t xml:space="preserve">      </t>
    </r>
    <r>
      <rPr>
        <sz val="9.5"/>
        <rFont val="Calibri"/>
        <family val="2"/>
        <scheme val="minor"/>
      </rPr>
      <t>El indicador busca captar el porcentaje de mujeres en el total del empleo directo que se generará con la intervención vial. La línea de base es cero por definición, ya que aún no existe intervención vial ni empleo directo asociado.</t>
    </r>
  </si>
  <si>
    <t>Km de caminos vecinales mejorados intervenidos por el programa en la RO(12)</t>
  </si>
  <si>
    <t xml:space="preserve">Acta de recepción provisoria de las obras.
DCV – El Banco.
Observación: Contribuye al indicador sectorial de “km de carreteras interurbanas mantenidas o mejoradas”
</t>
  </si>
  <si>
    <t>km de caminos mantenidos intervenidos por el programa anualmente en la RO(13)</t>
  </si>
  <si>
    <t xml:space="preserve">Informes de mantenimiento de la DCV en el que se detalla los tramos incorporados a un esquema de conservación del PGM.
DCV – El Banco
Observación: Contribuye al indicador sectorial de “km de carreteras interurbanas mantenidas o mejoradas”
</t>
  </si>
  <si>
    <t>Acta de recepción provisoria de las obras.
DCV – El Banco</t>
  </si>
  <si>
    <t>Informes de la DCV de la ejecución de los planes de Capacitación
Responsable: DCV – El Banco</t>
  </si>
  <si>
    <r>
      <t>12.</t>
    </r>
    <r>
      <rPr>
        <b/>
        <vertAlign val="superscript"/>
        <sz val="7"/>
        <rFont val="Calibri"/>
        <family val="2"/>
        <scheme val="minor"/>
      </rPr>
      <t xml:space="preserve">      </t>
    </r>
    <r>
      <rPr>
        <sz val="9.5"/>
        <rFont val="Calibri"/>
        <family val="2"/>
        <scheme val="minor"/>
      </rPr>
      <t>El mejoramiento de caminos implica la realización de obras de enripiado, empedrado o incorporación de tecnologías de estabilización, que permiten la transitabilidad permanente de los mismos durante todo el año.</t>
    </r>
  </si>
  <si>
    <r>
      <t>13.</t>
    </r>
    <r>
      <rPr>
        <b/>
        <vertAlign val="superscript"/>
        <sz val="7"/>
        <rFont val="Calibri"/>
        <family val="2"/>
        <scheme val="minor"/>
      </rPr>
      <t xml:space="preserve">      </t>
    </r>
    <r>
      <rPr>
        <sz val="9.5"/>
        <rFont val="Calibri"/>
        <family val="2"/>
        <scheme val="minor"/>
      </rPr>
      <t>Los km reportados son acumulativos considerando que los km que van siendo incorporados al esquema de mantenimiento se siguen interviniendo en los años subsiguientes.</t>
    </r>
  </si>
  <si>
    <t>165 Km de caminos vecinales mejorados</t>
  </si>
  <si>
    <t xml:space="preserve">713 Km de caminos incorporados en un esquema de mantenimiento </t>
  </si>
  <si>
    <t>Suscripción de Convenio con Municipios para Obras de Mantenimiento. Convenio Grupo 1: 28.35 km</t>
  </si>
  <si>
    <t>Suscripción de Convenio con Municipios para Obras de Mantenimiento. Convenio Grupo 2: 70.04 km</t>
  </si>
  <si>
    <t>Suscripción de Convenio con Municipios para Obras de Mantenimiento. Convenio Grupo 3: 256.75 km</t>
  </si>
  <si>
    <t>600 ml de puentes de hormigón construidos</t>
  </si>
  <si>
    <t>Inicio de Ejecución</t>
  </si>
  <si>
    <t>Inicio del Proceso de suscripción del convenio</t>
  </si>
  <si>
    <t>Inicio del mantenimiento</t>
  </si>
  <si>
    <t>55 meses</t>
  </si>
  <si>
    <t>50 meses</t>
  </si>
  <si>
    <t>Suscripción de Convenio con Municipios para Obras de Mantenimiento. Convenio Grupo 4: 29.30 km</t>
  </si>
  <si>
    <t>1.2.3</t>
  </si>
  <si>
    <t>1.2.4</t>
  </si>
  <si>
    <t>1.2.5</t>
  </si>
  <si>
    <t>Cateoría de Inversión</t>
  </si>
  <si>
    <t>1.1 - Ingeniería</t>
  </si>
  <si>
    <t>1.5 - Fiscalización</t>
  </si>
  <si>
    <t>1.2 - Mejoramiento de CV</t>
  </si>
  <si>
    <t>1.1.3</t>
  </si>
  <si>
    <t>1.1.4</t>
  </si>
  <si>
    <t>1.1.5</t>
  </si>
  <si>
    <t>1.2.6</t>
  </si>
  <si>
    <t>1.4 - Puentes de Madera</t>
  </si>
  <si>
    <t xml:space="preserve">Producto 1: 165 Km de Caminos Vecinales mejorados </t>
  </si>
  <si>
    <t xml:space="preserve">Producto 2: 713 Km de Caminos incorporados en un esquema de mantenimiento </t>
  </si>
  <si>
    <t>Producto 3: 600 ml de Puentes de madera reemplazados por puentes de HoAo</t>
  </si>
  <si>
    <t>Producto 4: Mujeres Capacitadas en empleos no tradicionales del sector vial</t>
  </si>
  <si>
    <t>Gestión Socio Ambiental</t>
  </si>
  <si>
    <t>1.6 - Gestión Socioambiental</t>
  </si>
  <si>
    <t>2.3.1</t>
  </si>
  <si>
    <t>2.3.2</t>
  </si>
  <si>
    <t>2.3.3</t>
  </si>
  <si>
    <t>2.3.4</t>
  </si>
  <si>
    <t>2.3.5</t>
  </si>
  <si>
    <t>1.3 - Mantenimiento de CV</t>
  </si>
  <si>
    <t>Otros Costos - Administración</t>
  </si>
  <si>
    <t>Otros Costos - Auditoria, Monitoreo y Evaluación</t>
  </si>
  <si>
    <t>Por Componente</t>
  </si>
  <si>
    <t>Por Categoría de Inversión</t>
  </si>
  <si>
    <t>Ingeniería</t>
  </si>
  <si>
    <t>Mejoramiento de Caminos Vecinales</t>
  </si>
  <si>
    <t>Mantenimiento de Caminos Vecinales</t>
  </si>
  <si>
    <t>Reemplazo de Puentes de Madera</t>
  </si>
  <si>
    <t>Administración</t>
  </si>
  <si>
    <t>Auditoría, Monitoreo y Evaluación</t>
  </si>
  <si>
    <t>Administración del Programa, Auditoría, Monitoreo y Evaluación, Gestión Socioambiental</t>
  </si>
  <si>
    <t>Categorías de Inversión</t>
  </si>
  <si>
    <t>Ejecución por Categoría de Inversión</t>
  </si>
  <si>
    <t>Obras de Mejoramiento, Mantenimiento de Caminos y Reemplazo de puentes</t>
  </si>
  <si>
    <t>Convenio Firmado</t>
  </si>
  <si>
    <t>Convenio en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</si>
</sst>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3" formatCode="_(* #,##0.00_);_(* \(#,##0.00\);_(* &quot;-&quot;??_);_(@_)"/>
    <numFmt numFmtId="164" formatCode="_-* #,##0.00\ _€_-;\-* #,##0.00\ _€_-;_-* &quot;-&quot;??\ _€_-;_-@_-"/>
    <numFmt numFmtId="165" formatCode="_(&quot;Gs&quot;\ * #,##0.00_);_(&quot;Gs&quot;\ * \(#,##0.00\);_(&quot;Gs&quot;\ * &quot;-&quot;??_);_(@_)"/>
    <numFmt numFmtId="166" formatCode="#,#00"/>
    <numFmt numFmtId="167" formatCode="\$#,#00"/>
    <numFmt numFmtId="168" formatCode="\$#,"/>
    <numFmt numFmtId="169" formatCode="#.##000"/>
    <numFmt numFmtId="170" formatCode="#.##0,"/>
    <numFmt numFmtId="171" formatCode="_(* #,##0_);_(* \(#,##0\);_(* &quot;-&quot;??_);_(@_)"/>
    <numFmt numFmtId="172" formatCode="[$USD]\ #,##0.00"/>
    <numFmt numFmtId="173" formatCode="dd/mm/yy;@"/>
    <numFmt numFmtId="174" formatCode="_-* #,##0.00_-;\-* #,##0.00_-;_-* &quot;-&quot;??_-;_-@_-"/>
    <numFmt numFmtId="175" formatCode="_-* #,##0_-;\-* #,##0_-;_-* &quot;-&quot;_-;_-@_-"/>
    <numFmt numFmtId="176" formatCode="_-&quot;$&quot;\ * #,##0.00_-;\-&quot;$&quot;\ * #,##0.00_-;_-&quot;$&quot;\ * &quot;-&quot;??_-;_-@_-"/>
    <numFmt numFmtId="177" formatCode="dd/mm/yyyy;@"/>
    <numFmt numFmtId="178" formatCode="0.0"/>
    <numFmt numFmtId="179" formatCode="[$-3C0A]mmmm&quot; de &quot;yyyy;@"/>
    <numFmt numFmtId="180" formatCode="[$-C0A]mmm\-yy;@"/>
    <numFmt numFmtId="181" formatCode="_-* #,##0\ _€_-;\-* #,##0\ _€_-;_-* &quot;-&quot;??\ _€_-;_-@_-"/>
    <numFmt numFmtId="182" formatCode="_-* #,##0\ [$USD]_-;\-* #,##0\ [$USD]_-;_-* &quot;-&quot;\ [$USD]_-;_-@_-"/>
    <numFmt numFmtId="183" formatCode="#,##0.00\ &quot;Km&quot;"/>
    <numFmt numFmtId="184" formatCode="#,##0.00&quot;Km&quot;"/>
    <numFmt numFmtId="185" formatCode="_ [$€]\ * #,##0.00_ ;_ [$€]\ * \-#,##0.00_ ;_ [$€]\ * &quot;-&quot;??_ ;_ @_ "/>
    <numFmt numFmtId="186" formatCode="[$USD]\ #,##0"/>
    <numFmt numFmtId="187" formatCode="_(* #,##0.0_);_(* \(#,##0.0\);_(* &quot;-&quot;_);_(@_)"/>
    <numFmt numFmtId="188" formatCode="_(* #,##0.0_);_(* \(#,##0.0\);_(* &quot;-&quot;??_);_(@_)"/>
    <numFmt numFmtId="189" formatCode="#,##0.0"/>
    <numFmt numFmtId="190" formatCode="0.0%"/>
  </numFmts>
  <fonts count="9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
      <color indexed="8"/>
      <name val="Courier"/>
      <family val="3"/>
    </font>
    <font>
      <b/>
      <sz val="1"/>
      <color indexed="8"/>
      <name val="Courier"/>
      <family val="3"/>
    </font>
    <font>
      <b/>
      <u/>
      <sz val="1"/>
      <color indexed="8"/>
      <name val="Courier"/>
      <family val="3"/>
    </font>
    <font>
      <sz val="11"/>
      <color indexed="8"/>
      <name val="Calibri"/>
      <family val="2"/>
    </font>
    <font>
      <sz val="10"/>
      <name val="Arial"/>
      <family val="2"/>
    </font>
    <font>
      <sz val="10"/>
      <name val="Arial"/>
      <family val="2"/>
    </font>
    <font>
      <sz val="10"/>
      <name val="Verdana"/>
      <family val="2"/>
    </font>
    <font>
      <sz val="10"/>
      <name val="Calibri"/>
      <family val="2"/>
      <scheme val="minor"/>
    </font>
    <font>
      <b/>
      <sz val="10"/>
      <name val="Calibri"/>
      <family val="2"/>
      <scheme val="minor"/>
    </font>
    <font>
      <b/>
      <sz val="10"/>
      <name val="Arial"/>
      <family val="2"/>
    </font>
    <font>
      <b/>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b/>
      <sz val="10"/>
      <color theme="1"/>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rgb="FFFFFFFF"/>
      <name val="Calibri"/>
      <family val="2"/>
      <scheme val="minor"/>
    </font>
    <font>
      <b/>
      <sz val="9"/>
      <color theme="1"/>
      <name val="Calibri"/>
      <family val="2"/>
      <scheme val="minor"/>
    </font>
    <font>
      <sz val="9"/>
      <color rgb="FFFFFFFF"/>
      <name val="Calibri"/>
      <family val="2"/>
      <scheme val="minor"/>
    </font>
    <font>
      <sz val="9"/>
      <color theme="1"/>
      <name val="Calibri"/>
      <family val="2"/>
      <scheme val="minor"/>
    </font>
    <font>
      <sz val="9"/>
      <color rgb="FF000000"/>
      <name val="Calibri"/>
      <family val="2"/>
      <scheme val="minor"/>
    </font>
    <font>
      <vertAlign val="superscript"/>
      <sz val="9"/>
      <color theme="1"/>
      <name val="Calibri"/>
      <family val="2"/>
      <scheme val="minor"/>
    </font>
    <font>
      <sz val="9"/>
      <name val="Calibri"/>
      <family val="2"/>
      <scheme val="minor"/>
    </font>
    <font>
      <b/>
      <sz val="9"/>
      <color theme="0"/>
      <name val="Calibri"/>
      <family val="2"/>
      <scheme val="minor"/>
    </font>
    <font>
      <sz val="10"/>
      <color rgb="FFFF0000"/>
      <name val="Calibri"/>
      <family val="2"/>
      <scheme val="minor"/>
    </font>
    <font>
      <sz val="10"/>
      <name val="Arial"/>
      <family val="2"/>
    </font>
    <font>
      <i/>
      <sz val="10"/>
      <name val="Calibri"/>
      <family val="2"/>
      <scheme val="minor"/>
    </font>
    <font>
      <b/>
      <sz val="16"/>
      <color rgb="FF000066"/>
      <name val="Calibri"/>
      <family val="2"/>
      <scheme val="minor"/>
    </font>
    <font>
      <b/>
      <sz val="16"/>
      <color theme="0"/>
      <name val="Calibri"/>
      <family val="2"/>
      <scheme val="minor"/>
    </font>
    <font>
      <sz val="11"/>
      <name val="Calibri"/>
      <family val="2"/>
    </font>
    <font>
      <b/>
      <sz val="11"/>
      <name val="Calibri"/>
      <family val="2"/>
    </font>
    <font>
      <sz val="11"/>
      <name val="Wingdings"/>
      <charset val="2"/>
    </font>
    <font>
      <sz val="7"/>
      <name val="Times New Roman"/>
      <family val="1"/>
    </font>
    <font>
      <b/>
      <sz val="8"/>
      <color indexed="81"/>
      <name val="Tahoma"/>
      <family val="2"/>
    </font>
    <font>
      <b/>
      <sz val="9"/>
      <name val="Calibri"/>
      <family val="2"/>
      <scheme val="minor"/>
    </font>
    <font>
      <u/>
      <sz val="9"/>
      <name val="Calibri"/>
      <family val="2"/>
      <scheme val="minor"/>
    </font>
    <font>
      <b/>
      <sz val="9"/>
      <color indexed="17"/>
      <name val="Calibri"/>
      <family val="2"/>
      <scheme val="minor"/>
    </font>
    <font>
      <sz val="10"/>
      <color indexed="9"/>
      <name val="Calibri"/>
      <family val="2"/>
      <scheme val="minor"/>
    </font>
    <font>
      <sz val="7"/>
      <name val="Calibri"/>
      <family val="2"/>
      <scheme val="minor"/>
    </font>
    <font>
      <b/>
      <sz val="10"/>
      <color rgb="FF000000"/>
      <name val="Calibri"/>
      <family val="2"/>
      <scheme val="minor"/>
    </font>
    <font>
      <b/>
      <vertAlign val="superscript"/>
      <sz val="9.5"/>
      <name val="Calibri"/>
      <family val="2"/>
      <scheme val="minor"/>
    </font>
    <font>
      <b/>
      <vertAlign val="superscript"/>
      <sz val="7"/>
      <name val="Calibri"/>
      <family val="2"/>
      <scheme val="minor"/>
    </font>
    <font>
      <sz val="9.5"/>
      <name val="Calibri"/>
      <family val="2"/>
      <scheme val="minor"/>
    </font>
    <font>
      <b/>
      <sz val="10"/>
      <color rgb="FFFF0000"/>
      <name val="Calibri"/>
      <family val="2"/>
      <scheme val="minor"/>
    </font>
    <font>
      <b/>
      <sz val="9"/>
      <color indexed="81"/>
      <name val="Tahoma"/>
      <family val="2"/>
    </font>
    <font>
      <b/>
      <sz val="12"/>
      <name val="Calibri"/>
      <family val="2"/>
      <scheme val="minor"/>
    </font>
    <font>
      <sz val="12"/>
      <name val="Calibri"/>
      <family val="2"/>
      <scheme val="minor"/>
    </font>
    <font>
      <b/>
      <sz val="14"/>
      <name val="Calibri"/>
      <family val="2"/>
      <scheme val="minor"/>
    </font>
    <font>
      <b/>
      <sz val="14"/>
      <name val="Arial"/>
      <family val="2"/>
    </font>
    <font>
      <sz val="12"/>
      <color theme="1"/>
      <name val="Calibri"/>
      <family val="2"/>
    </font>
    <font>
      <sz val="12"/>
      <color theme="1"/>
      <name val="Calibri"/>
      <family val="2"/>
      <scheme val="minor"/>
    </font>
    <font>
      <sz val="12"/>
      <name val="Arial"/>
      <family val="2"/>
    </font>
    <font>
      <sz val="12"/>
      <name val="Calibri"/>
      <family val="2"/>
    </font>
    <font>
      <sz val="14"/>
      <name val="Calibri"/>
      <family val="2"/>
      <scheme val="minor"/>
    </font>
    <font>
      <b/>
      <sz val="10"/>
      <color rgb="FFFFFFFF"/>
      <name val="Calibri"/>
      <family val="2"/>
    </font>
    <font>
      <b/>
      <sz val="10"/>
      <name val="Calibri"/>
      <family val="2"/>
    </font>
    <font>
      <b/>
      <sz val="10"/>
      <color rgb="FF000000"/>
      <name val="Calibri"/>
      <family val="2"/>
    </font>
    <font>
      <sz val="10"/>
      <color theme="1"/>
      <name val="Times New Roman"/>
      <family val="1"/>
    </font>
    <font>
      <sz val="10"/>
      <color rgb="FF000000"/>
      <name val="Arial"/>
      <family val="2"/>
    </font>
    <font>
      <sz val="10"/>
      <color theme="1"/>
      <name val="Arial"/>
      <family val="2"/>
    </font>
    <font>
      <b/>
      <sz val="10"/>
      <color theme="1"/>
      <name val="Arial"/>
      <family val="2"/>
    </font>
    <font>
      <b/>
      <i/>
      <sz val="10"/>
      <color rgb="FF000000"/>
      <name val="Arial"/>
      <family val="2"/>
    </font>
    <font>
      <b/>
      <sz val="11"/>
      <color rgb="FF000000"/>
      <name val="Arial"/>
      <family val="2"/>
    </font>
    <font>
      <b/>
      <sz val="11"/>
      <name val="Arial"/>
      <family val="2"/>
    </font>
    <font>
      <sz val="11"/>
      <name val="Arial"/>
      <family val="2"/>
    </font>
    <font>
      <b/>
      <i/>
      <sz val="10"/>
      <color theme="1"/>
      <name val="Arial"/>
      <family val="2"/>
    </font>
    <font>
      <b/>
      <sz val="10"/>
      <color theme="1"/>
      <name val="Calibri"/>
      <family val="2"/>
    </font>
    <font>
      <sz val="10"/>
      <name val="Calibri"/>
      <family val="2"/>
    </font>
  </fonts>
  <fills count="5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00FF"/>
        <bgColor indexed="64"/>
      </patternFill>
    </fill>
    <fill>
      <patternFill patternType="solid">
        <fgColor rgb="FF0033CC"/>
        <bgColor indexed="64"/>
      </patternFill>
    </fill>
    <fill>
      <patternFill patternType="solid">
        <fgColor rgb="FF000066"/>
        <bgColor indexed="64"/>
      </patternFill>
    </fill>
    <fill>
      <patternFill patternType="solid">
        <fgColor rgb="FFFFC000"/>
        <bgColor indexed="64"/>
      </patternFill>
    </fill>
    <fill>
      <patternFill patternType="solid">
        <fgColor rgb="FF00B050"/>
        <bgColor indexed="64"/>
      </patternFill>
    </fill>
    <fill>
      <patternFill patternType="solid">
        <fgColor theme="3" tint="0.59999389629810485"/>
        <bgColor indexed="64"/>
      </patternFill>
    </fill>
    <fill>
      <patternFill patternType="solid">
        <fgColor rgb="FF7030A0"/>
        <bgColor indexed="64"/>
      </patternFill>
    </fill>
    <fill>
      <patternFill patternType="solid">
        <fgColor rgb="FFFF0000"/>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rgb="FFC6D9F1"/>
        <bgColor indexed="64"/>
      </patternFill>
    </fill>
    <fill>
      <patternFill patternType="solid">
        <fgColor rgb="FFB8CCE4"/>
        <bgColor indexed="64"/>
      </patternFill>
    </fill>
    <fill>
      <patternFill patternType="solid">
        <fgColor rgb="FFFFFFFF"/>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rgb="FF00B0F0"/>
        <bgColor indexed="64"/>
      </patternFill>
    </fill>
    <fill>
      <patternFill patternType="solid">
        <fgColor rgb="FF000000"/>
        <bgColor indexed="64"/>
      </patternFill>
    </fill>
    <fill>
      <patternFill patternType="solid">
        <fgColor rgb="FFD9D9D9"/>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59999389629810485"/>
        <bgColor indexed="64"/>
      </patternFill>
    </fill>
  </fills>
  <borders count="173">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thin">
        <color theme="3" tint="0.39994506668294322"/>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3" tint="0.39994506668294322"/>
      </right>
      <top style="thin">
        <color theme="3" tint="0.39994506668294322"/>
      </top>
      <bottom style="thin">
        <color theme="3" tint="0.39994506668294322"/>
      </bottom>
      <diagonal/>
    </border>
    <border>
      <left style="medium">
        <color theme="0"/>
      </left>
      <right/>
      <top style="medium">
        <color theme="0"/>
      </top>
      <bottom style="thin">
        <color theme="3" tint="0.39994506668294322"/>
      </bottom>
      <diagonal/>
    </border>
    <border>
      <left/>
      <right style="medium">
        <color theme="0"/>
      </right>
      <top style="medium">
        <color theme="0"/>
      </top>
      <bottom style="thin">
        <color theme="3" tint="0.39994506668294322"/>
      </bottom>
      <diagonal/>
    </border>
    <border>
      <left style="medium">
        <color theme="0"/>
      </left>
      <right style="medium">
        <color theme="0"/>
      </right>
      <top style="medium">
        <color theme="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88402966399123"/>
      </left>
      <right style="thin">
        <color theme="3" tint="0.39988402966399123"/>
      </right>
      <top style="thin">
        <color theme="3" tint="0.39988402966399123"/>
      </top>
      <bottom style="thin">
        <color theme="3" tint="0.39988402966399123"/>
      </bottom>
      <diagonal/>
    </border>
    <border>
      <left/>
      <right/>
      <top style="thin">
        <color indexed="64"/>
      </top>
      <bottom/>
      <diagonal/>
    </border>
    <border>
      <left style="medium">
        <color indexed="64"/>
      </left>
      <right/>
      <top/>
      <bottom/>
      <diagonal/>
    </border>
    <border>
      <left style="thin">
        <color theme="3" tint="0.399945066682943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style="thin">
        <color theme="3" tint="0.39994506668294322"/>
      </left>
      <right/>
      <top/>
      <bottom/>
      <diagonal/>
    </border>
    <border>
      <left/>
      <right style="thin">
        <color theme="3" tint="0.39994506668294322"/>
      </right>
      <top/>
      <bottom style="thin">
        <color theme="3" tint="0.39994506668294322"/>
      </bottom>
      <diagonal/>
    </border>
    <border>
      <left/>
      <right style="thin">
        <color theme="3" tint="0.39991454817346722"/>
      </right>
      <top style="thin">
        <color theme="3" tint="0.39991454817346722"/>
      </top>
      <bottom/>
      <diagonal/>
    </border>
    <border>
      <left/>
      <right style="thin">
        <color theme="3" tint="0.39991454817346722"/>
      </right>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style="thin">
        <color theme="3" tint="0.39991454817346722"/>
      </left>
      <right/>
      <top style="thin">
        <color theme="3" tint="0.39991454817346722"/>
      </top>
      <bottom style="thin">
        <color theme="3" tint="0.39991454817346722"/>
      </bottom>
      <diagonal/>
    </border>
    <border>
      <left style="thin">
        <color theme="3" tint="0.39991454817346722"/>
      </left>
      <right/>
      <top style="thin">
        <color theme="3" tint="0.39991454817346722"/>
      </top>
      <bottom/>
      <diagonal/>
    </border>
    <border>
      <left style="thin">
        <color theme="3" tint="0.39991454817346722"/>
      </left>
      <right/>
      <top/>
      <bottom style="thin">
        <color theme="3" tint="0.39991454817346722"/>
      </bottom>
      <diagonal/>
    </border>
    <border>
      <left style="thin">
        <color theme="3" tint="0.59996337778862885"/>
      </left>
      <right/>
      <top style="thin">
        <color theme="3" tint="0.59996337778862885"/>
      </top>
      <bottom style="thin">
        <color theme="3" tint="0.59996337778862885"/>
      </bottom>
      <diagonal/>
    </border>
    <border>
      <left/>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right style="thin">
        <color theme="3" tint="0.39994506668294322"/>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left>
      <right/>
      <top style="thin">
        <color theme="0"/>
      </top>
      <bottom/>
      <diagonal/>
    </border>
    <border>
      <left style="thin">
        <color theme="0"/>
      </left>
      <right/>
      <top/>
      <bottom/>
      <diagonal/>
    </border>
    <border>
      <left/>
      <right style="thin">
        <color theme="0"/>
      </right>
      <top style="thin">
        <color theme="0"/>
      </top>
      <bottom/>
      <diagonal/>
    </border>
    <border>
      <left/>
      <right style="thin">
        <color theme="0"/>
      </right>
      <top/>
      <bottom/>
      <diagonal/>
    </border>
    <border>
      <left style="thin">
        <color theme="3" tint="0.39994506668294322"/>
      </left>
      <right style="thin">
        <color theme="3" tint="0.39991454817346722"/>
      </right>
      <top style="thin">
        <color theme="3" tint="0.39994506668294322"/>
      </top>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thin">
        <color theme="3" tint="0.39994506668294322"/>
      </right>
      <top style="thin">
        <color theme="3" tint="0.3999145481734672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3" tint="0.39991454817346722"/>
      </top>
      <bottom/>
      <diagonal/>
    </border>
    <border>
      <left/>
      <right style="thin">
        <color theme="3" tint="0.39994506668294322"/>
      </right>
      <top style="thin">
        <color theme="3" tint="0.39991454817346722"/>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theme="3" tint="0.39994506668294322"/>
      </left>
      <right style="thin">
        <color theme="3" tint="0.39991454817346722"/>
      </right>
      <top style="thin">
        <color theme="3" tint="0.39991454817346722"/>
      </top>
      <bottom/>
      <diagonal/>
    </border>
    <border>
      <left style="thin">
        <color theme="3" tint="0.39991454817346722"/>
      </left>
      <right style="thin">
        <color theme="3" tint="0.39991454817346722"/>
      </right>
      <top style="thin">
        <color theme="3" tint="0.39994506668294322"/>
      </top>
      <bottom/>
      <diagonal/>
    </border>
    <border>
      <left style="thin">
        <color theme="3" tint="0.39991454817346722"/>
      </left>
      <right style="thin">
        <color theme="3" tint="0.39994506668294322"/>
      </right>
      <top style="thin">
        <color theme="3" tint="0.39994506668294322"/>
      </top>
      <bottom/>
      <diagonal/>
    </border>
    <border>
      <left style="thin">
        <color theme="3" tint="0.39994506668294322"/>
      </left>
      <right style="thin">
        <color theme="3" tint="0.39994506668294322"/>
      </right>
      <top style="thin">
        <color theme="3" tint="0.39991454817346722"/>
      </top>
      <bottom/>
      <diagonal/>
    </border>
    <border>
      <left style="thin">
        <color theme="3" tint="0.39991454817346722"/>
      </left>
      <right/>
      <top style="thin">
        <color theme="3" tint="0.39994506668294322"/>
      </top>
      <bottom style="thin">
        <color theme="3" tint="0.39994506668294322"/>
      </bottom>
      <diagonal/>
    </border>
    <border>
      <left/>
      <right/>
      <top style="thin">
        <color theme="3" tint="0.39985351115451523"/>
      </top>
      <bottom/>
      <diagonal/>
    </border>
    <border>
      <left/>
      <right style="thin">
        <color theme="3" tint="0.39994506668294322"/>
      </right>
      <top style="thin">
        <color theme="3" tint="0.39985351115451523"/>
      </top>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39985351115451523"/>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right/>
      <top/>
      <bottom style="thin">
        <color theme="3" tint="0.39994506668294322"/>
      </bottom>
      <diagonal/>
    </border>
    <border>
      <left style="thin">
        <color theme="3" tint="0.39991454817346722"/>
      </left>
      <right style="thin">
        <color theme="3" tint="0.39991454817346722"/>
      </right>
      <top/>
      <bottom/>
      <diagonal/>
    </border>
    <border>
      <left style="thin">
        <color theme="3" tint="0.39991454817346722"/>
      </left>
      <right style="thin">
        <color theme="3" tint="0.39991454817346722"/>
      </right>
      <top/>
      <bottom style="thin">
        <color theme="3" tint="0.39991454817346722"/>
      </bottom>
      <diagonal/>
    </border>
    <border>
      <left style="thin">
        <color theme="3" tint="0.39988402966399123"/>
      </left>
      <right style="thin">
        <color theme="3" tint="0.39988402966399123"/>
      </right>
      <top style="thin">
        <color theme="3" tint="0.39988402966399123"/>
      </top>
      <bottom/>
      <diagonal/>
    </border>
    <border>
      <left/>
      <right style="thin">
        <color theme="3" tint="0.39988402966399123"/>
      </right>
      <top style="thin">
        <color theme="3" tint="0.39988402966399123"/>
      </top>
      <bottom style="thin">
        <color theme="3" tint="0.39988402966399123"/>
      </bottom>
      <diagonal/>
    </border>
    <border>
      <left/>
      <right/>
      <top style="thin">
        <color theme="3" tint="0.39988402966399123"/>
      </top>
      <bottom style="thin">
        <color theme="3" tint="0.39988402966399123"/>
      </bottom>
      <diagonal/>
    </border>
    <border>
      <left style="thin">
        <color theme="3" tint="0.39988402966399123"/>
      </left>
      <right/>
      <top/>
      <bottom/>
      <diagonal/>
    </border>
    <border>
      <left/>
      <right style="thin">
        <color theme="3" tint="0.39985351115451523"/>
      </right>
      <top/>
      <bottom/>
      <diagonal/>
    </border>
    <border>
      <left style="thin">
        <color theme="3" tint="0.39988402966399123"/>
      </left>
      <right/>
      <top/>
      <bottom style="thin">
        <color theme="3" tint="0.39985351115451523"/>
      </bottom>
      <diagonal/>
    </border>
    <border>
      <left/>
      <right style="thin">
        <color theme="3" tint="0.39985351115451523"/>
      </right>
      <top/>
      <bottom style="thin">
        <color theme="3" tint="0.39985351115451523"/>
      </bottom>
      <diagonal/>
    </border>
    <border>
      <left/>
      <right style="medium">
        <color rgb="FFFFFFFF"/>
      </right>
      <top style="medium">
        <color rgb="FFFFFFFF"/>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right style="medium">
        <color rgb="FF000000"/>
      </right>
      <top style="medium">
        <color rgb="FF000000"/>
      </top>
      <bottom style="medium">
        <color indexed="64"/>
      </bottom>
      <diagonal/>
    </border>
    <border>
      <left/>
      <right style="medium">
        <color indexed="64"/>
      </right>
      <top style="medium">
        <color indexed="64"/>
      </top>
      <bottom style="medium">
        <color indexed="64"/>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diagonal/>
    </border>
    <border>
      <left style="thin">
        <color rgb="FF00B0F0"/>
      </left>
      <right/>
      <top/>
      <bottom/>
      <diagonal/>
    </border>
    <border>
      <left style="thin">
        <color rgb="FF00B0F0"/>
      </left>
      <right/>
      <top style="thin">
        <color rgb="FF00B0F0"/>
      </top>
      <bottom/>
      <diagonal/>
    </border>
    <border>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top/>
      <bottom style="thin">
        <color rgb="FF00B0F0"/>
      </bottom>
      <diagonal/>
    </border>
    <border>
      <left/>
      <right style="thin">
        <color rgb="FF00B0F0"/>
      </right>
      <top/>
      <bottom style="thin">
        <color rgb="FF00B0F0"/>
      </bottom>
      <diagonal/>
    </border>
    <border>
      <left style="thin">
        <color theme="3" tint="0.39988402966399123"/>
      </left>
      <right/>
      <top/>
      <bottom style="thin">
        <color theme="3" tint="0.39988402966399123"/>
      </bottom>
      <diagonal/>
    </border>
    <border>
      <left/>
      <right style="thin">
        <color theme="3" tint="0.39988402966399123"/>
      </right>
      <top/>
      <bottom style="thin">
        <color theme="3" tint="0.39988402966399123"/>
      </bottom>
      <diagonal/>
    </border>
    <border>
      <left style="thin">
        <color theme="3" tint="0.39991454817346722"/>
      </left>
      <right/>
      <top style="thin">
        <color theme="3" tint="0.39985351115451523"/>
      </top>
      <bottom style="thin">
        <color theme="3" tint="0.39985351115451523"/>
      </bottom>
      <diagonal/>
    </border>
    <border>
      <left/>
      <right style="thin">
        <color theme="3" tint="0.39985351115451523"/>
      </right>
      <top style="thin">
        <color theme="3" tint="0.39985351115451523"/>
      </top>
      <bottom style="thin">
        <color theme="3" tint="0.39985351115451523"/>
      </bottom>
      <diagonal/>
    </border>
    <border>
      <left/>
      <right/>
      <top/>
      <bottom style="thin">
        <color theme="3" tint="0.39985351115451523"/>
      </bottom>
      <diagonal/>
    </border>
    <border>
      <left style="thin">
        <color theme="3" tint="0.39991454817346722"/>
      </left>
      <right/>
      <top style="thin">
        <color theme="3" tint="0.39985351115451523"/>
      </top>
      <bottom/>
      <diagonal/>
    </border>
    <border>
      <left style="thin">
        <color rgb="FF00B0F0"/>
      </left>
      <right style="thin">
        <color rgb="FF00B0F0"/>
      </right>
      <top style="thin">
        <color rgb="FF00B0F0"/>
      </top>
      <bottom style="thin">
        <color rgb="FF00B0F0"/>
      </bottom>
      <diagonal/>
    </border>
    <border>
      <left style="thin">
        <color theme="3" tint="0.39988402966399123"/>
      </left>
      <right/>
      <top style="thin">
        <color theme="3" tint="0.39994506668294322"/>
      </top>
      <bottom style="thin">
        <color theme="3" tint="0.39988402966399123"/>
      </bottom>
      <diagonal/>
    </border>
    <border>
      <left/>
      <right/>
      <top style="thin">
        <color theme="3" tint="0.39994506668294322"/>
      </top>
      <bottom style="thin">
        <color theme="3" tint="0.39988402966399123"/>
      </bottom>
      <diagonal/>
    </border>
    <border>
      <left/>
      <right/>
      <top style="thin">
        <color theme="3" tint="0.39988402966399123"/>
      </top>
      <bottom/>
      <diagonal/>
    </border>
    <border>
      <left/>
      <right style="medium">
        <color indexed="64"/>
      </right>
      <top style="thin">
        <color theme="3" tint="0.39988402966399123"/>
      </top>
      <bottom/>
      <diagonal/>
    </border>
    <border>
      <left style="thin">
        <color theme="3" tint="0.39988402966399123"/>
      </left>
      <right/>
      <top style="thin">
        <color theme="3" tint="0.39988402966399123"/>
      </top>
      <bottom/>
      <diagonal/>
    </border>
    <border>
      <left/>
      <right style="thin">
        <color theme="3" tint="0.39991454817346722"/>
      </right>
      <top style="thin">
        <color theme="3" tint="0.39988402966399123"/>
      </top>
      <bottom/>
      <diagonal/>
    </border>
    <border>
      <left/>
      <right/>
      <top/>
      <bottom style="thin">
        <color theme="0"/>
      </bottom>
      <diagonal/>
    </border>
    <border>
      <left style="medium">
        <color rgb="FFFFFFFF"/>
      </left>
      <right/>
      <top style="medium">
        <color rgb="FFFFFFFF"/>
      </top>
      <bottom/>
      <diagonal/>
    </border>
    <border>
      <left style="thin">
        <color theme="3" tint="0.39991454817346722"/>
      </left>
      <right/>
      <top style="thin">
        <color theme="3" tint="0.39991454817346722"/>
      </top>
      <bottom style="thin">
        <color theme="3" tint="0.39994506668294322"/>
      </bottom>
      <diagonal/>
    </border>
    <border>
      <left/>
      <right style="thin">
        <color theme="3" tint="0.39994506668294322"/>
      </right>
      <top style="thin">
        <color theme="3" tint="0.39991454817346722"/>
      </top>
      <bottom style="thin">
        <color theme="3" tint="0.39994506668294322"/>
      </bottom>
      <diagonal/>
    </border>
  </borders>
  <cellStyleXfs count="136">
    <xf numFmtId="172" fontId="0" fillId="0" borderId="0"/>
    <xf numFmtId="172" fontId="12" fillId="0" borderId="0">
      <protection locked="0"/>
    </xf>
    <xf numFmtId="172" fontId="12" fillId="0" borderId="0">
      <protection locked="0"/>
    </xf>
    <xf numFmtId="172" fontId="11" fillId="0" borderId="0" applyFont="0" applyFill="0" applyBorder="0" applyAlignment="0" applyProtection="0"/>
    <xf numFmtId="172" fontId="13" fillId="0" borderId="0">
      <protection locked="0"/>
    </xf>
    <xf numFmtId="172" fontId="12" fillId="0" borderId="0">
      <protection locked="0"/>
    </xf>
    <xf numFmtId="172" fontId="14" fillId="0" borderId="0">
      <protection locked="0"/>
    </xf>
    <xf numFmtId="172" fontId="12" fillId="0" borderId="0">
      <protection locked="0"/>
    </xf>
    <xf numFmtId="172" fontId="13" fillId="0" borderId="0">
      <protection locked="0"/>
    </xf>
    <xf numFmtId="172" fontId="12" fillId="0" borderId="0">
      <protection locked="0"/>
    </xf>
    <xf numFmtId="172" fontId="13" fillId="0" borderId="0">
      <protection locked="0"/>
    </xf>
    <xf numFmtId="172" fontId="12" fillId="0" borderId="0">
      <protection locked="0"/>
    </xf>
    <xf numFmtId="166" fontId="12" fillId="0" borderId="0">
      <protection locked="0"/>
    </xf>
    <xf numFmtId="172" fontId="13" fillId="0" borderId="0">
      <protection locked="0"/>
    </xf>
    <xf numFmtId="172" fontId="13" fillId="0" borderId="0">
      <protection locked="0"/>
    </xf>
    <xf numFmtId="167" fontId="12" fillId="0" borderId="0">
      <protection locked="0"/>
    </xf>
    <xf numFmtId="168" fontId="12" fillId="0" borderId="0">
      <protection locked="0"/>
    </xf>
    <xf numFmtId="172" fontId="15" fillId="0" borderId="0"/>
    <xf numFmtId="172" fontId="11" fillId="0" borderId="0"/>
    <xf numFmtId="172" fontId="15" fillId="0" borderId="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9" fontId="12" fillId="0" borderId="0">
      <protection locked="0"/>
    </xf>
    <xf numFmtId="170" fontId="12" fillId="0" borderId="0">
      <protection locked="0"/>
    </xf>
    <xf numFmtId="172" fontId="16" fillId="0" borderId="0"/>
    <xf numFmtId="172" fontId="17" fillId="0" borderId="0"/>
    <xf numFmtId="172" fontId="10" fillId="0" borderId="0"/>
    <xf numFmtId="172" fontId="11" fillId="0" borderId="0"/>
    <xf numFmtId="9" fontId="11" fillId="0" borderId="0" applyFont="0" applyFill="0" applyBorder="0" applyAlignment="0" applyProtection="0"/>
    <xf numFmtId="43" fontId="11" fillId="0" borderId="0" applyFont="0" applyFill="0" applyBorder="0" applyAlignment="0" applyProtection="0"/>
    <xf numFmtId="172" fontId="18" fillId="0" borderId="0"/>
    <xf numFmtId="9" fontId="9" fillId="0" borderId="0" applyFont="0" applyFill="0" applyBorder="0" applyAlignment="0" applyProtection="0"/>
    <xf numFmtId="172" fontId="8" fillId="0" borderId="0"/>
    <xf numFmtId="172" fontId="7" fillId="0" borderId="0"/>
    <xf numFmtId="43" fontId="7" fillId="0" borderId="0" applyFont="0" applyFill="0" applyBorder="0" applyAlignment="0" applyProtection="0"/>
    <xf numFmtId="43" fontId="11" fillId="0" borderId="0" applyFont="0" applyFill="0" applyBorder="0" applyAlignment="0" applyProtection="0"/>
    <xf numFmtId="172" fontId="6" fillId="0" borderId="0"/>
    <xf numFmtId="172" fontId="11" fillId="0" borderId="0"/>
    <xf numFmtId="172" fontId="6" fillId="0" borderId="0"/>
    <xf numFmtId="172" fontId="6" fillId="0" borderId="0"/>
    <xf numFmtId="172" fontId="15" fillId="5" borderId="0" applyNumberFormat="0" applyBorder="0" applyAlignment="0" applyProtection="0"/>
    <xf numFmtId="172" fontId="15" fillId="6" borderId="0" applyNumberFormat="0" applyBorder="0" applyAlignment="0" applyProtection="0"/>
    <xf numFmtId="172" fontId="15" fillId="7" borderId="0" applyNumberFormat="0" applyBorder="0" applyAlignment="0" applyProtection="0"/>
    <xf numFmtId="172" fontId="15" fillId="8" borderId="0" applyNumberFormat="0" applyBorder="0" applyAlignment="0" applyProtection="0"/>
    <xf numFmtId="172" fontId="15" fillId="9" borderId="0" applyNumberFormat="0" applyBorder="0" applyAlignment="0" applyProtection="0"/>
    <xf numFmtId="172" fontId="15" fillId="10" borderId="0" applyNumberFormat="0" applyBorder="0" applyAlignment="0" applyProtection="0"/>
    <xf numFmtId="172" fontId="15" fillId="11" borderId="0" applyNumberFormat="0" applyBorder="0" applyAlignment="0" applyProtection="0"/>
    <xf numFmtId="172" fontId="15" fillId="12" borderId="0" applyNumberFormat="0" applyBorder="0" applyAlignment="0" applyProtection="0"/>
    <xf numFmtId="172" fontId="15" fillId="13" borderId="0" applyNumberFormat="0" applyBorder="0" applyAlignment="0" applyProtection="0"/>
    <xf numFmtId="172" fontId="15" fillId="8" borderId="0" applyNumberFormat="0" applyBorder="0" applyAlignment="0" applyProtection="0"/>
    <xf numFmtId="172" fontId="15" fillId="11" borderId="0" applyNumberFormat="0" applyBorder="0" applyAlignment="0" applyProtection="0"/>
    <xf numFmtId="172" fontId="15" fillId="14" borderId="0" applyNumberFormat="0" applyBorder="0" applyAlignment="0" applyProtection="0"/>
    <xf numFmtId="172" fontId="27" fillId="15" borderId="0" applyNumberFormat="0" applyBorder="0" applyAlignment="0" applyProtection="0"/>
    <xf numFmtId="172" fontId="27" fillId="12" borderId="0" applyNumberFormat="0" applyBorder="0" applyAlignment="0" applyProtection="0"/>
    <xf numFmtId="172" fontId="27" fillId="13"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18" borderId="0" applyNumberFormat="0" applyBorder="0" applyAlignment="0" applyProtection="0"/>
    <xf numFmtId="172" fontId="27" fillId="19" borderId="0" applyNumberFormat="0" applyBorder="0" applyAlignment="0" applyProtection="0"/>
    <xf numFmtId="172" fontId="27" fillId="20" borderId="0" applyNumberFormat="0" applyBorder="0" applyAlignment="0" applyProtection="0"/>
    <xf numFmtId="172" fontId="27" fillId="21" borderId="0" applyNumberFormat="0" applyBorder="0" applyAlignment="0" applyProtection="0"/>
    <xf numFmtId="172" fontId="27" fillId="16" borderId="0" applyNumberFormat="0" applyBorder="0" applyAlignment="0" applyProtection="0"/>
    <xf numFmtId="172" fontId="27" fillId="17" borderId="0" applyNumberFormat="0" applyBorder="0" applyAlignment="0" applyProtection="0"/>
    <xf numFmtId="172" fontId="27" fillId="22" borderId="0" applyNumberFormat="0" applyBorder="0" applyAlignment="0" applyProtection="0"/>
    <xf numFmtId="172" fontId="28" fillId="6" borderId="0" applyNumberFormat="0" applyBorder="0" applyAlignment="0" applyProtection="0"/>
    <xf numFmtId="172" fontId="29" fillId="23" borderId="12" applyNumberFormat="0" applyAlignment="0" applyProtection="0"/>
    <xf numFmtId="172" fontId="30" fillId="24" borderId="13" applyNumberFormat="0" applyAlignment="0" applyProtection="0"/>
    <xf numFmtId="172" fontId="31" fillId="0" borderId="0" applyNumberFormat="0" applyFill="0" applyBorder="0" applyAlignment="0" applyProtection="0"/>
    <xf numFmtId="172" fontId="32" fillId="7" borderId="0" applyNumberFormat="0" applyBorder="0" applyAlignment="0" applyProtection="0"/>
    <xf numFmtId="172" fontId="33" fillId="0" borderId="14" applyNumberFormat="0" applyFill="0" applyAlignment="0" applyProtection="0"/>
    <xf numFmtId="172" fontId="34" fillId="0" borderId="15" applyNumberFormat="0" applyFill="0" applyAlignment="0" applyProtection="0"/>
    <xf numFmtId="172" fontId="35" fillId="0" borderId="16" applyNumberFormat="0" applyFill="0" applyAlignment="0" applyProtection="0"/>
    <xf numFmtId="172" fontId="35" fillId="0" borderId="0" applyNumberFormat="0" applyFill="0" applyBorder="0" applyAlignment="0" applyProtection="0"/>
    <xf numFmtId="172" fontId="36" fillId="10" borderId="12" applyNumberFormat="0" applyAlignment="0" applyProtection="0"/>
    <xf numFmtId="172" fontId="37" fillId="0" borderId="17" applyNumberFormat="0" applyFill="0" applyAlignment="0" applyProtection="0"/>
    <xf numFmtId="43" fontId="6" fillId="0" borderId="0" applyFont="0" applyFill="0" applyBorder="0" applyAlignment="0" applyProtection="0"/>
    <xf numFmtId="172" fontId="38" fillId="25" borderId="0" applyNumberFormat="0" applyBorder="0" applyAlignment="0" applyProtection="0"/>
    <xf numFmtId="172" fontId="11" fillId="26" borderId="18" applyNumberFormat="0" applyFont="0" applyAlignment="0" applyProtection="0"/>
    <xf numFmtId="172" fontId="39" fillId="23" borderId="19" applyNumberFormat="0" applyAlignment="0" applyProtection="0"/>
    <xf numFmtId="9" fontId="6" fillId="0" borderId="0" applyFont="0" applyFill="0" applyBorder="0" applyAlignment="0" applyProtection="0"/>
    <xf numFmtId="172" fontId="40" fillId="0" borderId="0" applyNumberFormat="0" applyFill="0" applyBorder="0" applyAlignment="0" applyProtection="0"/>
    <xf numFmtId="172" fontId="41" fillId="0" borderId="20" applyNumberFormat="0" applyFill="0" applyAlignment="0" applyProtection="0"/>
    <xf numFmtId="172" fontId="42" fillId="0" borderId="0" applyNumberFormat="0" applyFill="0" applyBorder="0" applyAlignment="0" applyProtection="0"/>
    <xf numFmtId="172" fontId="11" fillId="0" borderId="0"/>
    <xf numFmtId="172" fontId="5" fillId="0" borderId="0"/>
    <xf numFmtId="172" fontId="11" fillId="0" borderId="0"/>
    <xf numFmtId="172" fontId="5" fillId="0" borderId="0"/>
    <xf numFmtId="172" fontId="5" fillId="0" borderId="0"/>
    <xf numFmtId="172" fontId="18" fillId="0" borderId="0"/>
    <xf numFmtId="172" fontId="4" fillId="0" borderId="0"/>
    <xf numFmtId="172" fontId="11" fillId="0" borderId="0"/>
    <xf numFmtId="172" fontId="18" fillId="0" borderId="0"/>
    <xf numFmtId="172" fontId="3" fillId="0" borderId="0"/>
    <xf numFmtId="41" fontId="11" fillId="0" borderId="0" applyFont="0" applyFill="0" applyBorder="0" applyAlignment="0" applyProtection="0"/>
    <xf numFmtId="174" fontId="52" fillId="0" borderId="0" applyFill="0" applyBorder="0" applyAlignment="0" applyProtection="0"/>
    <xf numFmtId="9" fontId="52" fillId="0" borderId="0" applyFill="0" applyBorder="0" applyAlignment="0" applyProtection="0"/>
    <xf numFmtId="0" fontId="11" fillId="0" borderId="0"/>
    <xf numFmtId="175" fontId="52" fillId="0" borderId="0" applyFill="0" applyBorder="0" applyAlignment="0" applyProtection="0"/>
    <xf numFmtId="176" fontId="52" fillId="0" borderId="0" applyFill="0" applyBorder="0" applyAlignment="0" applyProtection="0"/>
    <xf numFmtId="0" fontId="11" fillId="0" borderId="0"/>
    <xf numFmtId="174" fontId="11" fillId="0" borderId="0" applyFill="0" applyBorder="0" applyAlignment="0" applyProtection="0"/>
    <xf numFmtId="175" fontId="11" fillId="0" borderId="0" applyFill="0" applyBorder="0" applyAlignment="0" applyProtection="0"/>
    <xf numFmtId="9" fontId="11" fillId="0" borderId="0" applyFill="0" applyBorder="0" applyAlignment="0" applyProtection="0"/>
    <xf numFmtId="0" fontId="11" fillId="0" borderId="0"/>
    <xf numFmtId="0" fontId="2" fillId="0" borderId="0"/>
    <xf numFmtId="43" fontId="11" fillId="0" borderId="0" applyFont="0" applyFill="0" applyBorder="0" applyAlignment="0" applyProtection="0"/>
    <xf numFmtId="165" fontId="11" fillId="0" borderId="0" applyFont="0" applyFill="0" applyBorder="0" applyAlignment="0" applyProtection="0"/>
    <xf numFmtId="0" fontId="11" fillId="0" borderId="0"/>
    <xf numFmtId="9" fontId="11" fillId="0" borderId="0" applyFont="0" applyFill="0" applyBorder="0" applyAlignment="0" applyProtection="0"/>
    <xf numFmtId="185" fontId="11" fillId="0" borderId="0" applyFont="0" applyFill="0" applyBorder="0" applyAlignment="0" applyProtection="0"/>
    <xf numFmtId="0" fontId="1" fillId="0" borderId="0"/>
    <xf numFmtId="43" fontId="1" fillId="0" borderId="0" applyFont="0" applyFill="0" applyBorder="0" applyAlignment="0" applyProtection="0"/>
    <xf numFmtId="172" fontId="11" fillId="0" borderId="0"/>
    <xf numFmtId="172" fontId="11" fillId="0" borderId="0"/>
    <xf numFmtId="172" fontId="1" fillId="0" borderId="0"/>
    <xf numFmtId="9" fontId="1" fillId="0" borderId="0" applyFont="0" applyFill="0" applyBorder="0" applyAlignment="0" applyProtection="0"/>
    <xf numFmtId="172" fontId="1" fillId="0" borderId="0"/>
    <xf numFmtId="43" fontId="1" fillId="0" borderId="0" applyFont="0" applyFill="0" applyBorder="0" applyAlignment="0" applyProtection="0"/>
    <xf numFmtId="43" fontId="11" fillId="0" borderId="0" applyFont="0" applyFill="0" applyBorder="0" applyAlignment="0" applyProtection="0"/>
    <xf numFmtId="172" fontId="1" fillId="0" borderId="0"/>
    <xf numFmtId="172" fontId="1" fillId="0" borderId="0"/>
    <xf numFmtId="172" fontId="1" fillId="0" borderId="0"/>
    <xf numFmtId="43" fontId="1" fillId="0" borderId="0" applyFont="0" applyFill="0" applyBorder="0" applyAlignment="0" applyProtection="0"/>
    <xf numFmtId="9" fontId="1" fillId="0" borderId="0" applyFont="0" applyFill="0" applyBorder="0" applyAlignment="0" applyProtection="0"/>
    <xf numFmtId="172" fontId="1" fillId="0" borderId="0"/>
    <xf numFmtId="172" fontId="1" fillId="0" borderId="0"/>
    <xf numFmtId="41" fontId="11" fillId="0" borderId="0" applyFont="0" applyFill="0" applyBorder="0" applyAlignment="0" applyProtection="0"/>
    <xf numFmtId="174" fontId="11" fillId="0" borderId="0" applyFill="0" applyBorder="0" applyAlignment="0" applyProtection="0"/>
    <xf numFmtId="9" fontId="11" fillId="0" borderId="0" applyFill="0" applyBorder="0" applyAlignment="0" applyProtection="0"/>
    <xf numFmtId="175" fontId="11" fillId="0" borderId="0" applyFill="0" applyBorder="0" applyAlignment="0" applyProtection="0"/>
    <xf numFmtId="176" fontId="11" fillId="0" borderId="0" applyFill="0" applyBorder="0" applyAlignment="0" applyProtection="0"/>
    <xf numFmtId="0" fontId="1" fillId="0" borderId="0"/>
    <xf numFmtId="43" fontId="11" fillId="0" borderId="0" applyFont="0" applyFill="0" applyBorder="0" applyAlignment="0" applyProtection="0"/>
  </cellStyleXfs>
  <cellXfs count="1184">
    <xf numFmtId="172" fontId="0" fillId="0" borderId="0" xfId="0"/>
    <xf numFmtId="172" fontId="19" fillId="2" borderId="0" xfId="33" applyFont="1" applyFill="1" applyAlignment="1">
      <alignment vertical="center"/>
    </xf>
    <xf numFmtId="172" fontId="19" fillId="0" borderId="0" xfId="33" applyFont="1" applyFill="1" applyAlignment="1">
      <alignment horizontal="right" vertical="center"/>
    </xf>
    <xf numFmtId="3" fontId="20" fillId="0" borderId="3" xfId="33" applyNumberFormat="1" applyFont="1" applyFill="1" applyBorder="1" applyAlignment="1">
      <alignment horizontal="right" vertical="center"/>
    </xf>
    <xf numFmtId="172" fontId="19" fillId="0" borderId="1" xfId="33" applyFont="1" applyFill="1" applyBorder="1" applyAlignment="1">
      <alignment horizontal="right" vertical="center"/>
    </xf>
    <xf numFmtId="3" fontId="19" fillId="0" borderId="1" xfId="33" applyNumberFormat="1" applyFont="1" applyFill="1" applyBorder="1" applyAlignment="1">
      <alignment horizontal="left" vertical="center" wrapText="1"/>
    </xf>
    <xf numFmtId="172" fontId="19" fillId="0" borderId="0" xfId="33" applyFont="1" applyFill="1" applyAlignment="1">
      <alignment vertical="center"/>
    </xf>
    <xf numFmtId="172" fontId="19" fillId="0" borderId="0" xfId="33" applyFont="1" applyAlignment="1">
      <alignment vertical="center"/>
    </xf>
    <xf numFmtId="172" fontId="19" fillId="0" borderId="0" xfId="33" applyFont="1" applyAlignment="1">
      <alignment vertical="center" wrapText="1"/>
    </xf>
    <xf numFmtId="172" fontId="19" fillId="0" borderId="0" xfId="33" applyFont="1" applyAlignment="1">
      <alignment horizontal="center" vertical="center" wrapText="1"/>
    </xf>
    <xf numFmtId="172" fontId="20" fillId="0" borderId="0" xfId="33" applyFont="1" applyAlignment="1">
      <alignment vertical="center"/>
    </xf>
    <xf numFmtId="172" fontId="22" fillId="0" borderId="0" xfId="0" applyFont="1" applyAlignment="1"/>
    <xf numFmtId="172" fontId="22" fillId="0" borderId="0" xfId="0" applyFont="1" applyAlignment="1">
      <alignment horizontal="left"/>
    </xf>
    <xf numFmtId="172" fontId="22" fillId="0" borderId="0" xfId="0" applyFont="1" applyAlignment="1">
      <alignment horizontal="center"/>
    </xf>
    <xf numFmtId="172" fontId="0" fillId="0" borderId="0" xfId="0" applyAlignment="1">
      <alignment horizontal="center"/>
    </xf>
    <xf numFmtId="172" fontId="0" fillId="0" borderId="0" xfId="0" applyFont="1"/>
    <xf numFmtId="172" fontId="24" fillId="27" borderId="1" xfId="33" applyFont="1" applyFill="1" applyBorder="1" applyAlignment="1">
      <alignment horizontal="right" vertical="center"/>
    </xf>
    <xf numFmtId="172" fontId="24" fillId="27" borderId="1" xfId="35" applyFont="1" applyFill="1" applyBorder="1" applyAlignment="1">
      <alignment horizontal="left" vertical="center" wrapText="1"/>
    </xf>
    <xf numFmtId="171" fontId="0" fillId="0" borderId="0" xfId="38" applyNumberFormat="1" applyFont="1"/>
    <xf numFmtId="171" fontId="22" fillId="0" borderId="0" xfId="38" applyNumberFormat="1" applyFont="1" applyAlignment="1"/>
    <xf numFmtId="171" fontId="22" fillId="0" borderId="0" xfId="38" applyNumberFormat="1" applyFont="1" applyAlignment="1">
      <alignment horizontal="center"/>
    </xf>
    <xf numFmtId="171" fontId="24" fillId="3" borderId="11" xfId="38" applyNumberFormat="1" applyFont="1" applyFill="1" applyBorder="1" applyAlignment="1">
      <alignment horizontal="center" vertical="center" wrapText="1"/>
    </xf>
    <xf numFmtId="172" fontId="23" fillId="0" borderId="0" xfId="89" applyFont="1" applyAlignment="1">
      <alignment horizontal="center" vertical="center"/>
    </xf>
    <xf numFmtId="172" fontId="19" fillId="0" borderId="0" xfId="88" applyFont="1" applyAlignment="1">
      <alignment horizontal="center" vertical="center"/>
    </xf>
    <xf numFmtId="172" fontId="19" fillId="2" borderId="0" xfId="88" applyFont="1" applyFill="1" applyBorder="1" applyAlignment="1">
      <alignment horizontal="center" vertical="center"/>
    </xf>
    <xf numFmtId="172" fontId="19" fillId="2" borderId="0" xfId="86" applyFont="1" applyFill="1" applyBorder="1" applyAlignment="1">
      <alignment horizontal="center" vertical="center"/>
    </xf>
    <xf numFmtId="172" fontId="23" fillId="2" borderId="0" xfId="89" applyFont="1" applyFill="1" applyBorder="1" applyAlignment="1">
      <alignment horizontal="center" vertical="center"/>
    </xf>
    <xf numFmtId="172" fontId="19" fillId="2" borderId="0" xfId="86" applyFont="1" applyFill="1" applyBorder="1" applyAlignment="1">
      <alignment horizontal="center" vertical="center" wrapText="1"/>
    </xf>
    <xf numFmtId="172" fontId="19" fillId="4" borderId="6" xfId="88" applyFont="1" applyFill="1" applyBorder="1" applyAlignment="1">
      <alignment horizontal="center" vertical="center" wrapText="1"/>
    </xf>
    <xf numFmtId="172" fontId="23" fillId="0" borderId="0" xfId="89" applyFont="1" applyAlignment="1">
      <alignment horizontal="left" vertical="center" wrapText="1"/>
    </xf>
    <xf numFmtId="172" fontId="23" fillId="0" borderId="0" xfId="89" applyFont="1" applyAlignment="1">
      <alignment horizontal="left" vertical="center"/>
    </xf>
    <xf numFmtId="171" fontId="23" fillId="0" borderId="0" xfId="38" applyNumberFormat="1" applyFont="1" applyAlignment="1">
      <alignment horizontal="center" vertical="center"/>
    </xf>
    <xf numFmtId="173" fontId="23" fillId="0" borderId="0" xfId="89" applyNumberFormat="1" applyFont="1" applyAlignment="1">
      <alignment horizontal="center" vertical="center"/>
    </xf>
    <xf numFmtId="172" fontId="19" fillId="0" borderId="24" xfId="88" applyFont="1" applyFill="1" applyBorder="1" applyAlignment="1">
      <alignment horizontal="center" vertical="center" wrapText="1"/>
    </xf>
    <xf numFmtId="172" fontId="19" fillId="0" borderId="0" xfId="88" applyFont="1" applyFill="1" applyBorder="1" applyAlignment="1">
      <alignment horizontal="left" vertical="center" wrapText="1"/>
    </xf>
    <xf numFmtId="172" fontId="19" fillId="0" borderId="0" xfId="88" applyFont="1" applyFill="1" applyBorder="1" applyAlignment="1">
      <alignment horizontal="center" vertical="center" wrapText="1"/>
    </xf>
    <xf numFmtId="171" fontId="19" fillId="0" borderId="0" xfId="38" applyNumberFormat="1" applyFont="1" applyFill="1" applyBorder="1" applyAlignment="1">
      <alignment horizontal="center" vertical="center" wrapText="1"/>
    </xf>
    <xf numFmtId="173" fontId="19" fillId="0" borderId="0" xfId="88" applyNumberFormat="1" applyFont="1" applyFill="1" applyBorder="1" applyAlignment="1">
      <alignment horizontal="center" vertical="center" wrapText="1"/>
    </xf>
    <xf numFmtId="172" fontId="19" fillId="0" borderId="0" xfId="89" applyFont="1" applyAlignment="1">
      <alignment horizontal="center" vertical="center"/>
    </xf>
    <xf numFmtId="172" fontId="19" fillId="0" borderId="23" xfId="88" applyFont="1" applyFill="1" applyBorder="1" applyAlignment="1">
      <alignment horizontal="center" vertical="center" wrapText="1"/>
    </xf>
    <xf numFmtId="172" fontId="19" fillId="2" borderId="1" xfId="88" applyFont="1" applyFill="1" applyBorder="1" applyAlignment="1">
      <alignment horizontal="center" vertical="center" wrapText="1"/>
    </xf>
    <xf numFmtId="3" fontId="19" fillId="2" borderId="1" xfId="88" applyNumberFormat="1" applyFont="1" applyFill="1" applyBorder="1" applyAlignment="1">
      <alignment horizontal="left" vertical="center" wrapText="1"/>
    </xf>
    <xf numFmtId="172" fontId="19" fillId="2" borderId="1" xfId="88" applyFont="1" applyFill="1" applyBorder="1" applyAlignment="1">
      <alignment vertical="center" wrapText="1"/>
    </xf>
    <xf numFmtId="171" fontId="19" fillId="2" borderId="1" xfId="38" applyNumberFormat="1" applyFont="1" applyFill="1" applyBorder="1" applyAlignment="1">
      <alignment vertical="center" wrapText="1"/>
    </xf>
    <xf numFmtId="9" fontId="19" fillId="2" borderId="1" xfId="111" applyFont="1" applyFill="1" applyBorder="1" applyAlignment="1">
      <alignment horizontal="center" vertical="center"/>
    </xf>
    <xf numFmtId="171" fontId="19" fillId="2" borderId="1" xfId="38" applyNumberFormat="1" applyFont="1" applyFill="1" applyBorder="1" applyAlignment="1">
      <alignment horizontal="center" vertical="center"/>
    </xf>
    <xf numFmtId="171" fontId="26" fillId="4" borderId="1" xfId="89" applyNumberFormat="1" applyFont="1" applyFill="1" applyBorder="1" applyAlignment="1">
      <alignment horizontal="left" vertical="center"/>
    </xf>
    <xf numFmtId="172" fontId="23" fillId="4" borderId="1" xfId="89" applyFont="1" applyFill="1" applyBorder="1" applyAlignment="1">
      <alignment horizontal="center" vertical="center"/>
    </xf>
    <xf numFmtId="173" fontId="23" fillId="4" borderId="1" xfId="89" applyNumberFormat="1" applyFont="1" applyFill="1" applyBorder="1" applyAlignment="1">
      <alignment horizontal="center" vertical="center"/>
    </xf>
    <xf numFmtId="3" fontId="19" fillId="0" borderId="0" xfId="91" applyNumberFormat="1" applyFont="1" applyFill="1" applyBorder="1" applyAlignment="1">
      <alignment horizontal="left" vertical="center" wrapText="1"/>
    </xf>
    <xf numFmtId="3" fontId="19" fillId="0" borderId="0" xfId="88" applyNumberFormat="1" applyFont="1" applyFill="1" applyBorder="1" applyAlignment="1">
      <alignment horizontal="left" vertical="center" wrapText="1"/>
    </xf>
    <xf numFmtId="9" fontId="19" fillId="0" borderId="0" xfId="88" applyNumberFormat="1" applyFont="1" applyFill="1" applyBorder="1" applyAlignment="1">
      <alignment horizontal="center" vertical="center" wrapText="1"/>
    </xf>
    <xf numFmtId="14" fontId="19" fillId="0" borderId="0" xfId="88" applyNumberFormat="1" applyFont="1" applyFill="1" applyBorder="1" applyAlignment="1">
      <alignment horizontal="center" vertical="center" wrapText="1"/>
    </xf>
    <xf numFmtId="172" fontId="23" fillId="0" borderId="5" xfId="89" applyFont="1" applyFill="1" applyBorder="1" applyAlignment="1">
      <alignment horizontal="center" vertical="center"/>
    </xf>
    <xf numFmtId="3" fontId="19" fillId="0" borderId="1" xfId="88" applyNumberFormat="1" applyFont="1" applyFill="1" applyBorder="1" applyAlignment="1">
      <alignment horizontal="center" vertical="center" wrapText="1"/>
    </xf>
    <xf numFmtId="172" fontId="19" fillId="0" borderId="1" xfId="88" applyFont="1" applyFill="1" applyBorder="1" applyAlignment="1">
      <alignment horizontal="left" vertical="center" wrapText="1"/>
    </xf>
    <xf numFmtId="172" fontId="19" fillId="0" borderId="0" xfId="89" applyFont="1" applyAlignment="1">
      <alignment horizontal="left" vertical="center" wrapText="1"/>
    </xf>
    <xf numFmtId="172" fontId="19" fillId="0" borderId="0" xfId="89" applyFont="1" applyAlignment="1">
      <alignment horizontal="left" vertical="center"/>
    </xf>
    <xf numFmtId="171" fontId="19" fillId="0" borderId="0" xfId="38" applyNumberFormat="1" applyFont="1" applyAlignment="1">
      <alignment horizontal="center" vertical="center"/>
    </xf>
    <xf numFmtId="173" fontId="19" fillId="0" borderId="0" xfId="89" applyNumberFormat="1" applyFont="1" applyAlignment="1">
      <alignment horizontal="center" vertical="center"/>
    </xf>
    <xf numFmtId="172" fontId="23" fillId="0" borderId="0" xfId="89" applyFont="1" applyFill="1" applyAlignment="1">
      <alignment horizontal="center" vertical="center"/>
    </xf>
    <xf numFmtId="172" fontId="23" fillId="0" borderId="0" xfId="89" applyFont="1" applyBorder="1" applyAlignment="1">
      <alignment horizontal="center" vertical="center"/>
    </xf>
    <xf numFmtId="9" fontId="19" fillId="0" borderId="1" xfId="111" applyFont="1" applyBorder="1" applyAlignment="1">
      <alignment horizontal="center" vertical="center"/>
    </xf>
    <xf numFmtId="171" fontId="20" fillId="4" borderId="1" xfId="88" applyNumberFormat="1" applyFont="1" applyFill="1" applyBorder="1" applyAlignment="1">
      <alignment horizontal="center" vertical="center" wrapText="1"/>
    </xf>
    <xf numFmtId="172" fontId="19" fillId="4" borderId="1" xfId="88" applyFont="1" applyFill="1" applyBorder="1" applyAlignment="1">
      <alignment horizontal="center" vertical="center" wrapText="1"/>
    </xf>
    <xf numFmtId="173" fontId="19" fillId="4" borderId="1" xfId="88" applyNumberFormat="1" applyFont="1" applyFill="1" applyBorder="1" applyAlignment="1">
      <alignment horizontal="center" vertical="center" wrapText="1"/>
    </xf>
    <xf numFmtId="172" fontId="19" fillId="4" borderId="1" xfId="88" applyFont="1" applyFill="1" applyBorder="1" applyAlignment="1">
      <alignment horizontal="left" vertical="center" wrapText="1"/>
    </xf>
    <xf numFmtId="172" fontId="19" fillId="0" borderId="1" xfId="88" applyFont="1" applyFill="1" applyBorder="1" applyAlignment="1">
      <alignment vertical="center" wrapText="1"/>
    </xf>
    <xf numFmtId="172" fontId="19" fillId="2" borderId="1" xfId="88" applyFont="1" applyFill="1" applyBorder="1" applyAlignment="1">
      <alignment horizontal="left" vertical="center" wrapText="1"/>
    </xf>
    <xf numFmtId="9" fontId="19" fillId="2" borderId="1" xfId="88" applyNumberFormat="1" applyFont="1" applyFill="1" applyBorder="1" applyAlignment="1">
      <alignment horizontal="center" vertical="center" wrapText="1"/>
    </xf>
    <xf numFmtId="172" fontId="19" fillId="0" borderId="1" xfId="88" applyFont="1" applyFill="1" applyBorder="1" applyAlignment="1">
      <alignment horizontal="center" vertical="center" wrapText="1"/>
    </xf>
    <xf numFmtId="171" fontId="19" fillId="0" borderId="1" xfId="38" applyNumberFormat="1" applyFont="1" applyFill="1" applyBorder="1" applyAlignment="1">
      <alignment horizontal="center" vertical="center" wrapText="1"/>
    </xf>
    <xf numFmtId="171" fontId="19" fillId="2" borderId="1" xfId="38" applyNumberFormat="1" applyFont="1" applyFill="1" applyBorder="1" applyAlignment="1">
      <alignment horizontal="center" vertical="center" wrapText="1"/>
    </xf>
    <xf numFmtId="9" fontId="19" fillId="0" borderId="1" xfId="88" applyNumberFormat="1" applyFont="1" applyFill="1" applyBorder="1" applyAlignment="1">
      <alignment horizontal="center" vertical="center" wrapText="1"/>
    </xf>
    <xf numFmtId="173" fontId="19" fillId="0" borderId="1" xfId="88" applyNumberFormat="1" applyFont="1" applyFill="1" applyBorder="1" applyAlignment="1">
      <alignment horizontal="center" vertical="center" wrapText="1"/>
    </xf>
    <xf numFmtId="172" fontId="19" fillId="0" borderId="1" xfId="88" applyFont="1" applyBorder="1" applyAlignment="1">
      <alignment horizontal="center" vertical="center"/>
    </xf>
    <xf numFmtId="173" fontId="20" fillId="32" borderId="2" xfId="88" applyNumberFormat="1" applyFont="1" applyFill="1" applyBorder="1" applyAlignment="1">
      <alignment horizontal="center" vertical="center" wrapText="1"/>
    </xf>
    <xf numFmtId="171" fontId="20" fillId="4" borderId="3" xfId="88" applyNumberFormat="1" applyFont="1" applyFill="1" applyBorder="1" applyAlignment="1">
      <alignment horizontal="center" vertical="center" wrapText="1"/>
    </xf>
    <xf numFmtId="172" fontId="19" fillId="4" borderId="3" xfId="88" applyFont="1" applyFill="1" applyBorder="1" applyAlignment="1">
      <alignment horizontal="center" vertical="center" wrapText="1"/>
    </xf>
    <xf numFmtId="173" fontId="19" fillId="4" borderId="3" xfId="88" applyNumberFormat="1" applyFont="1" applyFill="1" applyBorder="1" applyAlignment="1">
      <alignment horizontal="center" vertical="center" wrapText="1"/>
    </xf>
    <xf numFmtId="172" fontId="19" fillId="4" borderId="3" xfId="88" applyFont="1" applyFill="1" applyBorder="1" applyAlignment="1">
      <alignment horizontal="left" vertical="center" wrapText="1"/>
    </xf>
    <xf numFmtId="172" fontId="44" fillId="0" borderId="0" xfId="87" applyFont="1" applyAlignment="1">
      <alignment vertical="center"/>
    </xf>
    <xf numFmtId="172" fontId="19" fillId="2" borderId="1" xfId="88" applyFont="1" applyFill="1" applyBorder="1" applyAlignment="1">
      <alignment horizontal="center" vertical="center"/>
    </xf>
    <xf numFmtId="172" fontId="19" fillId="2" borderId="23" xfId="88" applyFont="1" applyFill="1" applyBorder="1" applyAlignment="1">
      <alignment horizontal="center" vertical="center" wrapText="1"/>
    </xf>
    <xf numFmtId="172" fontId="23" fillId="2" borderId="0" xfId="89" applyFont="1" applyFill="1" applyAlignment="1">
      <alignment horizontal="center" vertical="center"/>
    </xf>
    <xf numFmtId="37" fontId="19" fillId="2" borderId="1" xfId="88" applyNumberFormat="1" applyFont="1" applyFill="1" applyBorder="1" applyAlignment="1">
      <alignment horizontal="right" vertical="center" wrapText="1"/>
    </xf>
    <xf numFmtId="172" fontId="19" fillId="2" borderId="0" xfId="89" applyFont="1" applyFill="1" applyBorder="1" applyAlignment="1">
      <alignment horizontal="center" vertical="center"/>
    </xf>
    <xf numFmtId="3" fontId="19" fillId="2" borderId="21" xfId="33" applyNumberFormat="1" applyFont="1" applyFill="1" applyBorder="1" applyAlignment="1">
      <alignment horizontal="left" vertical="center" wrapText="1"/>
    </xf>
    <xf numFmtId="172" fontId="46" fillId="2" borderId="0" xfId="87" applyFont="1" applyFill="1" applyAlignment="1">
      <alignment vertical="center"/>
    </xf>
    <xf numFmtId="172" fontId="46" fillId="0" borderId="0" xfId="87" applyFont="1" applyAlignment="1">
      <alignment vertical="center"/>
    </xf>
    <xf numFmtId="172" fontId="20" fillId="32" borderId="1" xfId="88" applyFont="1" applyFill="1" applyBorder="1" applyAlignment="1">
      <alignment horizontal="center" vertical="center" wrapText="1"/>
    </xf>
    <xf numFmtId="172" fontId="20" fillId="32" borderId="1" xfId="88" applyFont="1" applyFill="1" applyBorder="1" applyAlignment="1">
      <alignment horizontal="left" vertical="center" wrapText="1"/>
    </xf>
    <xf numFmtId="173" fontId="20" fillId="32" borderId="1" xfId="88" applyNumberFormat="1" applyFont="1" applyFill="1" applyBorder="1" applyAlignment="1">
      <alignment horizontal="center" vertical="center" wrapText="1"/>
    </xf>
    <xf numFmtId="172" fontId="20" fillId="32" borderId="2" xfId="88" applyFont="1" applyFill="1" applyBorder="1" applyAlignment="1">
      <alignment horizontal="center" vertical="center" wrapText="1"/>
    </xf>
    <xf numFmtId="172" fontId="20" fillId="32" borderId="2" xfId="88" applyFont="1" applyFill="1" applyBorder="1" applyAlignment="1">
      <alignment horizontal="left" vertical="center" wrapText="1"/>
    </xf>
    <xf numFmtId="171" fontId="20" fillId="32" borderId="1" xfId="38" applyNumberFormat="1" applyFont="1" applyFill="1" applyBorder="1" applyAlignment="1">
      <alignment horizontal="center" vertical="center" wrapText="1"/>
    </xf>
    <xf numFmtId="172" fontId="19" fillId="0" borderId="25" xfId="88" applyFont="1" applyBorder="1" applyAlignment="1">
      <alignment horizontal="center" vertical="center"/>
    </xf>
    <xf numFmtId="3" fontId="19" fillId="2" borderId="1" xfId="33" applyNumberFormat="1" applyFont="1" applyFill="1" applyBorder="1" applyAlignment="1">
      <alignment horizontal="left" vertical="center" wrapText="1"/>
    </xf>
    <xf numFmtId="172" fontId="43" fillId="29" borderId="21" xfId="0" applyNumberFormat="1" applyFont="1" applyFill="1" applyBorder="1" applyAlignment="1">
      <alignment horizontal="center" vertical="center" wrapText="1"/>
    </xf>
    <xf numFmtId="171" fontId="43" fillId="29" borderId="21" xfId="38" applyNumberFormat="1" applyFont="1" applyFill="1" applyBorder="1" applyAlignment="1">
      <alignment horizontal="center" vertical="center" wrapText="1"/>
    </xf>
    <xf numFmtId="3" fontId="47" fillId="2" borderId="21" xfId="0" applyNumberFormat="1" applyFont="1" applyFill="1" applyBorder="1" applyAlignment="1">
      <alignment horizontal="justify" vertical="center" wrapText="1"/>
    </xf>
    <xf numFmtId="172" fontId="46" fillId="0" borderId="21" xfId="0" applyNumberFormat="1" applyFont="1" applyBorder="1" applyAlignment="1">
      <alignment horizontal="center" vertical="center" wrapText="1"/>
    </xf>
    <xf numFmtId="171" fontId="47" fillId="0" borderId="21" xfId="38" applyNumberFormat="1" applyFont="1" applyBorder="1" applyAlignment="1">
      <alignment horizontal="right" vertical="center" wrapText="1"/>
    </xf>
    <xf numFmtId="3" fontId="47" fillId="2" borderId="21" xfId="0" applyNumberFormat="1" applyFont="1" applyFill="1" applyBorder="1" applyAlignment="1">
      <alignment vertical="center" wrapText="1"/>
    </xf>
    <xf numFmtId="172" fontId="46" fillId="2" borderId="21" xfId="0" applyNumberFormat="1" applyFont="1" applyFill="1" applyBorder="1" applyAlignment="1">
      <alignment horizontal="center" vertical="center" wrapText="1"/>
    </xf>
    <xf numFmtId="171" fontId="47" fillId="2" borderId="21" xfId="38" applyNumberFormat="1" applyFont="1" applyFill="1" applyBorder="1" applyAlignment="1">
      <alignment vertical="center" wrapText="1"/>
    </xf>
    <xf numFmtId="3" fontId="47" fillId="2" borderId="0" xfId="0" applyNumberFormat="1" applyFont="1" applyFill="1" applyBorder="1" applyAlignment="1">
      <alignment vertical="center" wrapText="1"/>
    </xf>
    <xf numFmtId="172" fontId="46" fillId="0" borderId="0" xfId="0" applyNumberFormat="1" applyFont="1" applyBorder="1" applyAlignment="1">
      <alignment horizontal="center" vertical="center" wrapText="1"/>
    </xf>
    <xf numFmtId="171" fontId="47" fillId="2" borderId="0" xfId="38" applyNumberFormat="1" applyFont="1" applyFill="1" applyBorder="1" applyAlignment="1">
      <alignment vertical="center" wrapText="1"/>
    </xf>
    <xf numFmtId="172" fontId="43" fillId="28" borderId="21" xfId="0" applyNumberFormat="1" applyFont="1" applyFill="1" applyBorder="1" applyAlignment="1">
      <alignment horizontal="center" vertical="center" wrapText="1"/>
    </xf>
    <xf numFmtId="172" fontId="45" fillId="28" borderId="21" xfId="0" applyNumberFormat="1" applyFont="1" applyFill="1" applyBorder="1" applyAlignment="1">
      <alignment horizontal="center" vertical="center" wrapText="1"/>
    </xf>
    <xf numFmtId="172" fontId="45" fillId="28" borderId="21" xfId="0" applyNumberFormat="1" applyFont="1" applyFill="1" applyBorder="1" applyAlignment="1">
      <alignment horizontal="justify" vertical="center" wrapText="1"/>
    </xf>
    <xf numFmtId="171" fontId="43" fillId="28" borderId="21" xfId="38" applyNumberFormat="1" applyFont="1" applyFill="1" applyBorder="1" applyAlignment="1">
      <alignment horizontal="justify" vertical="center" wrapText="1"/>
    </xf>
    <xf numFmtId="171" fontId="46" fillId="0" borderId="0" xfId="38" applyNumberFormat="1" applyFont="1" applyAlignment="1">
      <alignment vertical="center"/>
    </xf>
    <xf numFmtId="172" fontId="47" fillId="0" borderId="21" xfId="0" applyNumberFormat="1" applyFont="1" applyBorder="1" applyAlignment="1">
      <alignment horizontal="center" vertical="center" wrapText="1"/>
    </xf>
    <xf numFmtId="171" fontId="47" fillId="0" borderId="21" xfId="38" applyNumberFormat="1" applyFont="1" applyBorder="1" applyAlignment="1">
      <alignment horizontal="center" vertical="center" wrapText="1"/>
    </xf>
    <xf numFmtId="172" fontId="47" fillId="0" borderId="21" xfId="0" applyNumberFormat="1" applyFont="1" applyBorder="1" applyAlignment="1">
      <alignment vertical="center" wrapText="1"/>
    </xf>
    <xf numFmtId="171" fontId="43" fillId="28" borderId="21" xfId="38" applyNumberFormat="1" applyFont="1" applyFill="1" applyBorder="1" applyAlignment="1">
      <alignment horizontal="center" vertical="center" wrapText="1"/>
    </xf>
    <xf numFmtId="3" fontId="47" fillId="0" borderId="21" xfId="0" applyNumberFormat="1" applyFont="1" applyBorder="1" applyAlignment="1">
      <alignment vertical="center" wrapText="1"/>
    </xf>
    <xf numFmtId="171" fontId="43" fillId="28" borderId="21" xfId="38" applyNumberFormat="1" applyFont="1" applyFill="1" applyBorder="1" applyAlignment="1">
      <alignment horizontal="right" vertical="center" wrapText="1"/>
    </xf>
    <xf numFmtId="171" fontId="47" fillId="0" borderId="21" xfId="38" applyNumberFormat="1" applyFont="1" applyBorder="1" applyAlignment="1">
      <alignment vertical="center" wrapText="1"/>
    </xf>
    <xf numFmtId="172" fontId="43" fillId="28" borderId="21" xfId="0" applyNumberFormat="1" applyFont="1" applyFill="1" applyBorder="1" applyAlignment="1">
      <alignment horizontal="justify" vertical="center" wrapText="1"/>
    </xf>
    <xf numFmtId="171" fontId="46" fillId="2" borderId="0" xfId="38" applyNumberFormat="1" applyFont="1" applyFill="1" applyAlignment="1">
      <alignment vertical="center"/>
    </xf>
    <xf numFmtId="3" fontId="46" fillId="2" borderId="21" xfId="0" applyNumberFormat="1" applyFont="1" applyFill="1" applyBorder="1" applyAlignment="1">
      <alignment vertical="center" wrapText="1"/>
    </xf>
    <xf numFmtId="172" fontId="46" fillId="0" borderId="21" xfId="0" applyNumberFormat="1" applyFont="1" applyBorder="1" applyAlignment="1">
      <alignment vertical="center" wrapText="1"/>
    </xf>
    <xf numFmtId="172" fontId="50" fillId="28" borderId="21" xfId="0" applyNumberFormat="1" applyFont="1" applyFill="1" applyBorder="1" applyAlignment="1">
      <alignment horizontal="justify" vertical="center" wrapText="1"/>
    </xf>
    <xf numFmtId="172" fontId="50" fillId="28" borderId="21" xfId="0" applyNumberFormat="1" applyFont="1" applyFill="1" applyBorder="1" applyAlignment="1">
      <alignment horizontal="center" vertical="center" wrapText="1"/>
    </xf>
    <xf numFmtId="171" fontId="50" fillId="28" borderId="21" xfId="38" applyNumberFormat="1" applyFont="1" applyFill="1" applyBorder="1" applyAlignment="1">
      <alignment horizontal="right" vertical="center" wrapText="1"/>
    </xf>
    <xf numFmtId="172" fontId="49" fillId="0" borderId="0" xfId="0" applyNumberFormat="1" applyFont="1" applyAlignment="1">
      <alignment vertical="center"/>
    </xf>
    <xf numFmtId="172" fontId="49" fillId="0" borderId="0" xfId="0" applyNumberFormat="1" applyFont="1" applyAlignment="1">
      <alignment horizontal="center" vertical="center"/>
    </xf>
    <xf numFmtId="171" fontId="49" fillId="0" borderId="0" xfId="38" applyNumberFormat="1" applyFont="1" applyAlignment="1">
      <alignment vertical="center"/>
    </xf>
    <xf numFmtId="172" fontId="48" fillId="0" borderId="0" xfId="0" applyNumberFormat="1" applyFont="1" applyAlignment="1">
      <alignment horizontal="justify" vertical="center"/>
    </xf>
    <xf numFmtId="172" fontId="19" fillId="0" borderId="0" xfId="94" applyFont="1" applyFill="1" applyAlignment="1">
      <alignment horizontal="right" vertical="center" wrapText="1"/>
    </xf>
    <xf numFmtId="172" fontId="18" fillId="0" borderId="0" xfId="94" applyFont="1" applyAlignment="1">
      <alignment vertical="center" wrapText="1"/>
    </xf>
    <xf numFmtId="172" fontId="19" fillId="0" borderId="0" xfId="94" applyFont="1" applyAlignment="1">
      <alignment vertical="center" wrapText="1"/>
    </xf>
    <xf numFmtId="17" fontId="18" fillId="0" borderId="0" xfId="94" applyNumberFormat="1" applyFont="1" applyAlignment="1">
      <alignment horizontal="center" vertical="center" wrapText="1"/>
    </xf>
    <xf numFmtId="171" fontId="18" fillId="0" borderId="0" xfId="38" applyNumberFormat="1" applyFont="1" applyAlignment="1">
      <alignment horizontal="center" vertical="center" wrapText="1"/>
    </xf>
    <xf numFmtId="17" fontId="18" fillId="0" borderId="0" xfId="38" applyNumberFormat="1" applyFont="1" applyAlignment="1">
      <alignment horizontal="center" vertical="center" wrapText="1"/>
    </xf>
    <xf numFmtId="171" fontId="18" fillId="0" borderId="0" xfId="38" applyNumberFormat="1" applyFont="1" applyAlignment="1">
      <alignment horizontal="right" vertical="center" wrapText="1"/>
    </xf>
    <xf numFmtId="172" fontId="18" fillId="0" borderId="0" xfId="94" applyFont="1" applyAlignment="1">
      <alignment horizontal="center" vertical="center" wrapText="1"/>
    </xf>
    <xf numFmtId="172" fontId="19" fillId="0" borderId="0" xfId="88" applyFont="1" applyBorder="1" applyAlignment="1">
      <alignment horizontal="center" vertical="center"/>
    </xf>
    <xf numFmtId="173" fontId="19" fillId="0" borderId="1" xfId="88" applyNumberFormat="1" applyFont="1" applyFill="1" applyBorder="1" applyAlignment="1">
      <alignment horizontal="left" vertical="center" wrapText="1"/>
    </xf>
    <xf numFmtId="17" fontId="23" fillId="0" borderId="21" xfId="92" applyNumberFormat="1" applyFont="1" applyBorder="1" applyAlignment="1">
      <alignment horizontal="center" vertical="center"/>
    </xf>
    <xf numFmtId="172" fontId="19" fillId="2" borderId="21" xfId="88" applyFont="1" applyFill="1" applyBorder="1" applyAlignment="1">
      <alignment horizontal="center" vertical="center"/>
    </xf>
    <xf numFmtId="172" fontId="19" fillId="0" borderId="0" xfId="0" applyFont="1"/>
    <xf numFmtId="172" fontId="19" fillId="0" borderId="0" xfId="0" applyFont="1" applyFill="1"/>
    <xf numFmtId="9" fontId="19" fillId="0" borderId="0" xfId="111" applyFont="1"/>
    <xf numFmtId="172" fontId="23" fillId="0" borderId="0" xfId="29" applyFont="1" applyAlignment="1">
      <alignment vertical="center"/>
    </xf>
    <xf numFmtId="172" fontId="20" fillId="2" borderId="0" xfId="29" applyFont="1" applyFill="1" applyAlignment="1">
      <alignment horizontal="center" vertical="center"/>
    </xf>
    <xf numFmtId="171" fontId="19" fillId="0" borderId="0" xfId="38" applyNumberFormat="1" applyFont="1" applyAlignment="1">
      <alignment vertical="center"/>
    </xf>
    <xf numFmtId="173" fontId="23" fillId="4" borderId="25" xfId="89" applyNumberFormat="1" applyFont="1" applyFill="1" applyBorder="1" applyAlignment="1">
      <alignment horizontal="center" vertical="center"/>
    </xf>
    <xf numFmtId="173" fontId="20" fillId="32" borderId="25" xfId="88" applyNumberFormat="1" applyFont="1" applyFill="1" applyBorder="1" applyAlignment="1">
      <alignment horizontal="center" vertical="center" wrapText="1"/>
    </xf>
    <xf numFmtId="171" fontId="20" fillId="32" borderId="21" xfId="38" applyNumberFormat="1" applyFont="1" applyFill="1" applyBorder="1" applyAlignment="1">
      <alignment horizontal="center" vertical="center" wrapText="1"/>
    </xf>
    <xf numFmtId="172" fontId="20" fillId="32" borderId="21" xfId="88" applyFont="1" applyFill="1" applyBorder="1" applyAlignment="1">
      <alignment horizontal="center" vertical="center" wrapText="1"/>
    </xf>
    <xf numFmtId="173" fontId="20" fillId="32" borderId="21" xfId="88" applyNumberFormat="1" applyFont="1" applyFill="1" applyBorder="1" applyAlignment="1">
      <alignment horizontal="center" vertical="center" wrapText="1"/>
    </xf>
    <xf numFmtId="3" fontId="19" fillId="2" borderId="21" xfId="88" applyNumberFormat="1" applyFont="1" applyFill="1" applyBorder="1" applyAlignment="1">
      <alignment horizontal="left" vertical="center" wrapText="1"/>
    </xf>
    <xf numFmtId="172" fontId="19" fillId="2" borderId="21" xfId="88" applyFont="1" applyFill="1" applyBorder="1" applyAlignment="1">
      <alignment horizontal="center" vertical="center" wrapText="1"/>
    </xf>
    <xf numFmtId="172" fontId="19" fillId="2" borderId="21" xfId="88" applyFont="1" applyFill="1" applyBorder="1" applyAlignment="1">
      <alignment vertical="center" wrapText="1"/>
    </xf>
    <xf numFmtId="171" fontId="19" fillId="2" borderId="21" xfId="38" applyNumberFormat="1" applyFont="1" applyFill="1" applyBorder="1" applyAlignment="1">
      <alignment vertical="center" wrapText="1"/>
    </xf>
    <xf numFmtId="9" fontId="19" fillId="2" borderId="21" xfId="88" applyNumberFormat="1" applyFont="1" applyFill="1" applyBorder="1" applyAlignment="1">
      <alignment vertical="center" wrapText="1"/>
    </xf>
    <xf numFmtId="9" fontId="19" fillId="2" borderId="21" xfId="111" applyFont="1" applyFill="1" applyBorder="1" applyAlignment="1">
      <alignment horizontal="center" vertical="center"/>
    </xf>
    <xf numFmtId="171" fontId="19" fillId="2" borderId="21" xfId="38" applyNumberFormat="1" applyFont="1" applyFill="1" applyBorder="1" applyAlignment="1">
      <alignment horizontal="center" vertical="center"/>
    </xf>
    <xf numFmtId="171" fontId="26" fillId="4" borderId="21" xfId="89" applyNumberFormat="1" applyFont="1" applyFill="1" applyBorder="1" applyAlignment="1">
      <alignment horizontal="center" vertical="center"/>
    </xf>
    <xf numFmtId="172" fontId="23" fillId="4" borderId="21" xfId="89" applyFont="1" applyFill="1" applyBorder="1" applyAlignment="1">
      <alignment horizontal="center" vertical="center"/>
    </xf>
    <xf numFmtId="173" fontId="23" fillId="4" borderId="21" xfId="89" applyNumberFormat="1" applyFont="1" applyFill="1" applyBorder="1" applyAlignment="1">
      <alignment horizontal="center" vertical="center"/>
    </xf>
    <xf numFmtId="171" fontId="26" fillId="4" borderId="21" xfId="89" applyNumberFormat="1" applyFont="1" applyFill="1" applyBorder="1" applyAlignment="1">
      <alignment horizontal="left" vertical="center"/>
    </xf>
    <xf numFmtId="172" fontId="26" fillId="0" borderId="0" xfId="0" applyFont="1" applyAlignment="1"/>
    <xf numFmtId="172" fontId="26" fillId="0" borderId="0" xfId="0" applyFont="1" applyAlignment="1">
      <alignment horizontal="center"/>
    </xf>
    <xf numFmtId="171" fontId="26" fillId="0" borderId="0" xfId="38" applyNumberFormat="1" applyFont="1" applyAlignment="1">
      <alignment horizontal="center"/>
    </xf>
    <xf numFmtId="172" fontId="19" fillId="0" borderId="0" xfId="33" applyFont="1" applyAlignment="1">
      <alignment horizontal="center" vertical="center"/>
    </xf>
    <xf numFmtId="3" fontId="19" fillId="2" borderId="22" xfId="33" applyNumberFormat="1" applyFont="1" applyFill="1" applyBorder="1" applyAlignment="1">
      <alignment vertical="center" wrapText="1"/>
    </xf>
    <xf numFmtId="172" fontId="20" fillId="0" borderId="0" xfId="33" applyFont="1" applyAlignment="1">
      <alignment horizontal="center" vertical="center"/>
    </xf>
    <xf numFmtId="3" fontId="24" fillId="28" borderId="22" xfId="33" applyNumberFormat="1" applyFont="1" applyFill="1" applyBorder="1" applyAlignment="1">
      <alignment horizontal="center" vertical="center" wrapText="1"/>
    </xf>
    <xf numFmtId="171" fontId="24" fillId="28" borderId="22" xfId="38" applyNumberFormat="1" applyFont="1" applyFill="1" applyBorder="1" applyAlignment="1">
      <alignment horizontal="center" vertical="center" wrapText="1"/>
    </xf>
    <xf numFmtId="3" fontId="24" fillId="3" borderId="22" xfId="33" applyNumberFormat="1" applyFont="1" applyFill="1" applyBorder="1" applyAlignment="1">
      <alignment horizontal="left" vertical="center" wrapText="1"/>
    </xf>
    <xf numFmtId="3" fontId="24" fillId="3" borderId="22" xfId="33" applyNumberFormat="1" applyFont="1" applyFill="1" applyBorder="1" applyAlignment="1">
      <alignment horizontal="center" vertical="center" wrapText="1"/>
    </xf>
    <xf numFmtId="3" fontId="20" fillId="2" borderId="22" xfId="33" applyNumberFormat="1" applyFont="1" applyFill="1" applyBorder="1" applyAlignment="1">
      <alignment horizontal="center" vertical="center" wrapText="1"/>
    </xf>
    <xf numFmtId="3" fontId="19" fillId="2" borderId="22" xfId="33" applyNumberFormat="1" applyFont="1" applyFill="1" applyBorder="1" applyAlignment="1">
      <alignment horizontal="center" vertical="center" wrapText="1"/>
    </xf>
    <xf numFmtId="171" fontId="19" fillId="2" borderId="22" xfId="38" applyNumberFormat="1" applyFont="1" applyFill="1" applyBorder="1" applyAlignment="1">
      <alignment horizontal="center" vertical="center"/>
    </xf>
    <xf numFmtId="171" fontId="19" fillId="0" borderId="22" xfId="38" applyNumberFormat="1" applyFont="1" applyFill="1" applyBorder="1" applyAlignment="1">
      <alignment horizontal="center" vertical="center"/>
    </xf>
    <xf numFmtId="41" fontId="24" fillId="3" borderId="22" xfId="96" applyFont="1" applyFill="1" applyBorder="1" applyAlignment="1">
      <alignment horizontal="left" vertical="center" wrapText="1"/>
    </xf>
    <xf numFmtId="41" fontId="20" fillId="0" borderId="0" xfId="96" applyFont="1" applyAlignment="1">
      <alignment horizontal="left" vertical="center"/>
    </xf>
    <xf numFmtId="41" fontId="24" fillId="28" borderId="22" xfId="96" applyFont="1" applyFill="1" applyBorder="1" applyAlignment="1">
      <alignment horizontal="left" vertical="center" wrapText="1"/>
    </xf>
    <xf numFmtId="41" fontId="19" fillId="0" borderId="0" xfId="96" applyFont="1" applyAlignment="1">
      <alignment horizontal="left" vertical="center" wrapText="1"/>
    </xf>
    <xf numFmtId="41" fontId="19" fillId="2" borderId="22" xfId="96" applyFont="1" applyFill="1" applyBorder="1" applyAlignment="1">
      <alignment horizontal="right" vertical="center" wrapText="1"/>
    </xf>
    <xf numFmtId="41" fontId="24" fillId="3" borderId="7" xfId="96" applyFont="1" applyFill="1" applyBorder="1" applyAlignment="1">
      <alignment horizontal="center" vertical="center" wrapText="1"/>
    </xf>
    <xf numFmtId="17" fontId="51" fillId="27" borderId="1" xfId="33" applyNumberFormat="1" applyFont="1" applyFill="1" applyBorder="1" applyAlignment="1">
      <alignment horizontal="center" vertical="center" wrapText="1"/>
    </xf>
    <xf numFmtId="17" fontId="51" fillId="2" borderId="1" xfId="33" applyNumberFormat="1" applyFont="1" applyFill="1" applyBorder="1" applyAlignment="1">
      <alignment horizontal="center" vertical="center" wrapText="1"/>
    </xf>
    <xf numFmtId="3" fontId="19" fillId="2" borderId="1" xfId="33" applyNumberFormat="1" applyFont="1" applyFill="1" applyBorder="1" applyAlignment="1">
      <alignment horizontal="left" vertical="center" wrapText="1"/>
    </xf>
    <xf numFmtId="41" fontId="19" fillId="0" borderId="0" xfId="96" applyFont="1" applyAlignment="1">
      <alignment vertical="center"/>
    </xf>
    <xf numFmtId="3" fontId="19" fillId="2" borderId="1" xfId="88" applyNumberFormat="1" applyFont="1" applyFill="1" applyBorder="1" applyAlignment="1">
      <alignment horizontal="center" vertical="center" wrapText="1"/>
    </xf>
    <xf numFmtId="172" fontId="23" fillId="2" borderId="22" xfId="35" applyFont="1" applyFill="1" applyBorder="1" applyAlignment="1">
      <alignment horizontal="center" vertical="center"/>
    </xf>
    <xf numFmtId="172" fontId="19" fillId="2" borderId="25" xfId="88" applyFont="1" applyFill="1" applyBorder="1" applyAlignment="1">
      <alignment horizontal="center" vertical="center" wrapText="1"/>
    </xf>
    <xf numFmtId="172" fontId="19" fillId="2" borderId="8" xfId="88" applyFont="1" applyFill="1" applyBorder="1" applyAlignment="1">
      <alignment horizontal="center" vertical="center" wrapText="1"/>
    </xf>
    <xf numFmtId="172" fontId="20" fillId="32" borderId="1" xfId="88" applyFont="1" applyFill="1" applyBorder="1" applyAlignment="1">
      <alignment horizontal="center" vertical="center" wrapText="1"/>
    </xf>
    <xf numFmtId="173" fontId="20" fillId="32" borderId="1" xfId="88" applyNumberFormat="1" applyFont="1" applyFill="1" applyBorder="1" applyAlignment="1">
      <alignment horizontal="center" vertical="center" wrapText="1"/>
    </xf>
    <xf numFmtId="17" fontId="51" fillId="3" borderId="3" xfId="33" applyNumberFormat="1" applyFont="1" applyFill="1" applyBorder="1" applyAlignment="1">
      <alignment horizontal="center" vertical="center" wrapText="1"/>
    </xf>
    <xf numFmtId="172" fontId="20" fillId="3" borderId="7" xfId="33" applyFont="1" applyFill="1" applyBorder="1" applyAlignment="1">
      <alignment horizontal="right" vertical="center"/>
    </xf>
    <xf numFmtId="3" fontId="24" fillId="3" borderId="7" xfId="33" applyNumberFormat="1" applyFont="1" applyFill="1" applyBorder="1" applyAlignment="1">
      <alignment horizontal="center" vertical="center" wrapText="1"/>
    </xf>
    <xf numFmtId="3" fontId="24" fillId="27" borderId="7" xfId="33" applyNumberFormat="1" applyFont="1" applyFill="1" applyBorder="1" applyAlignment="1">
      <alignment horizontal="center" vertical="center"/>
    </xf>
    <xf numFmtId="0" fontId="19" fillId="2" borderId="38" xfId="102" applyFont="1" applyFill="1" applyBorder="1" applyAlignment="1">
      <alignment horizontal="center" vertical="center" wrapText="1"/>
    </xf>
    <xf numFmtId="41" fontId="23" fillId="2" borderId="22" xfId="96" applyFont="1" applyFill="1" applyBorder="1" applyAlignment="1">
      <alignment horizontal="right" vertical="center"/>
    </xf>
    <xf numFmtId="17" fontId="23" fillId="2" borderId="21" xfId="92" applyNumberFormat="1" applyFont="1" applyFill="1" applyBorder="1" applyAlignment="1">
      <alignment horizontal="center" vertical="center"/>
    </xf>
    <xf numFmtId="171" fontId="19" fillId="0" borderId="0" xfId="38" applyNumberFormat="1" applyFont="1"/>
    <xf numFmtId="171" fontId="19" fillId="0" borderId="0" xfId="38" applyNumberFormat="1" applyFont="1" applyAlignment="1">
      <alignment horizontal="center"/>
    </xf>
    <xf numFmtId="172" fontId="19" fillId="0" borderId="0" xfId="0" applyFont="1" applyAlignment="1">
      <alignment horizontal="center"/>
    </xf>
    <xf numFmtId="171" fontId="19" fillId="2" borderId="0" xfId="38" applyNumberFormat="1" applyFont="1" applyFill="1"/>
    <xf numFmtId="172" fontId="19" fillId="2" borderId="0" xfId="0" applyFont="1" applyFill="1"/>
    <xf numFmtId="172" fontId="24" fillId="3" borderId="0" xfId="0" applyFont="1" applyFill="1"/>
    <xf numFmtId="171" fontId="24" fillId="0" borderId="0" xfId="38" applyNumberFormat="1" applyFont="1"/>
    <xf numFmtId="172" fontId="24" fillId="0" borderId="0" xfId="0" applyFont="1"/>
    <xf numFmtId="171" fontId="24" fillId="3" borderId="0" xfId="38" applyNumberFormat="1" applyFont="1" applyFill="1"/>
    <xf numFmtId="9" fontId="20" fillId="0" borderId="0" xfId="111" applyFont="1" applyAlignment="1">
      <alignment horizontal="center"/>
    </xf>
    <xf numFmtId="171" fontId="25" fillId="3" borderId="22" xfId="38" applyNumberFormat="1" applyFont="1" applyFill="1" applyBorder="1" applyAlignment="1">
      <alignment horizontal="center" vertical="center" wrapText="1"/>
    </xf>
    <xf numFmtId="0" fontId="23" fillId="2" borderId="39" xfId="102" applyFont="1" applyFill="1" applyBorder="1" applyAlignment="1">
      <alignment horizontal="justify" vertical="center" wrapText="1"/>
    </xf>
    <xf numFmtId="172" fontId="19" fillId="2" borderId="39" xfId="35" applyFont="1" applyFill="1" applyBorder="1" applyAlignment="1">
      <alignment horizontal="center" vertical="center" wrapText="1"/>
    </xf>
    <xf numFmtId="0" fontId="19" fillId="2" borderId="39" xfId="102" applyFont="1" applyFill="1" applyBorder="1" applyAlignment="1">
      <alignment horizontal="center" vertical="center" wrapText="1"/>
    </xf>
    <xf numFmtId="171" fontId="19" fillId="2" borderId="39" xfId="38" applyNumberFormat="1" applyFont="1" applyFill="1" applyBorder="1" applyAlignment="1">
      <alignment horizontal="center" vertical="center"/>
    </xf>
    <xf numFmtId="0" fontId="23" fillId="2" borderId="39" xfId="102" applyFont="1" applyFill="1" applyBorder="1" applyAlignment="1">
      <alignment vertical="center" wrapText="1"/>
    </xf>
    <xf numFmtId="3" fontId="20" fillId="4" borderId="39" xfId="33" applyNumberFormat="1" applyFont="1" applyFill="1" applyBorder="1" applyAlignment="1">
      <alignment vertical="center" wrapText="1"/>
    </xf>
    <xf numFmtId="172" fontId="20" fillId="4" borderId="39" xfId="35" applyFont="1" applyFill="1" applyBorder="1" applyAlignment="1">
      <alignment horizontal="center" vertical="center" wrapText="1"/>
    </xf>
    <xf numFmtId="41" fontId="19" fillId="2" borderId="39" xfId="96" applyFont="1" applyFill="1" applyBorder="1" applyAlignment="1">
      <alignment horizontal="right" vertical="center" wrapText="1"/>
    </xf>
    <xf numFmtId="0" fontId="19" fillId="2" borderId="39" xfId="102" applyFont="1" applyFill="1" applyBorder="1" applyAlignment="1">
      <alignment horizontal="left" vertical="center" wrapText="1"/>
    </xf>
    <xf numFmtId="41" fontId="24" fillId="28" borderId="39" xfId="96" applyFont="1" applyFill="1" applyBorder="1" applyAlignment="1">
      <alignment horizontal="right" vertical="center" wrapText="1"/>
    </xf>
    <xf numFmtId="172" fontId="24" fillId="28" borderId="39" xfId="35" applyFont="1" applyFill="1" applyBorder="1" applyAlignment="1">
      <alignment vertical="center" wrapText="1"/>
    </xf>
    <xf numFmtId="172" fontId="24" fillId="28" borderId="39" xfId="35" applyFont="1" applyFill="1" applyBorder="1" applyAlignment="1">
      <alignment horizontal="center" vertical="center" wrapText="1"/>
    </xf>
    <xf numFmtId="171" fontId="25" fillId="28" borderId="39" xfId="38" applyNumberFormat="1" applyFont="1" applyFill="1" applyBorder="1" applyAlignment="1">
      <alignment horizontal="center" vertical="center"/>
    </xf>
    <xf numFmtId="41" fontId="19" fillId="0" borderId="0" xfId="96" applyFont="1" applyAlignment="1">
      <alignment horizontal="center" vertical="center"/>
    </xf>
    <xf numFmtId="41" fontId="24" fillId="28" borderId="22" xfId="96" applyFont="1" applyFill="1" applyBorder="1" applyAlignment="1">
      <alignment horizontal="center" vertical="center" wrapText="1"/>
    </xf>
    <xf numFmtId="41" fontId="25" fillId="3" borderId="22" xfId="96" applyFont="1" applyFill="1" applyBorder="1" applyAlignment="1">
      <alignment horizontal="left" vertical="center" wrapText="1"/>
    </xf>
    <xf numFmtId="41" fontId="19" fillId="2" borderId="39" xfId="96" applyFont="1" applyFill="1" applyBorder="1" applyAlignment="1">
      <alignment horizontal="center" vertical="center" wrapText="1"/>
    </xf>
    <xf numFmtId="41" fontId="20" fillId="2" borderId="39" xfId="96" applyFont="1" applyFill="1" applyBorder="1" applyAlignment="1">
      <alignment horizontal="center" vertical="center" wrapText="1"/>
    </xf>
    <xf numFmtId="41" fontId="20" fillId="4" borderId="39" xfId="96" applyFont="1" applyFill="1" applyBorder="1" applyAlignment="1">
      <alignment horizontal="center" vertical="center" wrapText="1"/>
    </xf>
    <xf numFmtId="41" fontId="20" fillId="4" borderId="39" xfId="96" applyFont="1" applyFill="1" applyBorder="1" applyAlignment="1">
      <alignment horizontal="center" vertical="center"/>
    </xf>
    <xf numFmtId="41" fontId="25" fillId="28" borderId="39" xfId="96" applyFont="1" applyFill="1" applyBorder="1" applyAlignment="1">
      <alignment horizontal="center" vertical="center" wrapText="1"/>
    </xf>
    <xf numFmtId="41" fontId="19" fillId="0" borderId="22" xfId="96" applyFont="1" applyFill="1" applyBorder="1" applyAlignment="1">
      <alignment horizontal="center" vertical="center"/>
    </xf>
    <xf numFmtId="41" fontId="19" fillId="2" borderId="22" xfId="96" applyFont="1" applyFill="1" applyBorder="1" applyAlignment="1">
      <alignment horizontal="center" vertical="center"/>
    </xf>
    <xf numFmtId="3" fontId="20" fillId="0" borderId="4" xfId="33" applyNumberFormat="1" applyFont="1" applyFill="1" applyBorder="1" applyAlignment="1">
      <alignment horizontal="right" vertical="center"/>
    </xf>
    <xf numFmtId="3" fontId="20" fillId="0" borderId="28" xfId="33" applyNumberFormat="1" applyFont="1" applyFill="1" applyBorder="1" applyAlignment="1">
      <alignment horizontal="right" vertical="center"/>
    </xf>
    <xf numFmtId="3" fontId="20" fillId="0" borderId="40" xfId="33" applyNumberFormat="1" applyFont="1" applyFill="1" applyBorder="1" applyAlignment="1">
      <alignment horizontal="right" vertical="center"/>
    </xf>
    <xf numFmtId="3" fontId="24" fillId="3" borderId="1" xfId="33" applyNumberFormat="1" applyFont="1" applyFill="1" applyBorder="1" applyAlignment="1">
      <alignment horizontal="center" vertical="center" wrapText="1"/>
    </xf>
    <xf numFmtId="3" fontId="24" fillId="3" borderId="1" xfId="33" applyNumberFormat="1" applyFont="1" applyFill="1" applyBorder="1" applyAlignment="1">
      <alignment horizontal="left" vertical="center" wrapText="1"/>
    </xf>
    <xf numFmtId="3" fontId="20" fillId="0" borderId="1" xfId="33" applyNumberFormat="1" applyFont="1" applyFill="1" applyBorder="1" applyAlignment="1">
      <alignment horizontal="right" vertical="center"/>
    </xf>
    <xf numFmtId="172" fontId="24" fillId="3" borderId="1" xfId="33" applyFont="1" applyFill="1" applyBorder="1" applyAlignment="1">
      <alignment horizontal="right" vertical="center"/>
    </xf>
    <xf numFmtId="172" fontId="24" fillId="3" borderId="1" xfId="33" applyFont="1" applyFill="1" applyBorder="1" applyAlignment="1">
      <alignment horizontal="left" vertical="center" wrapText="1"/>
    </xf>
    <xf numFmtId="3" fontId="24" fillId="3" borderId="3" xfId="33" applyNumberFormat="1" applyFont="1" applyFill="1" applyBorder="1" applyAlignment="1">
      <alignment horizontal="right" vertical="center" wrapText="1"/>
    </xf>
    <xf numFmtId="3" fontId="24" fillId="3" borderId="3" xfId="33" applyNumberFormat="1" applyFont="1" applyFill="1" applyBorder="1" applyAlignment="1">
      <alignment horizontal="left" vertical="center" wrapText="1"/>
    </xf>
    <xf numFmtId="3" fontId="20" fillId="0" borderId="25" xfId="33" applyNumberFormat="1" applyFont="1" applyFill="1" applyBorder="1" applyAlignment="1">
      <alignment horizontal="right" vertical="center"/>
    </xf>
    <xf numFmtId="3" fontId="20" fillId="0" borderId="2" xfId="33" applyNumberFormat="1" applyFont="1" applyFill="1" applyBorder="1" applyAlignment="1">
      <alignment horizontal="right" vertical="center"/>
    </xf>
    <xf numFmtId="3" fontId="20" fillId="0" borderId="21" xfId="33" applyNumberFormat="1" applyFont="1" applyFill="1" applyBorder="1" applyAlignment="1">
      <alignment horizontal="right" vertical="center"/>
    </xf>
    <xf numFmtId="41" fontId="49" fillId="0" borderId="0" xfId="96" applyFont="1" applyAlignment="1">
      <alignment vertical="center"/>
    </xf>
    <xf numFmtId="41" fontId="46" fillId="0" borderId="0" xfId="96" applyFont="1" applyAlignment="1">
      <alignment vertical="center"/>
    </xf>
    <xf numFmtId="17" fontId="24" fillId="3" borderId="41" xfId="95" applyNumberFormat="1" applyFont="1" applyFill="1" applyBorder="1" applyAlignment="1">
      <alignment horizontal="center" vertical="center" wrapText="1"/>
    </xf>
    <xf numFmtId="171" fontId="24" fillId="3" borderId="41" xfId="38" applyNumberFormat="1" applyFont="1" applyFill="1" applyBorder="1" applyAlignment="1">
      <alignment horizontal="center" vertical="center" wrapText="1"/>
    </xf>
    <xf numFmtId="3" fontId="24" fillId="3" borderId="41" xfId="33" applyNumberFormat="1" applyFont="1" applyFill="1" applyBorder="1" applyAlignment="1">
      <alignment horizontal="center" vertical="center"/>
    </xf>
    <xf numFmtId="171" fontId="18" fillId="0" borderId="0" xfId="38" applyNumberFormat="1" applyFont="1" applyAlignment="1">
      <alignment horizontal="left" vertical="center" wrapText="1"/>
    </xf>
    <xf numFmtId="3" fontId="19" fillId="4" borderId="0" xfId="0" applyNumberFormat="1" applyFont="1" applyFill="1" applyAlignment="1">
      <alignment vertical="center"/>
    </xf>
    <xf numFmtId="172" fontId="19" fillId="4" borderId="0" xfId="0" applyFont="1" applyFill="1"/>
    <xf numFmtId="3" fontId="19" fillId="0" borderId="0" xfId="0" applyNumberFormat="1" applyFont="1" applyFill="1" applyAlignment="1">
      <alignment vertical="center"/>
    </xf>
    <xf numFmtId="172" fontId="24" fillId="34" borderId="0" xfId="0" applyFont="1" applyFill="1"/>
    <xf numFmtId="172" fontId="20" fillId="2" borderId="0" xfId="0" applyFont="1" applyFill="1"/>
    <xf numFmtId="3" fontId="20" fillId="0" borderId="0" xfId="0" applyNumberFormat="1" applyFont="1"/>
    <xf numFmtId="172" fontId="20" fillId="30" borderId="0" xfId="0" applyFont="1" applyFill="1"/>
    <xf numFmtId="172" fontId="20" fillId="0" borderId="0" xfId="0" applyFont="1" applyFill="1"/>
    <xf numFmtId="172" fontId="20" fillId="0" borderId="0" xfId="0" applyFont="1"/>
    <xf numFmtId="172" fontId="19" fillId="0" borderId="0" xfId="0" applyFont="1" applyAlignment="1">
      <alignment wrapText="1"/>
    </xf>
    <xf numFmtId="172" fontId="20" fillId="31" borderId="0" xfId="0" applyFont="1" applyFill="1"/>
    <xf numFmtId="172" fontId="19" fillId="0" borderId="0" xfId="0" applyFont="1" applyFill="1" applyAlignment="1">
      <alignment wrapText="1"/>
    </xf>
    <xf numFmtId="172" fontId="24" fillId="33" borderId="0" xfId="0" applyFont="1" applyFill="1"/>
    <xf numFmtId="172" fontId="24" fillId="28" borderId="0" xfId="0" applyFont="1" applyFill="1"/>
    <xf numFmtId="3" fontId="19" fillId="0" borderId="0" xfId="0" applyNumberFormat="1" applyFont="1"/>
    <xf numFmtId="3" fontId="53" fillId="0" borderId="0" xfId="0" applyNumberFormat="1" applyFont="1"/>
    <xf numFmtId="172" fontId="53" fillId="0" borderId="0" xfId="0" applyFont="1"/>
    <xf numFmtId="172" fontId="19" fillId="0" borderId="41" xfId="0" applyFont="1" applyBorder="1" applyAlignment="1">
      <alignment horizontal="center"/>
    </xf>
    <xf numFmtId="177" fontId="0" fillId="0" borderId="0" xfId="0" applyNumberFormat="1" applyAlignment="1">
      <alignment horizontal="center"/>
    </xf>
    <xf numFmtId="0" fontId="2" fillId="0" borderId="49" xfId="107" applyBorder="1"/>
    <xf numFmtId="0" fontId="2" fillId="0" borderId="52" xfId="107" applyBorder="1" applyAlignment="1">
      <alignment horizontal="center"/>
    </xf>
    <xf numFmtId="0" fontId="2" fillId="0" borderId="54" xfId="107" applyBorder="1" applyAlignment="1">
      <alignment horizontal="center" vertical="center" wrapText="1"/>
    </xf>
    <xf numFmtId="0" fontId="2" fillId="0" borderId="44" xfId="107" applyFont="1" applyBorder="1"/>
    <xf numFmtId="0" fontId="2" fillId="0" borderId="47" xfId="107" applyBorder="1"/>
    <xf numFmtId="0" fontId="2" fillId="0" borderId="57" xfId="107" applyBorder="1" applyAlignment="1">
      <alignment horizontal="center" vertical="center" wrapText="1"/>
    </xf>
    <xf numFmtId="0" fontId="2" fillId="0" borderId="5" xfId="107" applyFont="1" applyBorder="1"/>
    <xf numFmtId="0" fontId="2" fillId="0" borderId="50" xfId="107" applyFont="1" applyBorder="1"/>
    <xf numFmtId="0" fontId="2" fillId="0" borderId="48" xfId="107" applyBorder="1" applyAlignment="1">
      <alignment horizontal="center" vertical="center" wrapText="1"/>
    </xf>
    <xf numFmtId="0" fontId="2" fillId="0" borderId="6" xfId="107" applyFont="1" applyBorder="1"/>
    <xf numFmtId="0" fontId="2" fillId="0" borderId="49" xfId="107" applyFont="1" applyBorder="1"/>
    <xf numFmtId="0" fontId="2" fillId="0" borderId="61" xfId="107" applyFont="1" applyBorder="1"/>
    <xf numFmtId="0" fontId="22" fillId="0" borderId="49" xfId="107" applyFont="1" applyBorder="1"/>
    <xf numFmtId="0" fontId="22" fillId="0" borderId="62" xfId="107" applyFont="1" applyBorder="1" applyAlignment="1">
      <alignment horizontal="right"/>
    </xf>
    <xf numFmtId="0" fontId="22" fillId="0" borderId="63" xfId="107" applyFont="1" applyBorder="1" applyAlignment="1"/>
    <xf numFmtId="0" fontId="22" fillId="0" borderId="64" xfId="107" applyFont="1" applyBorder="1"/>
    <xf numFmtId="10" fontId="51" fillId="0" borderId="0" xfId="111" applyNumberFormat="1" applyFont="1" applyAlignment="1">
      <alignment vertical="center"/>
    </xf>
    <xf numFmtId="10" fontId="19" fillId="0" borderId="0" xfId="111" applyNumberFormat="1" applyFont="1" applyAlignment="1">
      <alignment vertical="center"/>
    </xf>
    <xf numFmtId="10" fontId="51" fillId="0" borderId="0" xfId="111" applyNumberFormat="1" applyFont="1" applyFill="1" applyAlignment="1">
      <alignment vertical="center"/>
    </xf>
    <xf numFmtId="10" fontId="51" fillId="2" borderId="0" xfId="111" applyNumberFormat="1" applyFont="1" applyFill="1" applyAlignment="1">
      <alignment vertical="center"/>
    </xf>
    <xf numFmtId="172" fontId="24" fillId="28" borderId="39" xfId="35" applyFont="1" applyFill="1" applyBorder="1" applyAlignment="1">
      <alignment horizontal="center" vertical="center"/>
    </xf>
    <xf numFmtId="14" fontId="24" fillId="28" borderId="39" xfId="35" applyNumberFormat="1" applyFont="1" applyFill="1" applyBorder="1" applyAlignment="1">
      <alignment horizontal="center" vertical="center"/>
    </xf>
    <xf numFmtId="3" fontId="20" fillId="4" borderId="39" xfId="33" applyNumberFormat="1" applyFont="1" applyFill="1" applyBorder="1" applyAlignment="1">
      <alignment horizontal="center" vertical="center" wrapText="1"/>
    </xf>
    <xf numFmtId="172" fontId="26" fillId="4" borderId="39" xfId="35" applyFont="1" applyFill="1" applyBorder="1" applyAlignment="1">
      <alignment horizontal="center" vertical="center"/>
    </xf>
    <xf numFmtId="171" fontId="23" fillId="4" borderId="39" xfId="38" applyNumberFormat="1" applyFont="1" applyFill="1" applyBorder="1" applyAlignment="1">
      <alignment horizontal="center" vertical="center"/>
    </xf>
    <xf numFmtId="41" fontId="23" fillId="4" borderId="39" xfId="96" applyFont="1" applyFill="1" applyBorder="1" applyAlignment="1">
      <alignment horizontal="center" vertical="center"/>
    </xf>
    <xf numFmtId="41" fontId="26" fillId="4" borderId="39" xfId="96" applyFont="1" applyFill="1" applyBorder="1" applyAlignment="1">
      <alignment horizontal="right" vertical="center"/>
    </xf>
    <xf numFmtId="175" fontId="19" fillId="2" borderId="39" xfId="102" applyNumberFormat="1" applyFont="1" applyFill="1" applyBorder="1" applyAlignment="1">
      <alignment horizontal="center" vertical="center" wrapText="1"/>
    </xf>
    <xf numFmtId="172" fontId="57" fillId="39" borderId="74" xfId="0" applyFont="1" applyFill="1" applyBorder="1" applyAlignment="1">
      <alignment horizontal="left" vertical="center" wrapText="1" indent="2"/>
    </xf>
    <xf numFmtId="172" fontId="57" fillId="30" borderId="75" xfId="0" applyFont="1" applyFill="1" applyBorder="1" applyAlignment="1">
      <alignment horizontal="center" vertical="center" wrapText="1"/>
    </xf>
    <xf numFmtId="172" fontId="58" fillId="40" borderId="76" xfId="0" applyFont="1" applyFill="1" applyBorder="1" applyAlignment="1">
      <alignment horizontal="justify" vertical="center" wrapText="1"/>
    </xf>
    <xf numFmtId="172" fontId="56" fillId="30" borderId="77" xfId="0" applyFont="1" applyFill="1" applyBorder="1" applyAlignment="1">
      <alignment horizontal="center" vertical="center" wrapText="1"/>
    </xf>
    <xf numFmtId="172" fontId="57" fillId="39" borderId="76" xfId="0" applyFont="1" applyFill="1" applyBorder="1" applyAlignment="1">
      <alignment horizontal="left" vertical="center" wrapText="1" indent="2"/>
    </xf>
    <xf numFmtId="172" fontId="57" fillId="30" borderId="77" xfId="0" applyFont="1" applyFill="1" applyBorder="1" applyAlignment="1">
      <alignment horizontal="center" vertical="center" wrapText="1"/>
    </xf>
    <xf numFmtId="172" fontId="58" fillId="40" borderId="76" xfId="0" applyFont="1" applyFill="1" applyBorder="1" applyAlignment="1">
      <alignment horizontal="left" vertical="center" wrapText="1" indent="4"/>
    </xf>
    <xf numFmtId="172" fontId="57" fillId="42" borderId="78" xfId="0" applyFont="1" applyFill="1" applyBorder="1" applyAlignment="1">
      <alignment horizontal="left" vertical="center" wrapText="1" indent="2"/>
    </xf>
    <xf numFmtId="172" fontId="57" fillId="42" borderId="79" xfId="0" applyFont="1" applyFill="1" applyBorder="1" applyAlignment="1">
      <alignment horizontal="center" vertical="center" wrapText="1"/>
    </xf>
    <xf numFmtId="171" fontId="20" fillId="2" borderId="0" xfId="29" applyNumberFormat="1" applyFont="1" applyFill="1" applyAlignment="1">
      <alignment horizontal="center" vertical="center"/>
    </xf>
    <xf numFmtId="3" fontId="24" fillId="3" borderId="1" xfId="33" applyNumberFormat="1" applyFont="1" applyFill="1" applyBorder="1" applyAlignment="1">
      <alignment horizontal="right" vertical="center" wrapText="1"/>
    </xf>
    <xf numFmtId="172" fontId="24" fillId="28" borderId="39" xfId="35" applyFont="1" applyFill="1" applyBorder="1" applyAlignment="1">
      <alignment horizontal="right" vertical="center" wrapText="1"/>
    </xf>
    <xf numFmtId="0" fontId="23" fillId="2" borderId="39" xfId="102" applyFont="1" applyFill="1" applyBorder="1" applyAlignment="1">
      <alignment horizontal="right" vertical="center" wrapText="1"/>
    </xf>
    <xf numFmtId="0" fontId="19" fillId="2" borderId="39" xfId="102" applyFont="1" applyFill="1" applyBorder="1" applyAlignment="1">
      <alignment horizontal="right" vertical="center" wrapText="1"/>
    </xf>
    <xf numFmtId="3" fontId="19" fillId="2" borderId="22" xfId="33" applyNumberFormat="1" applyFont="1" applyFill="1" applyBorder="1" applyAlignment="1">
      <alignment horizontal="right" vertical="center" wrapText="1"/>
    </xf>
    <xf numFmtId="0" fontId="49" fillId="0" borderId="0" xfId="110" applyFont="1"/>
    <xf numFmtId="172" fontId="49" fillId="0" borderId="0" xfId="0" applyFont="1"/>
    <xf numFmtId="0" fontId="61" fillId="0" borderId="0" xfId="110" applyFont="1" applyAlignment="1">
      <alignment horizontal="center" wrapText="1"/>
    </xf>
    <xf numFmtId="9" fontId="61" fillId="0" borderId="0" xfId="110" applyNumberFormat="1" applyFont="1" applyAlignment="1">
      <alignment horizontal="center" wrapText="1"/>
    </xf>
    <xf numFmtId="3" fontId="61" fillId="0" borderId="0" xfId="110" applyNumberFormat="1" applyFont="1" applyAlignment="1">
      <alignment horizontal="center" wrapText="1"/>
    </xf>
    <xf numFmtId="0" fontId="49" fillId="0" borderId="0" xfId="110" applyFont="1" applyAlignment="1"/>
    <xf numFmtId="0" fontId="49" fillId="0" borderId="0" xfId="110" applyFont="1" applyAlignment="1">
      <alignment horizontal="center"/>
    </xf>
    <xf numFmtId="9" fontId="61" fillId="0" borderId="0" xfId="110" applyNumberFormat="1" applyFont="1" applyAlignment="1">
      <alignment horizontal="center" vertical="top" wrapText="1"/>
    </xf>
    <xf numFmtId="0" fontId="61" fillId="0" borderId="0" xfId="110" applyFont="1" applyAlignment="1">
      <alignment horizontal="left" wrapText="1"/>
    </xf>
    <xf numFmtId="3" fontId="49" fillId="0" borderId="0" xfId="110" applyNumberFormat="1" applyFont="1"/>
    <xf numFmtId="3" fontId="62" fillId="0" borderId="0" xfId="110" applyNumberFormat="1" applyFont="1" applyAlignment="1">
      <alignment horizontal="right" vertical="center"/>
    </xf>
    <xf numFmtId="9" fontId="49" fillId="0" borderId="0" xfId="110" applyNumberFormat="1" applyFont="1"/>
    <xf numFmtId="0" fontId="49" fillId="0" borderId="0" xfId="110" applyFont="1" applyAlignment="1">
      <alignment horizontal="right"/>
    </xf>
    <xf numFmtId="179" fontId="49" fillId="0" borderId="0" xfId="110" applyNumberFormat="1" applyFont="1" applyAlignment="1">
      <alignment horizontal="left"/>
    </xf>
    <xf numFmtId="3" fontId="63" fillId="0" borderId="0" xfId="110" applyNumberFormat="1" applyFont="1" applyAlignment="1">
      <alignment horizontal="right"/>
    </xf>
    <xf numFmtId="3" fontId="63" fillId="0" borderId="0" xfId="110" applyNumberFormat="1" applyFont="1"/>
    <xf numFmtId="3" fontId="63" fillId="0" borderId="0" xfId="110" applyNumberFormat="1" applyFont="1" applyAlignment="1">
      <alignment horizontal="left"/>
    </xf>
    <xf numFmtId="0" fontId="63" fillId="0" borderId="0" xfId="110" applyNumberFormat="1" applyFont="1" applyAlignment="1">
      <alignment horizontal="left"/>
    </xf>
    <xf numFmtId="3" fontId="61" fillId="0" borderId="0" xfId="110" applyNumberFormat="1" applyFont="1" applyAlignment="1">
      <alignment horizontal="right"/>
    </xf>
    <xf numFmtId="3" fontId="61" fillId="0" borderId="0" xfId="110" applyNumberFormat="1" applyFont="1"/>
    <xf numFmtId="3" fontId="61" fillId="0" borderId="0" xfId="110" applyNumberFormat="1" applyFont="1" applyAlignment="1">
      <alignment horizontal="left"/>
    </xf>
    <xf numFmtId="0" fontId="49" fillId="0" borderId="0" xfId="110" applyFont="1" applyAlignment="1">
      <alignment horizontal="left"/>
    </xf>
    <xf numFmtId="3" fontId="49" fillId="0" borderId="0" xfId="110" applyNumberFormat="1" applyFont="1" applyAlignment="1">
      <alignment horizontal="left"/>
    </xf>
    <xf numFmtId="3" fontId="49" fillId="0" borderId="0" xfId="110" applyNumberFormat="1" applyFont="1" applyAlignment="1">
      <alignment horizontal="right"/>
    </xf>
    <xf numFmtId="0" fontId="61" fillId="0" borderId="51" xfId="110" applyFont="1" applyBorder="1" applyAlignment="1">
      <alignment horizontal="center"/>
    </xf>
    <xf numFmtId="0" fontId="49" fillId="0" borderId="83" xfId="110" applyFont="1" applyFill="1" applyBorder="1" applyAlignment="1">
      <alignment horizontal="center" vertical="center"/>
    </xf>
    <xf numFmtId="9" fontId="49" fillId="0" borderId="84" xfId="110" applyNumberFormat="1" applyFont="1" applyFill="1" applyBorder="1" applyAlignment="1">
      <alignment horizontal="center" vertical="center" wrapText="1"/>
    </xf>
    <xf numFmtId="3" fontId="49" fillId="0" borderId="84" xfId="110" applyNumberFormat="1" applyFont="1" applyFill="1" applyBorder="1" applyAlignment="1">
      <alignment horizontal="center" wrapText="1"/>
    </xf>
    <xf numFmtId="0" fontId="49" fillId="0" borderId="85" xfId="110" applyFont="1" applyFill="1" applyBorder="1" applyAlignment="1">
      <alignment horizontal="center" vertical="center" wrapText="1"/>
    </xf>
    <xf numFmtId="9" fontId="49" fillId="0" borderId="85" xfId="110" applyNumberFormat="1" applyFont="1" applyFill="1" applyBorder="1" applyAlignment="1">
      <alignment horizontal="center" vertical="center" wrapText="1"/>
    </xf>
    <xf numFmtId="0" fontId="49" fillId="0" borderId="86" xfId="110" applyFont="1" applyFill="1" applyBorder="1" applyAlignment="1">
      <alignment horizontal="center" vertical="center" wrapText="1"/>
    </xf>
    <xf numFmtId="0" fontId="49" fillId="0" borderId="87" xfId="110" applyFont="1" applyBorder="1" applyAlignment="1">
      <alignment horizontal="center" vertical="center" wrapText="1"/>
    </xf>
    <xf numFmtId="0" fontId="61" fillId="0" borderId="52" xfId="110" applyFont="1" applyBorder="1" applyAlignment="1">
      <alignment horizontal="center" vertical="center" wrapText="1"/>
    </xf>
    <xf numFmtId="0" fontId="49" fillId="0" borderId="65" xfId="110" applyFont="1" applyBorder="1" applyAlignment="1">
      <alignment horizontal="center" wrapText="1"/>
    </xf>
    <xf numFmtId="10" fontId="49" fillId="0" borderId="66" xfId="110" applyNumberFormat="1" applyFont="1" applyBorder="1"/>
    <xf numFmtId="3" fontId="49" fillId="0" borderId="66" xfId="110" applyNumberFormat="1" applyFont="1" applyBorder="1"/>
    <xf numFmtId="3" fontId="49" fillId="0" borderId="88" xfId="110" applyNumberFormat="1" applyFont="1" applyBorder="1"/>
    <xf numFmtId="10" fontId="49" fillId="0" borderId="88" xfId="110" applyNumberFormat="1" applyFont="1" applyBorder="1" applyAlignment="1">
      <alignment horizontal="center"/>
    </xf>
    <xf numFmtId="179" fontId="49" fillId="0" borderId="88" xfId="110" applyNumberFormat="1" applyFont="1" applyBorder="1" applyAlignment="1">
      <alignment horizontal="center"/>
    </xf>
    <xf numFmtId="3" fontId="49" fillId="0" borderId="67" xfId="110" applyNumberFormat="1" applyFont="1" applyBorder="1" applyAlignment="1">
      <alignment horizontal="center"/>
    </xf>
    <xf numFmtId="3" fontId="61" fillId="0" borderId="92" xfId="110" applyNumberFormat="1" applyFont="1" applyBorder="1"/>
    <xf numFmtId="0" fontId="49" fillId="0" borderId="48" xfId="110" applyFont="1" applyBorder="1" applyAlignment="1">
      <alignment horizontal="center"/>
    </xf>
    <xf numFmtId="10" fontId="49" fillId="0" borderId="5" xfId="110" applyNumberFormat="1" applyFont="1" applyBorder="1"/>
    <xf numFmtId="3" fontId="49" fillId="0" borderId="5" xfId="110" applyNumberFormat="1" applyFont="1" applyBorder="1"/>
    <xf numFmtId="3" fontId="49" fillId="0" borderId="6" xfId="110" applyNumberFormat="1" applyFont="1" applyBorder="1"/>
    <xf numFmtId="10" fontId="49" fillId="0" borderId="6" xfId="110" applyNumberFormat="1" applyFont="1" applyBorder="1" applyAlignment="1">
      <alignment horizontal="center"/>
    </xf>
    <xf numFmtId="179" fontId="49" fillId="0" borderId="6" xfId="110" applyNumberFormat="1" applyFont="1" applyBorder="1" applyAlignment="1">
      <alignment horizontal="center"/>
    </xf>
    <xf numFmtId="3" fontId="49" fillId="0" borderId="49" xfId="110" applyNumberFormat="1" applyFont="1" applyBorder="1" applyAlignment="1">
      <alignment horizontal="center"/>
    </xf>
    <xf numFmtId="3" fontId="61" fillId="0" borderId="93" xfId="110" applyNumberFormat="1" applyFont="1" applyBorder="1"/>
    <xf numFmtId="3" fontId="49" fillId="43" borderId="0" xfId="110" applyNumberFormat="1" applyFont="1" applyFill="1"/>
    <xf numFmtId="0" fontId="49" fillId="0" borderId="24" xfId="110" applyFont="1" applyBorder="1"/>
    <xf numFmtId="3" fontId="61" fillId="0" borderId="24" xfId="110" applyNumberFormat="1" applyFont="1" applyBorder="1"/>
    <xf numFmtId="3" fontId="49" fillId="43" borderId="24" xfId="110" applyNumberFormat="1" applyFont="1" applyFill="1" applyBorder="1"/>
    <xf numFmtId="0" fontId="49" fillId="0" borderId="62" xfId="110" applyFont="1" applyBorder="1" applyAlignment="1">
      <alignment horizontal="center"/>
    </xf>
    <xf numFmtId="10" fontId="49" fillId="0" borderId="69" xfId="110" applyNumberFormat="1" applyFont="1" applyBorder="1"/>
    <xf numFmtId="3" fontId="49" fillId="0" borderId="69" xfId="110" applyNumberFormat="1" applyFont="1" applyBorder="1"/>
    <xf numFmtId="3" fontId="49" fillId="0" borderId="63" xfId="110" applyNumberFormat="1" applyFont="1" applyBorder="1"/>
    <xf numFmtId="10" fontId="49" fillId="0" borderId="63" xfId="110" applyNumberFormat="1" applyFont="1" applyBorder="1" applyAlignment="1">
      <alignment horizontal="center"/>
    </xf>
    <xf numFmtId="179" fontId="49" fillId="0" borderId="63" xfId="110" applyNumberFormat="1" applyFont="1" applyBorder="1" applyAlignment="1">
      <alignment horizontal="center"/>
    </xf>
    <xf numFmtId="3" fontId="49" fillId="0" borderId="64" xfId="110" applyNumberFormat="1" applyFont="1" applyBorder="1" applyAlignment="1">
      <alignment horizontal="center"/>
    </xf>
    <xf numFmtId="3" fontId="61" fillId="0" borderId="94" xfId="110" applyNumberFormat="1" applyFont="1" applyBorder="1"/>
    <xf numFmtId="0" fontId="61" fillId="0" borderId="83" xfId="110" applyFont="1" applyBorder="1" applyAlignment="1">
      <alignment horizontal="center"/>
    </xf>
    <xf numFmtId="10" fontId="61" fillId="0" borderId="84" xfId="110" applyNumberFormat="1" applyFont="1" applyBorder="1"/>
    <xf numFmtId="10" fontId="61" fillId="0" borderId="90" xfId="110" applyNumberFormat="1" applyFont="1" applyBorder="1"/>
    <xf numFmtId="3" fontId="61" fillId="0" borderId="52" xfId="110" applyNumberFormat="1" applyFont="1" applyBorder="1"/>
    <xf numFmtId="10" fontId="49" fillId="0" borderId="0" xfId="110" applyNumberFormat="1" applyFont="1"/>
    <xf numFmtId="0" fontId="49" fillId="0" borderId="5" xfId="110" applyFont="1" applyBorder="1" applyAlignment="1">
      <alignment vertical="center" wrapText="1"/>
    </xf>
    <xf numFmtId="41" fontId="49" fillId="2" borderId="39" xfId="96" applyFont="1" applyFill="1" applyBorder="1" applyAlignment="1">
      <alignment horizontal="center" vertical="center" wrapText="1"/>
    </xf>
    <xf numFmtId="3" fontId="49" fillId="0" borderId="47" xfId="110" applyNumberFormat="1" applyFont="1" applyBorder="1" applyAlignment="1">
      <alignment horizontal="center"/>
    </xf>
    <xf numFmtId="3" fontId="61" fillId="0" borderId="89" xfId="110" applyNumberFormat="1" applyFont="1" applyBorder="1"/>
    <xf numFmtId="0" fontId="49" fillId="0" borderId="57" xfId="110" applyFont="1" applyBorder="1" applyAlignment="1">
      <alignment horizontal="center"/>
    </xf>
    <xf numFmtId="10" fontId="49" fillId="0" borderId="42" xfId="110" applyNumberFormat="1" applyFont="1" applyBorder="1"/>
    <xf numFmtId="3" fontId="49" fillId="0" borderId="50" xfId="110" applyNumberFormat="1" applyFont="1" applyBorder="1"/>
    <xf numFmtId="10" fontId="49" fillId="0" borderId="50" xfId="110" applyNumberFormat="1" applyFont="1" applyBorder="1" applyAlignment="1">
      <alignment horizontal="center"/>
    </xf>
    <xf numFmtId="179" fontId="49" fillId="0" borderId="50" xfId="110" applyNumberFormat="1" applyFont="1" applyBorder="1" applyAlignment="1">
      <alignment horizontal="center"/>
    </xf>
    <xf numFmtId="3" fontId="49" fillId="0" borderId="42" xfId="110" applyNumberFormat="1" applyFont="1" applyBorder="1"/>
    <xf numFmtId="3" fontId="49" fillId="0" borderId="71" xfId="110" applyNumberFormat="1" applyFont="1" applyBorder="1" applyAlignment="1">
      <alignment horizontal="center"/>
    </xf>
    <xf numFmtId="3" fontId="24" fillId="3" borderId="22" xfId="33" applyNumberFormat="1" applyFont="1" applyFill="1" applyBorder="1" applyAlignment="1">
      <alignment horizontal="right" vertical="center" wrapText="1"/>
    </xf>
    <xf numFmtId="171" fontId="26" fillId="2" borderId="21" xfId="38" applyNumberFormat="1" applyFont="1" applyFill="1" applyBorder="1" applyAlignment="1">
      <alignment horizontal="center" vertical="center"/>
    </xf>
    <xf numFmtId="9" fontId="26" fillId="2" borderId="21" xfId="111" applyFont="1" applyFill="1" applyBorder="1" applyAlignment="1">
      <alignment horizontal="center" vertical="center"/>
    </xf>
    <xf numFmtId="171" fontId="19" fillId="2" borderId="21" xfId="88" applyNumberFormat="1" applyFont="1" applyFill="1" applyBorder="1" applyAlignment="1">
      <alignment vertical="center" wrapText="1"/>
    </xf>
    <xf numFmtId="9" fontId="19" fillId="2" borderId="21" xfId="111" applyFont="1" applyFill="1" applyBorder="1" applyAlignment="1">
      <alignment horizontal="center" vertical="center" wrapText="1"/>
    </xf>
    <xf numFmtId="171" fontId="44" fillId="0" borderId="0" xfId="38" applyNumberFormat="1" applyFont="1" applyAlignment="1">
      <alignment vertical="center"/>
    </xf>
    <xf numFmtId="172" fontId="24" fillId="3" borderId="41" xfId="94" applyFont="1" applyFill="1" applyBorder="1" applyAlignment="1">
      <alignment vertical="center" wrapText="1"/>
    </xf>
    <xf numFmtId="41" fontId="19" fillId="2" borderId="22" xfId="96" applyFont="1" applyFill="1" applyBorder="1" applyAlignment="1">
      <alignment horizontal="right" vertical="center"/>
    </xf>
    <xf numFmtId="17" fontId="23" fillId="2" borderId="1" xfId="90" applyNumberFormat="1" applyFont="1" applyFill="1" applyBorder="1" applyAlignment="1">
      <alignment horizontal="center" vertical="center"/>
    </xf>
    <xf numFmtId="41" fontId="18" fillId="0" borderId="0" xfId="96" applyNumberFormat="1" applyFont="1" applyAlignment="1">
      <alignment horizontal="right" vertical="center" wrapText="1"/>
    </xf>
    <xf numFmtId="41" fontId="24" fillId="3" borderId="41" xfId="96" applyNumberFormat="1" applyFont="1" applyFill="1" applyBorder="1" applyAlignment="1">
      <alignment horizontal="center" vertical="center" wrapText="1"/>
    </xf>
    <xf numFmtId="180" fontId="24" fillId="44" borderId="7" xfId="33" applyNumberFormat="1" applyFont="1" applyFill="1" applyBorder="1" applyAlignment="1">
      <alignment horizontal="center" vertical="center"/>
    </xf>
    <xf numFmtId="41" fontId="24" fillId="44" borderId="7" xfId="96" applyFont="1" applyFill="1" applyBorder="1" applyAlignment="1">
      <alignment horizontal="center" vertical="center" wrapText="1"/>
    </xf>
    <xf numFmtId="171" fontId="24" fillId="29" borderId="22" xfId="38" applyNumberFormat="1" applyFont="1" applyFill="1" applyBorder="1" applyAlignment="1">
      <alignment horizontal="right" vertical="center" wrapText="1"/>
    </xf>
    <xf numFmtId="172" fontId="24" fillId="29" borderId="39" xfId="35" applyFont="1" applyFill="1" applyBorder="1" applyAlignment="1">
      <alignment horizontal="right" vertical="center" wrapText="1"/>
    </xf>
    <xf numFmtId="172" fontId="24" fillId="29" borderId="39" xfId="35" applyFont="1" applyFill="1" applyBorder="1" applyAlignment="1">
      <alignment vertical="center" wrapText="1"/>
    </xf>
    <xf numFmtId="41" fontId="24" fillId="29" borderId="39" xfId="96" applyFont="1" applyFill="1" applyBorder="1" applyAlignment="1">
      <alignment horizontal="right" vertical="center" wrapText="1"/>
    </xf>
    <xf numFmtId="0" fontId="19" fillId="0" borderId="0" xfId="0" applyNumberFormat="1" applyFont="1" applyAlignment="1">
      <alignment vertical="center"/>
    </xf>
    <xf numFmtId="0" fontId="19" fillId="0" borderId="66" xfId="0" applyNumberFormat="1" applyFont="1" applyFill="1" applyBorder="1" applyAlignment="1">
      <alignment vertical="center"/>
    </xf>
    <xf numFmtId="0" fontId="19" fillId="0" borderId="66" xfId="0" applyNumberFormat="1" applyFont="1" applyFill="1" applyBorder="1" applyAlignment="1">
      <alignment horizontal="center" vertical="center" wrapText="1"/>
    </xf>
    <xf numFmtId="0" fontId="19" fillId="0" borderId="66" xfId="0" applyNumberFormat="1" applyFont="1" applyBorder="1" applyAlignment="1">
      <alignment vertical="center"/>
    </xf>
    <xf numFmtId="0" fontId="19" fillId="39" borderId="66" xfId="0" applyNumberFormat="1" applyFont="1" applyFill="1" applyBorder="1" applyAlignment="1">
      <alignment horizontal="center" vertical="center"/>
    </xf>
    <xf numFmtId="181" fontId="19" fillId="0" borderId="0" xfId="38" applyNumberFormat="1" applyFont="1" applyAlignment="1">
      <alignment vertical="center"/>
    </xf>
    <xf numFmtId="0" fontId="19" fillId="0" borderId="69" xfId="0" applyNumberFormat="1" applyFont="1" applyFill="1" applyBorder="1" applyAlignment="1">
      <alignment vertical="center"/>
    </xf>
    <xf numFmtId="0" fontId="19" fillId="0" borderId="69" xfId="0" applyNumberFormat="1" applyFont="1" applyFill="1" applyBorder="1" applyAlignment="1">
      <alignment horizontal="center" vertical="center" wrapText="1"/>
    </xf>
    <xf numFmtId="0" fontId="19" fillId="0" borderId="69" xfId="0" applyNumberFormat="1" applyFont="1" applyBorder="1" applyAlignment="1">
      <alignment vertical="center"/>
    </xf>
    <xf numFmtId="0" fontId="19" fillId="39" borderId="69" xfId="0" applyNumberFormat="1" applyFont="1" applyFill="1" applyBorder="1" applyAlignment="1">
      <alignment horizontal="center" vertical="center"/>
    </xf>
    <xf numFmtId="0" fontId="19" fillId="0" borderId="43" xfId="0" applyNumberFormat="1" applyFont="1" applyBorder="1" applyAlignment="1">
      <alignment vertical="center"/>
    </xf>
    <xf numFmtId="0" fontId="19" fillId="0" borderId="4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65" xfId="0" applyNumberFormat="1" applyFont="1" applyFill="1" applyBorder="1" applyAlignment="1">
      <alignment horizontal="center" vertical="center" wrapText="1"/>
    </xf>
    <xf numFmtId="0" fontId="19" fillId="0" borderId="66" xfId="0" applyNumberFormat="1" applyFont="1" applyFill="1" applyBorder="1" applyAlignment="1">
      <alignment vertical="center" wrapText="1"/>
    </xf>
    <xf numFmtId="0" fontId="19" fillId="0" borderId="62" xfId="0" applyNumberFormat="1" applyFont="1" applyFill="1" applyBorder="1" applyAlignment="1">
      <alignment horizontal="center" vertical="center" wrapText="1"/>
    </xf>
    <xf numFmtId="0" fontId="19" fillId="0" borderId="69" xfId="0" applyNumberFormat="1" applyFont="1" applyFill="1" applyBorder="1" applyAlignment="1">
      <alignment vertical="center" wrapText="1"/>
    </xf>
    <xf numFmtId="0" fontId="19" fillId="0" borderId="44" xfId="0" applyNumberFormat="1" applyFont="1" applyBorder="1" applyAlignment="1">
      <alignment vertical="center"/>
    </xf>
    <xf numFmtId="0" fontId="19" fillId="0" borderId="47" xfId="0" applyNumberFormat="1" applyFont="1" applyBorder="1" applyAlignment="1">
      <alignment horizontal="center" vertical="center"/>
    </xf>
    <xf numFmtId="0" fontId="19" fillId="0" borderId="42" xfId="0" applyNumberFormat="1" applyFont="1" applyBorder="1" applyAlignment="1">
      <alignment vertical="center"/>
    </xf>
    <xf numFmtId="0" fontId="19" fillId="0" borderId="53" xfId="0" applyNumberFormat="1" applyFont="1" applyBorder="1" applyAlignment="1">
      <alignment horizontal="center" vertical="center"/>
    </xf>
    <xf numFmtId="0" fontId="19" fillId="0" borderId="66" xfId="0" applyNumberFormat="1" applyFont="1" applyFill="1" applyBorder="1" applyAlignment="1">
      <alignment horizontal="center" vertical="center"/>
    </xf>
    <xf numFmtId="0" fontId="19" fillId="0" borderId="66" xfId="0" applyNumberFormat="1" applyFont="1" applyBorder="1" applyAlignment="1">
      <alignment horizontal="center" vertical="center"/>
    </xf>
    <xf numFmtId="0" fontId="19" fillId="0" borderId="5" xfId="0" applyNumberFormat="1" applyFont="1" applyFill="1" applyBorder="1" applyAlignment="1">
      <alignment vertical="center"/>
    </xf>
    <xf numFmtId="0" fontId="19" fillId="0" borderId="5" xfId="0" applyNumberFormat="1" applyFont="1" applyFill="1" applyBorder="1" applyAlignment="1">
      <alignment vertical="center" wrapText="1"/>
    </xf>
    <xf numFmtId="0" fontId="19" fillId="0" borderId="5" xfId="0" applyNumberFormat="1" applyFont="1" applyFill="1" applyBorder="1" applyAlignment="1">
      <alignment horizontal="center" vertical="center"/>
    </xf>
    <xf numFmtId="0" fontId="19" fillId="0" borderId="5" xfId="0" applyNumberFormat="1" applyFont="1" applyBorder="1" applyAlignment="1">
      <alignment vertical="center"/>
    </xf>
    <xf numFmtId="0" fontId="19" fillId="0" borderId="5" xfId="0" applyNumberFormat="1" applyFont="1" applyBorder="1" applyAlignment="1">
      <alignment horizontal="center" vertical="center"/>
    </xf>
    <xf numFmtId="0" fontId="19" fillId="0" borderId="62" xfId="0" applyNumberFormat="1" applyFont="1" applyBorder="1" applyAlignment="1">
      <alignment vertical="center"/>
    </xf>
    <xf numFmtId="0" fontId="19" fillId="0" borderId="64" xfId="0" applyNumberFormat="1" applyFont="1" applyBorder="1" applyAlignment="1">
      <alignment horizontal="center" vertical="center"/>
    </xf>
    <xf numFmtId="0" fontId="19" fillId="0" borderId="72" xfId="0" applyNumberFormat="1" applyFont="1" applyBorder="1" applyAlignment="1">
      <alignment vertical="center"/>
    </xf>
    <xf numFmtId="0" fontId="19" fillId="0" borderId="73" xfId="0" applyNumberFormat="1" applyFont="1" applyBorder="1" applyAlignment="1">
      <alignment vertical="center"/>
    </xf>
    <xf numFmtId="0" fontId="19" fillId="0" borderId="70" xfId="0" applyNumberFormat="1" applyFont="1" applyBorder="1" applyAlignment="1">
      <alignment horizontal="center" vertical="center"/>
    </xf>
    <xf numFmtId="181" fontId="19" fillId="0" borderId="0" xfId="0" applyNumberFormat="1" applyFont="1" applyAlignment="1">
      <alignment vertical="center"/>
    </xf>
    <xf numFmtId="0" fontId="19" fillId="39" borderId="0" xfId="0" applyNumberFormat="1" applyFont="1" applyFill="1" applyAlignment="1">
      <alignment vertical="center"/>
    </xf>
    <xf numFmtId="0" fontId="19" fillId="37" borderId="0" xfId="0" applyNumberFormat="1" applyFont="1" applyFill="1" applyAlignment="1">
      <alignment vertical="center"/>
    </xf>
    <xf numFmtId="0" fontId="19" fillId="37" borderId="0" xfId="0" applyNumberFormat="1" applyFont="1" applyFill="1" applyAlignment="1">
      <alignment horizontal="right" vertical="center"/>
    </xf>
    <xf numFmtId="2" fontId="19" fillId="37" borderId="0" xfId="0" applyNumberFormat="1" applyFont="1" applyFill="1" applyAlignment="1">
      <alignment vertical="center"/>
    </xf>
    <xf numFmtId="4" fontId="19" fillId="37" borderId="0" xfId="0" applyNumberFormat="1" applyFont="1" applyFill="1" applyAlignment="1">
      <alignment vertical="center"/>
    </xf>
    <xf numFmtId="4" fontId="19" fillId="37" borderId="0" xfId="0" applyNumberFormat="1" applyFont="1" applyFill="1" applyAlignment="1">
      <alignment horizontal="center" vertical="center"/>
    </xf>
    <xf numFmtId="0" fontId="19" fillId="38" borderId="0" xfId="0" applyNumberFormat="1" applyFont="1" applyFill="1" applyAlignment="1">
      <alignment vertical="center"/>
    </xf>
    <xf numFmtId="0" fontId="19" fillId="38" borderId="0" xfId="0" applyNumberFormat="1" applyFont="1" applyFill="1" applyAlignment="1">
      <alignment horizontal="right" vertical="center"/>
    </xf>
    <xf numFmtId="2" fontId="19" fillId="38" borderId="0" xfId="0" applyNumberFormat="1" applyFont="1" applyFill="1" applyAlignment="1">
      <alignment vertical="center"/>
    </xf>
    <xf numFmtId="3" fontId="19" fillId="38" borderId="0" xfId="0" applyNumberFormat="1" applyFont="1" applyFill="1" applyAlignment="1">
      <alignment vertical="center"/>
    </xf>
    <xf numFmtId="4" fontId="19" fillId="38" borderId="0" xfId="0" applyNumberFormat="1" applyFont="1" applyFill="1" applyAlignment="1">
      <alignment horizontal="center" vertical="center"/>
    </xf>
    <xf numFmtId="0" fontId="19" fillId="0" borderId="0" xfId="0" applyNumberFormat="1" applyFont="1" applyAlignment="1">
      <alignment horizontal="center" vertical="center"/>
    </xf>
    <xf numFmtId="3" fontId="19" fillId="0" borderId="0" xfId="0" applyNumberFormat="1" applyFont="1" applyAlignment="1">
      <alignment vertical="center"/>
    </xf>
    <xf numFmtId="0" fontId="26" fillId="0" borderId="57" xfId="0" applyNumberFormat="1" applyFont="1" applyBorder="1" applyAlignment="1">
      <alignment horizontal="center" vertical="center"/>
    </xf>
    <xf numFmtId="0" fontId="26" fillId="0" borderId="42" xfId="0" applyNumberFormat="1" applyFont="1" applyBorder="1" applyAlignment="1">
      <alignment horizontal="center" vertical="center"/>
    </xf>
    <xf numFmtId="0" fontId="26" fillId="0" borderId="42" xfId="0" applyNumberFormat="1" applyFont="1" applyFill="1" applyBorder="1" applyAlignment="1">
      <alignment horizontal="center" vertical="center"/>
    </xf>
    <xf numFmtId="0" fontId="26" fillId="0" borderId="53" xfId="0" applyNumberFormat="1" applyFont="1" applyFill="1" applyBorder="1" applyAlignment="1">
      <alignment horizontal="center" vertical="center" wrapText="1"/>
    </xf>
    <xf numFmtId="0" fontId="26" fillId="0" borderId="43" xfId="0" applyNumberFormat="1" applyFont="1" applyFill="1" applyBorder="1" applyAlignment="1">
      <alignment vertical="center"/>
    </xf>
    <xf numFmtId="0" fontId="26" fillId="0" borderId="44" xfId="0" applyNumberFormat="1" applyFont="1" applyFill="1" applyBorder="1" applyAlignment="1">
      <alignment vertical="center"/>
    </xf>
    <xf numFmtId="0" fontId="26" fillId="0" borderId="42" xfId="0" applyNumberFormat="1" applyFont="1" applyFill="1" applyBorder="1" applyAlignment="1">
      <alignment vertical="center"/>
    </xf>
    <xf numFmtId="0" fontId="26" fillId="0" borderId="69" xfId="0" applyNumberFormat="1" applyFont="1" applyBorder="1" applyAlignment="1">
      <alignment horizontal="right" vertical="center"/>
    </xf>
    <xf numFmtId="0" fontId="26" fillId="0" borderId="69" xfId="0" applyNumberFormat="1" applyFont="1" applyBorder="1" applyAlignment="1">
      <alignment vertical="center"/>
    </xf>
    <xf numFmtId="0" fontId="26" fillId="0" borderId="73" xfId="0" applyNumberFormat="1" applyFont="1" applyFill="1" applyBorder="1" applyAlignment="1">
      <alignment horizontal="center" vertical="center"/>
    </xf>
    <xf numFmtId="0" fontId="26" fillId="0" borderId="73" xfId="0" applyNumberFormat="1" applyFont="1" applyBorder="1" applyAlignment="1">
      <alignment vertical="center"/>
    </xf>
    <xf numFmtId="179" fontId="49" fillId="0" borderId="5" xfId="110" applyNumberFormat="1" applyFont="1" applyBorder="1" applyAlignment="1">
      <alignment horizontal="center"/>
    </xf>
    <xf numFmtId="0" fontId="61" fillId="0" borderId="5" xfId="110" applyFont="1" applyBorder="1" applyAlignment="1">
      <alignment horizontal="center"/>
    </xf>
    <xf numFmtId="179" fontId="61" fillId="0" borderId="5" xfId="110" applyNumberFormat="1" applyFont="1" applyBorder="1" applyAlignment="1">
      <alignment horizontal="center"/>
    </xf>
    <xf numFmtId="0" fontId="61" fillId="0" borderId="0" xfId="110" applyFont="1" applyAlignment="1">
      <alignment horizontal="center"/>
    </xf>
    <xf numFmtId="0" fontId="49" fillId="0" borderId="54" xfId="110" applyFont="1" applyFill="1" applyBorder="1" applyAlignment="1">
      <alignment horizontal="center" vertical="center"/>
    </xf>
    <xf numFmtId="9" fontId="49" fillId="0" borderId="90" xfId="110" applyNumberFormat="1" applyFont="1" applyFill="1" applyBorder="1" applyAlignment="1">
      <alignment horizontal="center" vertical="center" wrapText="1"/>
    </xf>
    <xf numFmtId="3" fontId="49" fillId="0" borderId="90" xfId="110" applyNumberFormat="1" applyFont="1" applyFill="1" applyBorder="1" applyAlignment="1">
      <alignment horizontal="center" wrapText="1"/>
    </xf>
    <xf numFmtId="9" fontId="49" fillId="0" borderId="86" xfId="110" applyNumberFormat="1" applyFont="1" applyFill="1" applyBorder="1" applyAlignment="1">
      <alignment horizontal="center" vertical="center" wrapText="1"/>
    </xf>
    <xf numFmtId="0" fontId="49" fillId="0" borderId="68" xfId="110" applyFont="1" applyBorder="1" applyAlignment="1">
      <alignment horizontal="center" vertical="center" wrapText="1"/>
    </xf>
    <xf numFmtId="0" fontId="61" fillId="0" borderId="102" xfId="110" applyFont="1" applyBorder="1" applyAlignment="1">
      <alignment horizontal="center" vertical="center" wrapText="1"/>
    </xf>
    <xf numFmtId="0" fontId="61" fillId="0" borderId="72" xfId="110" applyFont="1" applyBorder="1" applyAlignment="1">
      <alignment horizontal="center"/>
    </xf>
    <xf numFmtId="10" fontId="61" fillId="0" borderId="73" xfId="110" applyNumberFormat="1" applyFont="1" applyBorder="1"/>
    <xf numFmtId="10" fontId="61" fillId="0" borderId="43" xfId="110" applyNumberFormat="1" applyFont="1" applyBorder="1"/>
    <xf numFmtId="3" fontId="61" fillId="0" borderId="103" xfId="110" applyNumberFormat="1" applyFont="1" applyBorder="1"/>
    <xf numFmtId="179" fontId="49" fillId="0" borderId="66" xfId="110" applyNumberFormat="1" applyFont="1" applyBorder="1" applyAlignment="1">
      <alignment horizontal="center"/>
    </xf>
    <xf numFmtId="179" fontId="49" fillId="0" borderId="69" xfId="110" applyNumberFormat="1" applyFont="1" applyBorder="1" applyAlignment="1">
      <alignment horizontal="center"/>
    </xf>
    <xf numFmtId="0" fontId="19" fillId="0" borderId="0" xfId="0" applyNumberFormat="1" applyFont="1"/>
    <xf numFmtId="4" fontId="19" fillId="0" borderId="5" xfId="0" applyNumberFormat="1" applyFont="1" applyBorder="1" applyAlignment="1">
      <alignment horizontal="center" vertical="center"/>
    </xf>
    <xf numFmtId="4" fontId="19" fillId="0" borderId="5" xfId="0" applyNumberFormat="1" applyFont="1" applyBorder="1" applyAlignment="1">
      <alignment vertical="center"/>
    </xf>
    <xf numFmtId="4" fontId="19" fillId="37" borderId="5" xfId="0" applyNumberFormat="1" applyFont="1" applyFill="1" applyBorder="1" applyAlignment="1">
      <alignment horizontal="center" vertical="center"/>
    </xf>
    <xf numFmtId="4" fontId="19" fillId="37" borderId="5" xfId="0" applyNumberFormat="1" applyFont="1" applyFill="1" applyBorder="1" applyAlignment="1">
      <alignment vertical="center"/>
    </xf>
    <xf numFmtId="0" fontId="19" fillId="0" borderId="0" xfId="106" applyFont="1"/>
    <xf numFmtId="4" fontId="19" fillId="37" borderId="0" xfId="0" applyNumberFormat="1" applyFont="1" applyFill="1"/>
    <xf numFmtId="4" fontId="19" fillId="0" borderId="0" xfId="0" applyNumberFormat="1" applyFont="1"/>
    <xf numFmtId="3" fontId="19" fillId="37" borderId="0" xfId="0" applyNumberFormat="1" applyFont="1" applyFill="1"/>
    <xf numFmtId="3" fontId="19" fillId="38" borderId="0" xfId="0" applyNumberFormat="1" applyFont="1" applyFill="1"/>
    <xf numFmtId="4" fontId="19" fillId="38" borderId="0" xfId="0" applyNumberFormat="1" applyFont="1" applyFill="1"/>
    <xf numFmtId="0" fontId="20" fillId="35" borderId="5" xfId="106" applyFont="1" applyFill="1" applyBorder="1"/>
    <xf numFmtId="0" fontId="20" fillId="35" borderId="5" xfId="106" applyFont="1" applyFill="1" applyBorder="1" applyAlignment="1">
      <alignment horizontal="center" vertical="center"/>
    </xf>
    <xf numFmtId="0" fontId="20" fillId="35" borderId="5" xfId="106" applyFont="1" applyFill="1" applyBorder="1" applyAlignment="1">
      <alignment horizontal="center" vertical="center" wrapText="1"/>
    </xf>
    <xf numFmtId="0" fontId="20" fillId="0" borderId="5" xfId="106" applyFont="1" applyFill="1" applyBorder="1" applyAlignment="1">
      <alignment horizontal="center" vertical="center" wrapText="1"/>
    </xf>
    <xf numFmtId="2" fontId="19" fillId="0" borderId="5" xfId="108" applyNumberFormat="1" applyFont="1" applyFill="1" applyBorder="1" applyAlignment="1">
      <alignment horizontal="center" vertical="center"/>
    </xf>
    <xf numFmtId="0" fontId="19" fillId="0" borderId="5" xfId="106" applyFont="1" applyFill="1" applyBorder="1" applyAlignment="1">
      <alignment horizontal="center" vertical="center"/>
    </xf>
    <xf numFmtId="0" fontId="20" fillId="2" borderId="5" xfId="106" applyFont="1" applyFill="1" applyBorder="1" applyAlignment="1">
      <alignment horizontal="center" vertical="center"/>
    </xf>
    <xf numFmtId="0" fontId="19" fillId="2" borderId="5" xfId="106" applyFont="1" applyFill="1" applyBorder="1" applyAlignment="1">
      <alignment horizontal="center" vertical="center" wrapText="1"/>
    </xf>
    <xf numFmtId="2" fontId="19" fillId="0" borderId="5" xfId="106" applyNumberFormat="1" applyFont="1" applyFill="1" applyBorder="1" applyAlignment="1">
      <alignment horizontal="center" vertical="center"/>
    </xf>
    <xf numFmtId="178" fontId="20" fillId="36" borderId="5" xfId="106" applyNumberFormat="1" applyFont="1" applyFill="1" applyBorder="1" applyAlignment="1">
      <alignment horizontal="right" vertical="center"/>
    </xf>
    <xf numFmtId="178" fontId="20" fillId="36" borderId="5" xfId="106" applyNumberFormat="1" applyFont="1" applyFill="1" applyBorder="1" applyAlignment="1">
      <alignment horizontal="center" vertical="center"/>
    </xf>
    <xf numFmtId="2" fontId="20" fillId="36" borderId="5" xfId="106" applyNumberFormat="1" applyFont="1" applyFill="1" applyBorder="1" applyAlignment="1">
      <alignment horizontal="center" vertical="center"/>
    </xf>
    <xf numFmtId="0" fontId="64" fillId="0" borderId="5" xfId="106" applyFont="1" applyFill="1" applyBorder="1"/>
    <xf numFmtId="0" fontId="19" fillId="0" borderId="5" xfId="106" applyFont="1" applyFill="1" applyBorder="1"/>
    <xf numFmtId="0" fontId="20" fillId="0" borderId="5" xfId="106" applyFont="1" applyFill="1" applyBorder="1" applyAlignment="1">
      <alignment horizontal="center" vertical="center"/>
    </xf>
    <xf numFmtId="164" fontId="19" fillId="0" borderId="5" xfId="106" applyNumberFormat="1" applyFont="1" applyFill="1" applyBorder="1" applyAlignment="1">
      <alignment horizontal="center" vertical="center"/>
    </xf>
    <xf numFmtId="2" fontId="19" fillId="37" borderId="5" xfId="106" applyNumberFormat="1" applyFont="1" applyFill="1" applyBorder="1" applyAlignment="1">
      <alignment horizontal="center" vertical="center"/>
    </xf>
    <xf numFmtId="178" fontId="19" fillId="0" borderId="5" xfId="106" applyNumberFormat="1" applyFont="1" applyFill="1" applyBorder="1" applyAlignment="1">
      <alignment horizontal="center" vertical="center"/>
    </xf>
    <xf numFmtId="165" fontId="19" fillId="0" borderId="5" xfId="109" applyFont="1" applyFill="1" applyBorder="1" applyAlignment="1">
      <alignment horizontal="left" vertical="center" wrapText="1"/>
    </xf>
    <xf numFmtId="178" fontId="19" fillId="0" borderId="5" xfId="106" applyNumberFormat="1" applyFont="1" applyFill="1" applyBorder="1" applyAlignment="1">
      <alignment horizontal="center" vertical="center" wrapText="1"/>
    </xf>
    <xf numFmtId="2" fontId="19" fillId="0" borderId="5" xfId="106" applyNumberFormat="1" applyFont="1" applyFill="1" applyBorder="1" applyAlignment="1">
      <alignment horizontal="center" vertical="center" wrapText="1"/>
    </xf>
    <xf numFmtId="2" fontId="20" fillId="35" borderId="5" xfId="106" applyNumberFormat="1" applyFont="1" applyFill="1" applyBorder="1" applyAlignment="1">
      <alignment horizontal="center" vertical="center"/>
    </xf>
    <xf numFmtId="4" fontId="26" fillId="37" borderId="0" xfId="0" applyNumberFormat="1" applyFont="1" applyFill="1"/>
    <xf numFmtId="4" fontId="26" fillId="0" borderId="0" xfId="0" applyNumberFormat="1" applyFont="1" applyAlignment="1">
      <alignment vertical="center"/>
    </xf>
    <xf numFmtId="3" fontId="26" fillId="0" borderId="0" xfId="0" applyNumberFormat="1" applyFont="1"/>
    <xf numFmtId="0" fontId="20" fillId="35" borderId="5" xfId="106" applyFont="1" applyFill="1" applyBorder="1" applyAlignment="1">
      <alignment horizontal="left" vertical="center" wrapText="1"/>
    </xf>
    <xf numFmtId="0" fontId="19" fillId="0" borderId="5" xfId="106" applyFont="1" applyFill="1" applyBorder="1" applyAlignment="1">
      <alignment horizontal="left" vertical="center" wrapText="1"/>
    </xf>
    <xf numFmtId="0" fontId="19" fillId="0" borderId="5" xfId="106" applyFont="1" applyFill="1" applyBorder="1" applyAlignment="1">
      <alignment vertical="center" wrapText="1"/>
    </xf>
    <xf numFmtId="178" fontId="20" fillId="36" borderId="5" xfId="106" applyNumberFormat="1" applyFont="1" applyFill="1" applyBorder="1" applyAlignment="1">
      <alignment horizontal="right" vertical="center" wrapText="1"/>
    </xf>
    <xf numFmtId="0" fontId="19" fillId="0" borderId="0" xfId="0" applyNumberFormat="1" applyFont="1" applyAlignment="1">
      <alignment wrapText="1"/>
    </xf>
    <xf numFmtId="4" fontId="19" fillId="0" borderId="0" xfId="0" applyNumberFormat="1" applyFont="1" applyAlignment="1">
      <alignment vertical="center"/>
    </xf>
    <xf numFmtId="41" fontId="51" fillId="0" borderId="0" xfId="111" applyNumberFormat="1" applyFont="1" applyFill="1" applyAlignment="1">
      <alignment vertical="center"/>
    </xf>
    <xf numFmtId="172" fontId="19" fillId="0" borderId="0" xfId="0" applyFont="1" applyAlignment="1">
      <alignment vertical="center"/>
    </xf>
    <xf numFmtId="172" fontId="24" fillId="29" borderId="1" xfId="0" applyNumberFormat="1" applyFont="1" applyFill="1" applyBorder="1" applyAlignment="1">
      <alignment horizontal="center"/>
    </xf>
    <xf numFmtId="172" fontId="19" fillId="0" borderId="1" xfId="0" applyNumberFormat="1" applyFont="1" applyBorder="1"/>
    <xf numFmtId="182" fontId="19" fillId="0" borderId="1" xfId="38" applyNumberFormat="1" applyFont="1" applyBorder="1" applyAlignment="1">
      <alignment horizontal="center"/>
    </xf>
    <xf numFmtId="37" fontId="19" fillId="0" borderId="1" xfId="38" applyNumberFormat="1" applyFont="1" applyBorder="1" applyAlignment="1">
      <alignment horizontal="center"/>
    </xf>
    <xf numFmtId="182" fontId="20" fillId="0" borderId="1" xfId="38" applyNumberFormat="1" applyFont="1" applyBorder="1" applyAlignment="1">
      <alignment horizontal="center"/>
    </xf>
    <xf numFmtId="37" fontId="20" fillId="0" borderId="1" xfId="38" applyNumberFormat="1" applyFont="1" applyBorder="1" applyAlignment="1">
      <alignment horizontal="center"/>
    </xf>
    <xf numFmtId="172" fontId="19" fillId="0" borderId="1" xfId="0" applyNumberFormat="1" applyFont="1" applyFill="1" applyBorder="1" applyAlignment="1">
      <alignment horizontal="right"/>
    </xf>
    <xf numFmtId="9" fontId="19" fillId="0" borderId="1" xfId="111" applyFont="1" applyFill="1" applyBorder="1" applyAlignment="1">
      <alignment horizontal="center"/>
    </xf>
    <xf numFmtId="39" fontId="19" fillId="0" borderId="1" xfId="38" applyNumberFormat="1" applyFont="1" applyFill="1" applyBorder="1" applyAlignment="1">
      <alignment horizontal="center"/>
    </xf>
    <xf numFmtId="172" fontId="26" fillId="0" borderId="0" xfId="0" applyFont="1" applyAlignment="1">
      <alignment horizontal="right"/>
    </xf>
    <xf numFmtId="172" fontId="70" fillId="0" borderId="0" xfId="33" applyFont="1" applyAlignment="1">
      <alignment vertical="center"/>
    </xf>
    <xf numFmtId="172" fontId="70" fillId="0" borderId="0" xfId="33" applyFont="1" applyAlignment="1">
      <alignment horizontal="center" vertical="center"/>
    </xf>
    <xf numFmtId="172" fontId="51" fillId="0" borderId="0" xfId="33" applyFont="1" applyAlignment="1">
      <alignment vertical="center" wrapText="1"/>
    </xf>
    <xf numFmtId="3" fontId="51" fillId="0" borderId="0" xfId="38" applyNumberFormat="1" applyFont="1" applyAlignment="1">
      <alignment horizontal="center" vertical="center"/>
    </xf>
    <xf numFmtId="17" fontId="51" fillId="0" borderId="0" xfId="33" applyNumberFormat="1" applyFont="1" applyAlignment="1">
      <alignment horizontal="center" vertical="center"/>
    </xf>
    <xf numFmtId="3" fontId="70" fillId="3" borderId="7" xfId="33" applyNumberFormat="1" applyFont="1" applyFill="1" applyBorder="1" applyAlignment="1">
      <alignment horizontal="center" vertical="center" wrapText="1"/>
    </xf>
    <xf numFmtId="17" fontId="70" fillId="3" borderId="7" xfId="33" applyNumberFormat="1" applyFont="1" applyFill="1" applyBorder="1" applyAlignment="1">
      <alignment horizontal="center" vertical="center" wrapText="1"/>
    </xf>
    <xf numFmtId="3" fontId="70" fillId="3" borderId="3" xfId="33" applyNumberFormat="1" applyFont="1" applyFill="1" applyBorder="1" applyAlignment="1">
      <alignment horizontal="left" vertical="center" wrapText="1"/>
    </xf>
    <xf numFmtId="3" fontId="70" fillId="3" borderId="3" xfId="38" applyNumberFormat="1" applyFont="1" applyFill="1" applyBorder="1" applyAlignment="1">
      <alignment horizontal="center" vertical="center" wrapText="1"/>
    </xf>
    <xf numFmtId="172" fontId="70" fillId="27" borderId="1" xfId="35" applyFont="1" applyFill="1" applyBorder="1" applyAlignment="1">
      <alignment horizontal="left" vertical="center" wrapText="1"/>
    </xf>
    <xf numFmtId="3" fontId="70" fillId="27" borderId="1" xfId="38" applyNumberFormat="1" applyFont="1" applyFill="1" applyBorder="1" applyAlignment="1">
      <alignment horizontal="center" vertical="center" wrapText="1"/>
    </xf>
    <xf numFmtId="3" fontId="51" fillId="0" borderId="1" xfId="33" applyNumberFormat="1" applyFont="1" applyFill="1" applyBorder="1" applyAlignment="1">
      <alignment horizontal="left" vertical="center" wrapText="1"/>
    </xf>
    <xf numFmtId="3" fontId="51" fillId="0" borderId="1" xfId="38" applyNumberFormat="1" applyFont="1" applyFill="1" applyBorder="1" applyAlignment="1">
      <alignment horizontal="center" vertical="center" wrapText="1"/>
    </xf>
    <xf numFmtId="172" fontId="70" fillId="3" borderId="1" xfId="33" applyFont="1" applyFill="1" applyBorder="1" applyAlignment="1">
      <alignment horizontal="left" vertical="center" wrapText="1"/>
    </xf>
    <xf numFmtId="172" fontId="70" fillId="3" borderId="1" xfId="33" applyFont="1" applyFill="1" applyBorder="1" applyAlignment="1">
      <alignment horizontal="center" vertical="center" wrapText="1"/>
    </xf>
    <xf numFmtId="3" fontId="70" fillId="3" borderId="1" xfId="33" applyNumberFormat="1" applyFont="1" applyFill="1" applyBorder="1" applyAlignment="1">
      <alignment horizontal="left" vertical="center" wrapText="1"/>
    </xf>
    <xf numFmtId="3" fontId="70" fillId="3" borderId="1" xfId="33" applyNumberFormat="1" applyFont="1" applyFill="1" applyBorder="1" applyAlignment="1">
      <alignment horizontal="center" vertical="center" wrapText="1"/>
    </xf>
    <xf numFmtId="171" fontId="24" fillId="3" borderId="22" xfId="38" applyNumberFormat="1" applyFont="1" applyFill="1" applyBorder="1" applyAlignment="1">
      <alignment horizontal="left" vertical="center" wrapText="1"/>
    </xf>
    <xf numFmtId="171" fontId="49" fillId="0" borderId="0" xfId="38" applyNumberFormat="1" applyFont="1"/>
    <xf numFmtId="171" fontId="49" fillId="0" borderId="0" xfId="110" applyNumberFormat="1" applyFont="1"/>
    <xf numFmtId="171" fontId="61" fillId="43" borderId="0" xfId="38" applyNumberFormat="1" applyFont="1" applyFill="1"/>
    <xf numFmtId="171" fontId="61" fillId="43" borderId="0" xfId="110" applyNumberFormat="1" applyFont="1" applyFill="1"/>
    <xf numFmtId="3" fontId="61" fillId="43" borderId="5" xfId="110" applyNumberFormat="1" applyFont="1" applyFill="1" applyBorder="1"/>
    <xf numFmtId="9" fontId="19" fillId="2" borderId="2" xfId="88" applyNumberFormat="1" applyFont="1" applyFill="1" applyBorder="1" applyAlignment="1">
      <alignment horizontal="center" vertical="center" wrapText="1"/>
    </xf>
    <xf numFmtId="9" fontId="19" fillId="2" borderId="2" xfId="111" applyFont="1" applyFill="1" applyBorder="1" applyAlignment="1">
      <alignment horizontal="center" vertical="center"/>
    </xf>
    <xf numFmtId="171" fontId="19" fillId="2" borderId="2" xfId="38" applyNumberFormat="1" applyFont="1" applyFill="1" applyBorder="1" applyAlignment="1">
      <alignment horizontal="center" vertical="center"/>
    </xf>
    <xf numFmtId="17" fontId="23" fillId="2" borderId="100" xfId="92" applyNumberFormat="1" applyFont="1" applyFill="1" applyBorder="1" applyAlignment="1">
      <alignment horizontal="center" vertical="center"/>
    </xf>
    <xf numFmtId="172" fontId="19" fillId="2" borderId="2" xfId="88" applyFont="1" applyFill="1" applyBorder="1" applyAlignment="1">
      <alignment horizontal="center" vertical="center" wrapText="1"/>
    </xf>
    <xf numFmtId="172" fontId="19" fillId="2" borderId="21" xfId="88" applyFont="1" applyFill="1" applyBorder="1" applyAlignment="1">
      <alignment horizontal="center" vertical="center" wrapText="1"/>
    </xf>
    <xf numFmtId="3" fontId="19" fillId="2" borderId="2" xfId="88" applyNumberFormat="1" applyFont="1" applyFill="1" applyBorder="1" applyAlignment="1">
      <alignment horizontal="center" vertical="center" wrapText="1"/>
    </xf>
    <xf numFmtId="43" fontId="61" fillId="0" borderId="5" xfId="38" applyFont="1" applyBorder="1" applyAlignment="1">
      <alignment horizontal="center"/>
    </xf>
    <xf numFmtId="43" fontId="61" fillId="0" borderId="0" xfId="38" applyFont="1" applyAlignment="1">
      <alignment horizontal="center"/>
    </xf>
    <xf numFmtId="43" fontId="49" fillId="0" borderId="5" xfId="38" applyFont="1" applyBorder="1" applyAlignment="1">
      <alignment vertical="center" wrapText="1"/>
    </xf>
    <xf numFmtId="43" fontId="49" fillId="0" borderId="5" xfId="38" applyFont="1" applyBorder="1"/>
    <xf numFmtId="43" fontId="49" fillId="0" borderId="0" xfId="38" applyFont="1"/>
    <xf numFmtId="0" fontId="49" fillId="46" borderId="0" xfId="110" applyFont="1" applyFill="1"/>
    <xf numFmtId="3" fontId="49" fillId="46" borderId="5" xfId="110" applyNumberFormat="1" applyFont="1" applyFill="1" applyBorder="1"/>
    <xf numFmtId="171" fontId="49" fillId="46" borderId="0" xfId="38" applyNumberFormat="1" applyFont="1" applyFill="1"/>
    <xf numFmtId="0" fontId="0" fillId="0" borderId="0" xfId="99" applyFont="1"/>
    <xf numFmtId="0" fontId="21" fillId="0" borderId="0" xfId="99" applyFont="1"/>
    <xf numFmtId="0" fontId="0" fillId="0" borderId="0" xfId="99" applyFont="1" applyBorder="1"/>
    <xf numFmtId="0" fontId="73" fillId="0" borderId="0" xfId="99" applyFont="1" applyFill="1" applyBorder="1"/>
    <xf numFmtId="0" fontId="0" fillId="0" borderId="0" xfId="99" applyFont="1" applyFill="1"/>
    <xf numFmtId="0" fontId="72" fillId="0" borderId="0" xfId="99" applyFont="1" applyFill="1" applyBorder="1" applyAlignment="1">
      <alignment vertical="center"/>
    </xf>
    <xf numFmtId="0" fontId="73" fillId="0" borderId="5" xfId="99" applyFont="1" applyFill="1" applyBorder="1" applyAlignment="1">
      <alignment horizontal="left" vertical="center"/>
    </xf>
    <xf numFmtId="2" fontId="73" fillId="0" borderId="6" xfId="38" applyNumberFormat="1" applyFont="1" applyFill="1" applyBorder="1" applyAlignment="1">
      <alignment horizontal="center" vertical="center"/>
    </xf>
    <xf numFmtId="0" fontId="73" fillId="0" borderId="5" xfId="99" applyFont="1" applyFill="1" applyBorder="1" applyAlignment="1">
      <alignment vertical="center"/>
    </xf>
    <xf numFmtId="2" fontId="73" fillId="0" borderId="6" xfId="99" applyNumberFormat="1" applyFont="1" applyFill="1" applyBorder="1" applyAlignment="1">
      <alignment horizontal="center" vertical="center"/>
    </xf>
    <xf numFmtId="178" fontId="72" fillId="0" borderId="5" xfId="99" applyNumberFormat="1" applyFont="1" applyFill="1" applyBorder="1" applyAlignment="1">
      <alignment horizontal="right" vertical="center"/>
    </xf>
    <xf numFmtId="178" fontId="72" fillId="0" borderId="5" xfId="99" applyNumberFormat="1" applyFont="1" applyFill="1" applyBorder="1" applyAlignment="1">
      <alignment horizontal="center" vertical="center"/>
    </xf>
    <xf numFmtId="178" fontId="72" fillId="0" borderId="61" xfId="99" applyNumberFormat="1" applyFont="1" applyFill="1" applyBorder="1" applyAlignment="1">
      <alignment horizontal="center" vertical="center"/>
    </xf>
    <xf numFmtId="164" fontId="73" fillId="0" borderId="6" xfId="38" applyNumberFormat="1" applyFont="1" applyFill="1" applyBorder="1" applyAlignment="1">
      <alignment horizontal="center" vertical="center"/>
    </xf>
    <xf numFmtId="164" fontId="73" fillId="0" borderId="6" xfId="99" applyNumberFormat="1" applyFont="1" applyFill="1" applyBorder="1" applyAlignment="1">
      <alignment horizontal="center" vertical="center"/>
    </xf>
    <xf numFmtId="178" fontId="73" fillId="0" borderId="6" xfId="99" applyNumberFormat="1" applyFont="1" applyFill="1" applyBorder="1" applyAlignment="1">
      <alignment horizontal="center" vertical="center"/>
    </xf>
    <xf numFmtId="178" fontId="73" fillId="0" borderId="61" xfId="99" applyNumberFormat="1" applyFont="1" applyFill="1" applyBorder="1" applyAlignment="1">
      <alignment horizontal="center" vertical="center"/>
    </xf>
    <xf numFmtId="165" fontId="73" fillId="0" borderId="5" xfId="109" applyFont="1" applyFill="1" applyBorder="1" applyAlignment="1">
      <alignment horizontal="left" vertical="center" wrapText="1"/>
    </xf>
    <xf numFmtId="178" fontId="73" fillId="0" borderId="6" xfId="99" applyNumberFormat="1" applyFont="1" applyFill="1" applyBorder="1" applyAlignment="1">
      <alignment horizontal="center"/>
    </xf>
    <xf numFmtId="0" fontId="73" fillId="0" borderId="0" xfId="99" applyFont="1" applyFill="1" applyBorder="1" applyAlignment="1"/>
    <xf numFmtId="0" fontId="73" fillId="0" borderId="5" xfId="99" applyFont="1" applyFill="1" applyBorder="1"/>
    <xf numFmtId="0" fontId="73" fillId="0" borderId="0" xfId="99" applyFont="1" applyFill="1" applyBorder="1" applyAlignment="1">
      <alignment horizontal="left"/>
    </xf>
    <xf numFmtId="0" fontId="72" fillId="0" borderId="5" xfId="99" applyFont="1" applyFill="1" applyBorder="1" applyAlignment="1">
      <alignment vertical="center"/>
    </xf>
    <xf numFmtId="178" fontId="72" fillId="0" borderId="5" xfId="99" applyNumberFormat="1" applyFont="1" applyFill="1" applyBorder="1" applyAlignment="1">
      <alignment horizontal="left" vertical="center"/>
    </xf>
    <xf numFmtId="2" fontId="72" fillId="45" borderId="5" xfId="99" applyNumberFormat="1" applyFont="1" applyFill="1" applyBorder="1" applyAlignment="1">
      <alignment horizontal="center" vertical="center"/>
    </xf>
    <xf numFmtId="2" fontId="72" fillId="45" borderId="61" xfId="99" applyNumberFormat="1" applyFont="1" applyFill="1" applyBorder="1" applyAlignment="1">
      <alignment horizontal="center" vertical="center"/>
    </xf>
    <xf numFmtId="0" fontId="72" fillId="48" borderId="83" xfId="106" applyFont="1" applyFill="1" applyBorder="1" applyAlignment="1">
      <alignment horizontal="center" vertical="center"/>
    </xf>
    <xf numFmtId="0" fontId="72" fillId="48" borderId="84" xfId="106" applyFont="1" applyFill="1" applyBorder="1"/>
    <xf numFmtId="0" fontId="72" fillId="48" borderId="84" xfId="106" applyFont="1" applyFill="1" applyBorder="1" applyAlignment="1">
      <alignment horizontal="center" vertical="center"/>
    </xf>
    <xf numFmtId="0" fontId="72" fillId="48" borderId="84" xfId="106" applyFont="1" applyFill="1" applyBorder="1" applyAlignment="1">
      <alignment horizontal="center" vertical="center" wrapText="1"/>
    </xf>
    <xf numFmtId="0" fontId="72" fillId="48" borderId="87" xfId="106" applyFont="1" applyFill="1" applyBorder="1" applyAlignment="1">
      <alignment horizontal="center" vertical="center" wrapText="1"/>
    </xf>
    <xf numFmtId="0" fontId="73" fillId="0" borderId="111" xfId="99" applyFont="1" applyBorder="1"/>
    <xf numFmtId="0" fontId="73" fillId="49" borderId="66" xfId="99" applyFont="1" applyFill="1" applyBorder="1" applyAlignment="1">
      <alignment horizontal="left" vertical="center" wrapText="1"/>
    </xf>
    <xf numFmtId="4" fontId="73" fillId="49" borderId="88" xfId="99" applyNumberFormat="1" applyFont="1" applyFill="1" applyBorder="1" applyAlignment="1">
      <alignment vertical="center"/>
    </xf>
    <xf numFmtId="0" fontId="21" fillId="4" borderId="83" xfId="99" applyFont="1" applyFill="1" applyBorder="1" applyAlignment="1">
      <alignment horizontal="center" vertical="center"/>
    </xf>
    <xf numFmtId="0" fontId="21" fillId="4" borderId="84" xfId="99" applyFont="1" applyFill="1" applyBorder="1" applyAlignment="1">
      <alignment horizontal="center" vertical="center"/>
    </xf>
    <xf numFmtId="0" fontId="21" fillId="4" borderId="85" xfId="99" applyFont="1" applyFill="1" applyBorder="1" applyAlignment="1">
      <alignment horizontal="center" vertical="center"/>
    </xf>
    <xf numFmtId="0" fontId="73" fillId="0" borderId="0" xfId="99" applyFont="1" applyBorder="1"/>
    <xf numFmtId="0" fontId="73" fillId="49" borderId="5" xfId="99" applyFont="1" applyFill="1" applyBorder="1" applyAlignment="1">
      <alignment horizontal="left" vertical="center" wrapText="1"/>
    </xf>
    <xf numFmtId="4" fontId="73" fillId="49" borderId="6" xfId="99" applyNumberFormat="1" applyFont="1" applyFill="1" applyBorder="1" applyAlignment="1">
      <alignment vertical="center"/>
    </xf>
    <xf numFmtId="0" fontId="21" fillId="0" borderId="56" xfId="99" applyFont="1" applyBorder="1"/>
    <xf numFmtId="2" fontId="21" fillId="0" borderId="44" xfId="99" applyNumberFormat="1" applyFont="1" applyBorder="1"/>
    <xf numFmtId="4" fontId="21" fillId="0" borderId="44" xfId="99" applyNumberFormat="1" applyFont="1" applyBorder="1"/>
    <xf numFmtId="4" fontId="21" fillId="0" borderId="113" xfId="99" applyNumberFormat="1" applyFont="1" applyBorder="1"/>
    <xf numFmtId="0" fontId="76" fillId="0" borderId="5" xfId="99" applyFont="1" applyBorder="1" applyAlignment="1">
      <alignment horizontal="left" vertical="center" wrapText="1"/>
    </xf>
    <xf numFmtId="4" fontId="76" fillId="0" borderId="6" xfId="99" applyNumberFormat="1" applyFont="1" applyBorder="1" applyAlignment="1">
      <alignment vertical="center"/>
    </xf>
    <xf numFmtId="0" fontId="21" fillId="0" borderId="57" xfId="99" applyFont="1" applyBorder="1"/>
    <xf numFmtId="3" fontId="21" fillId="0" borderId="42" xfId="99" applyNumberFormat="1" applyFont="1" applyBorder="1"/>
    <xf numFmtId="3" fontId="21" fillId="30" borderId="94" xfId="99" applyNumberFormat="1" applyFont="1" applyFill="1" applyBorder="1"/>
    <xf numFmtId="4" fontId="76" fillId="0" borderId="6" xfId="99" applyNumberFormat="1" applyFont="1" applyBorder="1" applyAlignment="1">
      <alignment vertical="center" wrapText="1"/>
    </xf>
    <xf numFmtId="0" fontId="21" fillId="4" borderId="83" xfId="99" applyFont="1" applyFill="1" applyBorder="1"/>
    <xf numFmtId="3" fontId="21" fillId="4" borderId="84" xfId="99" applyNumberFormat="1" applyFont="1" applyFill="1" applyBorder="1"/>
    <xf numFmtId="3" fontId="21" fillId="4" borderId="87" xfId="99" applyNumberFormat="1" applyFont="1" applyFill="1" applyBorder="1"/>
    <xf numFmtId="0" fontId="73" fillId="0" borderId="69" xfId="99" applyFont="1" applyBorder="1"/>
    <xf numFmtId="178" fontId="72" fillId="36" borderId="69" xfId="106" applyNumberFormat="1" applyFont="1" applyFill="1" applyBorder="1" applyAlignment="1">
      <alignment horizontal="right" vertical="center"/>
    </xf>
    <xf numFmtId="4" fontId="72" fillId="36" borderId="63" xfId="106" applyNumberFormat="1" applyFont="1" applyFill="1" applyBorder="1" applyAlignment="1">
      <alignment vertical="center"/>
    </xf>
    <xf numFmtId="0" fontId="73" fillId="0" borderId="91" xfId="99" applyFont="1" applyFill="1" applyBorder="1" applyAlignment="1">
      <alignment vertical="center"/>
    </xf>
    <xf numFmtId="0" fontId="73" fillId="0" borderId="66" xfId="99" applyFont="1" applyFill="1" applyBorder="1" applyAlignment="1">
      <alignment horizontal="left" vertical="center"/>
    </xf>
    <xf numFmtId="4" fontId="73" fillId="0" borderId="88" xfId="99" applyNumberFormat="1" applyFont="1" applyFill="1" applyBorder="1" applyAlignment="1">
      <alignment vertical="center"/>
    </xf>
    <xf numFmtId="0" fontId="73" fillId="0" borderId="46" xfId="99" applyFont="1" applyFill="1" applyBorder="1" applyAlignment="1">
      <alignment vertical="center"/>
    </xf>
    <xf numFmtId="4" fontId="73" fillId="0" borderId="6" xfId="99" applyNumberFormat="1" applyFont="1" applyFill="1" applyBorder="1" applyAlignment="1">
      <alignment vertical="center"/>
    </xf>
    <xf numFmtId="0" fontId="11" fillId="0" borderId="42" xfId="99" applyFont="1" applyBorder="1" applyAlignment="1">
      <alignment horizontal="center"/>
    </xf>
    <xf numFmtId="3" fontId="0" fillId="0" borderId="61" xfId="99" applyNumberFormat="1" applyFont="1" applyBorder="1" applyAlignment="1"/>
    <xf numFmtId="0" fontId="0" fillId="0" borderId="0" xfId="99" applyFont="1" applyAlignment="1"/>
    <xf numFmtId="0" fontId="73" fillId="0" borderId="109" xfId="99" applyFont="1" applyFill="1" applyBorder="1" applyAlignment="1">
      <alignment vertical="center"/>
    </xf>
    <xf numFmtId="183" fontId="21" fillId="43" borderId="103" xfId="99" applyNumberFormat="1" applyFont="1" applyFill="1" applyBorder="1" applyAlignment="1">
      <alignment horizontal="center" vertical="center" wrapText="1"/>
    </xf>
    <xf numFmtId="0" fontId="11" fillId="0" borderId="44" xfId="99" applyFont="1" applyBorder="1" applyAlignment="1">
      <alignment horizontal="center"/>
    </xf>
    <xf numFmtId="4" fontId="0" fillId="0" borderId="0" xfId="99" applyNumberFormat="1" applyFont="1" applyAlignment="1"/>
    <xf numFmtId="0" fontId="72" fillId="0" borderId="66" xfId="106" applyFont="1" applyFill="1" applyBorder="1" applyAlignment="1">
      <alignment horizontal="center" vertical="center"/>
    </xf>
    <xf numFmtId="0" fontId="73" fillId="0" borderId="66" xfId="106" applyFont="1" applyFill="1" applyBorder="1" applyAlignment="1">
      <alignment horizontal="left" vertical="center" wrapText="1"/>
    </xf>
    <xf numFmtId="4" fontId="73" fillId="0" borderId="88" xfId="106" applyNumberFormat="1" applyFont="1" applyFill="1" applyBorder="1" applyAlignment="1">
      <alignment vertical="center"/>
    </xf>
    <xf numFmtId="3" fontId="0" fillId="0" borderId="5" xfId="99" applyNumberFormat="1" applyFont="1" applyBorder="1" applyAlignment="1">
      <alignment horizontal="center"/>
    </xf>
    <xf numFmtId="0" fontId="72" fillId="0" borderId="5" xfId="106" applyFont="1" applyFill="1" applyBorder="1" applyAlignment="1">
      <alignment horizontal="center" vertical="center"/>
    </xf>
    <xf numFmtId="0" fontId="73" fillId="0" borderId="5" xfId="99" applyFont="1" applyFill="1" applyBorder="1" applyAlignment="1">
      <alignment horizontal="left" vertical="center" wrapText="1"/>
    </xf>
    <xf numFmtId="0" fontId="72" fillId="0" borderId="66" xfId="106" applyFont="1" applyFill="1" applyBorder="1" applyAlignment="1">
      <alignment horizontal="center" vertical="center" wrapText="1"/>
    </xf>
    <xf numFmtId="0" fontId="73" fillId="0" borderId="66" xfId="106" applyFont="1" applyFill="1" applyBorder="1" applyAlignment="1">
      <alignment vertical="center"/>
    </xf>
    <xf numFmtId="0" fontId="73" fillId="0" borderId="5" xfId="106" applyFont="1" applyFill="1" applyBorder="1" applyAlignment="1">
      <alignment vertical="center"/>
    </xf>
    <xf numFmtId="4" fontId="73" fillId="0" borderId="6" xfId="106" applyNumberFormat="1" applyFont="1" applyFill="1" applyBorder="1" applyAlignment="1">
      <alignment vertical="center"/>
    </xf>
    <xf numFmtId="0" fontId="77" fillId="0" borderId="66" xfId="99" applyFont="1" applyBorder="1" applyAlignment="1">
      <alignment horizontal="left" vertical="center" wrapText="1"/>
    </xf>
    <xf numFmtId="4" fontId="73" fillId="0" borderId="88" xfId="99" applyNumberFormat="1" applyFont="1" applyFill="1" applyBorder="1" applyAlignment="1"/>
    <xf numFmtId="0" fontId="77" fillId="0" borderId="5" xfId="99" applyFont="1" applyBorder="1" applyAlignment="1">
      <alignment horizontal="left" vertical="center" wrapText="1"/>
    </xf>
    <xf numFmtId="4" fontId="73" fillId="0" borderId="6" xfId="99" applyNumberFormat="1" applyFont="1" applyFill="1" applyBorder="1" applyAlignment="1"/>
    <xf numFmtId="4" fontId="73" fillId="0" borderId="6" xfId="99" applyNumberFormat="1" applyFont="1" applyBorder="1" applyAlignment="1"/>
    <xf numFmtId="0" fontId="0" fillId="0" borderId="51" xfId="99" applyFont="1" applyBorder="1"/>
    <xf numFmtId="0" fontId="73" fillId="0" borderId="66" xfId="99" applyFont="1" applyFill="1" applyBorder="1" applyAlignment="1">
      <alignment horizontal="left" vertical="center" wrapText="1"/>
    </xf>
    <xf numFmtId="183" fontId="21" fillId="50" borderId="0" xfId="99" applyNumberFormat="1" applyFont="1" applyFill="1" applyBorder="1" applyAlignment="1">
      <alignment horizontal="center" vertical="center" wrapText="1"/>
    </xf>
    <xf numFmtId="0" fontId="73" fillId="0" borderId="66" xfId="106" applyFont="1" applyFill="1" applyBorder="1" applyAlignment="1">
      <alignment horizontal="left" vertical="center"/>
    </xf>
    <xf numFmtId="4" fontId="73" fillId="0" borderId="88" xfId="108" applyNumberFormat="1" applyFont="1" applyFill="1" applyBorder="1" applyAlignment="1">
      <alignment vertical="center"/>
    </xf>
    <xf numFmtId="0" fontId="72" fillId="0" borderId="5" xfId="106" applyFont="1" applyFill="1" applyBorder="1" applyAlignment="1">
      <alignment horizontal="center" vertical="center" wrapText="1"/>
    </xf>
    <xf numFmtId="0" fontId="79" fillId="0" borderId="5" xfId="99" applyFont="1" applyFill="1" applyBorder="1" applyAlignment="1">
      <alignment horizontal="left" vertical="center" wrapText="1"/>
    </xf>
    <xf numFmtId="4" fontId="79" fillId="0" borderId="6" xfId="99" applyNumberFormat="1" applyFont="1" applyFill="1" applyBorder="1" applyAlignment="1">
      <alignment vertical="center"/>
    </xf>
    <xf numFmtId="0" fontId="79" fillId="0" borderId="5" xfId="99" applyFont="1" applyFill="1" applyBorder="1" applyAlignment="1">
      <alignment horizontal="left" vertical="center"/>
    </xf>
    <xf numFmtId="165" fontId="73" fillId="0" borderId="66" xfId="109" applyFont="1" applyFill="1" applyBorder="1" applyAlignment="1">
      <alignment horizontal="left" vertical="center" wrapText="1"/>
    </xf>
    <xf numFmtId="4" fontId="73" fillId="0" borderId="6" xfId="106" applyNumberFormat="1" applyFont="1" applyFill="1" applyBorder="1" applyAlignment="1">
      <alignment vertical="center" wrapText="1"/>
    </xf>
    <xf numFmtId="183" fontId="21" fillId="39" borderId="103" xfId="99" applyNumberFormat="1" applyFont="1" applyFill="1" applyBorder="1" applyAlignment="1">
      <alignment horizontal="center" vertical="center" wrapText="1"/>
    </xf>
    <xf numFmtId="183" fontId="11" fillId="0" borderId="0" xfId="99" applyNumberFormat="1" applyFont="1" applyFill="1" applyBorder="1" applyAlignment="1">
      <alignment horizontal="center" vertical="center" wrapText="1"/>
    </xf>
    <xf numFmtId="0" fontId="74" fillId="47" borderId="5" xfId="99" applyFont="1" applyFill="1" applyBorder="1" applyAlignment="1">
      <alignment horizontal="center"/>
    </xf>
    <xf numFmtId="4" fontId="74" fillId="47" borderId="5" xfId="99" applyNumberFormat="1" applyFont="1" applyFill="1" applyBorder="1" applyAlignment="1"/>
    <xf numFmtId="183" fontId="11" fillId="0" borderId="0" xfId="99" applyNumberFormat="1" applyFont="1" applyFill="1" applyBorder="1" applyAlignment="1">
      <alignment horizontal="center" vertical="center"/>
    </xf>
    <xf numFmtId="0" fontId="0" fillId="0" borderId="0" xfId="99" applyFont="1" applyFill="1" applyBorder="1"/>
    <xf numFmtId="0" fontId="74" fillId="0" borderId="5" xfId="99" applyFont="1" applyBorder="1" applyAlignment="1">
      <alignment horizontal="center"/>
    </xf>
    <xf numFmtId="183" fontId="74" fillId="0" borderId="5" xfId="99" applyNumberFormat="1" applyFont="1" applyBorder="1"/>
    <xf numFmtId="9" fontId="74" fillId="0" borderId="5" xfId="99" applyNumberFormat="1" applyFont="1" applyFill="1" applyBorder="1" applyAlignment="1">
      <alignment horizontal="center" vertical="center"/>
    </xf>
    <xf numFmtId="0" fontId="74" fillId="47" borderId="0" xfId="99" applyFont="1" applyFill="1" applyBorder="1" applyAlignment="1">
      <alignment horizontal="center"/>
    </xf>
    <xf numFmtId="183" fontId="74" fillId="47" borderId="0" xfId="99" applyNumberFormat="1" applyFont="1" applyFill="1" applyBorder="1"/>
    <xf numFmtId="9" fontId="74" fillId="47" borderId="0" xfId="99" applyNumberFormat="1" applyFont="1" applyFill="1" applyBorder="1" applyAlignment="1">
      <alignment horizontal="center" vertical="center"/>
    </xf>
    <xf numFmtId="0" fontId="21" fillId="0" borderId="0" xfId="99" applyFont="1" applyFill="1" applyBorder="1" applyAlignment="1">
      <alignment vertical="center"/>
    </xf>
    <xf numFmtId="0" fontId="21" fillId="0" borderId="0" xfId="99" applyFont="1" applyFill="1" applyBorder="1" applyAlignment="1">
      <alignment horizontal="center" vertical="center" wrapText="1"/>
    </xf>
    <xf numFmtId="0" fontId="72" fillId="0" borderId="0" xfId="99" applyFont="1"/>
    <xf numFmtId="0" fontId="73" fillId="0" borderId="0" xfId="99" applyFont="1"/>
    <xf numFmtId="183" fontId="73" fillId="0" borderId="0" xfId="99" applyNumberFormat="1" applyFont="1" applyFill="1" applyBorder="1" applyAlignment="1">
      <alignment horizontal="center" vertical="center"/>
    </xf>
    <xf numFmtId="0" fontId="73" fillId="0" borderId="66" xfId="99" applyFont="1" applyBorder="1"/>
    <xf numFmtId="4" fontId="73" fillId="0" borderId="66" xfId="99" applyNumberFormat="1" applyFont="1" applyBorder="1"/>
    <xf numFmtId="0" fontId="73" fillId="0" borderId="5" xfId="99" applyFont="1" applyBorder="1"/>
    <xf numFmtId="178" fontId="72" fillId="36" borderId="5" xfId="106" applyNumberFormat="1" applyFont="1" applyFill="1" applyBorder="1" applyAlignment="1">
      <alignment horizontal="right" vertical="center"/>
    </xf>
    <xf numFmtId="4" fontId="72" fillId="36" borderId="5" xfId="106" applyNumberFormat="1" applyFont="1" applyFill="1" applyBorder="1" applyAlignment="1">
      <alignment vertical="center"/>
    </xf>
    <xf numFmtId="4" fontId="73" fillId="0" borderId="5" xfId="99" applyNumberFormat="1" applyFont="1" applyFill="1" applyBorder="1"/>
    <xf numFmtId="4" fontId="73" fillId="0" borderId="5" xfId="99" applyNumberFormat="1" applyFont="1" applyBorder="1"/>
    <xf numFmtId="4" fontId="73" fillId="0" borderId="69" xfId="99" applyNumberFormat="1" applyFont="1" applyFill="1" applyBorder="1"/>
    <xf numFmtId="4" fontId="72" fillId="36" borderId="69" xfId="106" applyNumberFormat="1" applyFont="1" applyFill="1" applyBorder="1" applyAlignment="1">
      <alignment vertical="center"/>
    </xf>
    <xf numFmtId="0" fontId="73" fillId="0" borderId="64" xfId="99" applyFont="1" applyFill="1" applyBorder="1"/>
    <xf numFmtId="0" fontId="19" fillId="0" borderId="111" xfId="99" applyFont="1" applyBorder="1" applyAlignment="1">
      <alignment horizontal="center" vertical="center"/>
    </xf>
    <xf numFmtId="4" fontId="73" fillId="0" borderId="111" xfId="99" applyNumberFormat="1" applyFont="1" applyFill="1" applyBorder="1"/>
    <xf numFmtId="178" fontId="72" fillId="36" borderId="111" xfId="106" applyNumberFormat="1" applyFont="1" applyFill="1" applyBorder="1" applyAlignment="1">
      <alignment horizontal="right" vertical="center"/>
    </xf>
    <xf numFmtId="4" fontId="72" fillId="36" borderId="111" xfId="106" applyNumberFormat="1" applyFont="1" applyFill="1" applyBorder="1" applyAlignment="1">
      <alignment vertical="center"/>
    </xf>
    <xf numFmtId="0" fontId="73" fillId="0" borderId="111" xfId="99" applyFont="1" applyFill="1" applyBorder="1"/>
    <xf numFmtId="0" fontId="73" fillId="0" borderId="66" xfId="99" applyFont="1" applyBorder="1" applyAlignment="1">
      <alignment horizontal="left" vertical="center"/>
    </xf>
    <xf numFmtId="2" fontId="73" fillId="2" borderId="66" xfId="99" applyNumberFormat="1" applyFont="1" applyFill="1" applyBorder="1" applyAlignment="1">
      <alignment vertical="center"/>
    </xf>
    <xf numFmtId="0" fontId="73" fillId="0" borderId="44" xfId="99" applyFont="1" applyBorder="1"/>
    <xf numFmtId="0" fontId="73" fillId="0" borderId="44" xfId="99" applyFont="1" applyBorder="1" applyAlignment="1">
      <alignment horizontal="left" vertical="center"/>
    </xf>
    <xf numFmtId="2" fontId="73" fillId="2" borderId="44" xfId="99" applyNumberFormat="1" applyFont="1" applyFill="1" applyBorder="1" applyAlignment="1">
      <alignment vertical="center"/>
    </xf>
    <xf numFmtId="2" fontId="73" fillId="2" borderId="5" xfId="99" applyNumberFormat="1" applyFont="1" applyFill="1" applyBorder="1" applyAlignment="1">
      <alignment horizontal="center" vertical="center"/>
    </xf>
    <xf numFmtId="2" fontId="73" fillId="0" borderId="5" xfId="99" applyNumberFormat="1" applyFont="1" applyFill="1" applyBorder="1" applyAlignment="1">
      <alignment vertical="center"/>
    </xf>
    <xf numFmtId="2" fontId="73" fillId="50" borderId="5" xfId="99" applyNumberFormat="1" applyFont="1" applyFill="1" applyBorder="1" applyAlignment="1">
      <alignment horizontal="center" vertical="center"/>
    </xf>
    <xf numFmtId="0" fontId="73" fillId="2" borderId="5" xfId="99" applyFont="1" applyFill="1" applyBorder="1" applyAlignment="1">
      <alignment horizontal="left" vertical="center"/>
    </xf>
    <xf numFmtId="2" fontId="73" fillId="2" borderId="5" xfId="99" applyNumberFormat="1" applyFont="1" applyFill="1" applyBorder="1" applyAlignment="1">
      <alignment vertical="center"/>
    </xf>
    <xf numFmtId="2" fontId="73" fillId="2" borderId="69" xfId="99" applyNumberFormat="1" applyFont="1" applyFill="1" applyBorder="1" applyAlignment="1">
      <alignment horizontal="center" vertical="center"/>
    </xf>
    <xf numFmtId="4" fontId="73" fillId="0" borderId="66" xfId="99" applyNumberFormat="1" applyFont="1" applyFill="1" applyBorder="1"/>
    <xf numFmtId="0" fontId="73" fillId="0" borderId="67" xfId="99" applyFont="1" applyFill="1" applyBorder="1" applyAlignment="1">
      <alignment horizontal="center"/>
    </xf>
    <xf numFmtId="4" fontId="11" fillId="0" borderId="0" xfId="99" applyNumberFormat="1" applyFont="1" applyFill="1" applyBorder="1"/>
    <xf numFmtId="4" fontId="0" fillId="0" borderId="114" xfId="99" applyNumberFormat="1" applyFont="1" applyFill="1" applyBorder="1"/>
    <xf numFmtId="4" fontId="0" fillId="0" borderId="115" xfId="99" applyNumberFormat="1" applyFont="1" applyFill="1" applyBorder="1"/>
    <xf numFmtId="0" fontId="74" fillId="0" borderId="5" xfId="99" applyFont="1" applyBorder="1"/>
    <xf numFmtId="4" fontId="74" fillId="0" borderId="5" xfId="99" applyNumberFormat="1" applyFont="1" applyBorder="1"/>
    <xf numFmtId="0" fontId="80" fillId="0" borderId="0" xfId="99" applyFont="1" applyBorder="1"/>
    <xf numFmtId="0" fontId="21" fillId="0" borderId="0" xfId="99" applyFont="1" applyFill="1" applyBorder="1"/>
    <xf numFmtId="172" fontId="19" fillId="0" borderId="0" xfId="0" applyFont="1" applyAlignment="1">
      <alignment horizontal="right"/>
    </xf>
    <xf numFmtId="172" fontId="24" fillId="3" borderId="0" xfId="0" applyFont="1" applyFill="1" applyAlignment="1">
      <alignment horizontal="right"/>
    </xf>
    <xf numFmtId="0" fontId="23" fillId="2" borderId="39" xfId="102" applyFont="1" applyFill="1" applyBorder="1" applyAlignment="1">
      <alignment horizontal="center" vertical="center" wrapText="1"/>
    </xf>
    <xf numFmtId="171" fontId="20" fillId="0" borderId="0" xfId="38" applyNumberFormat="1" applyFont="1" applyAlignment="1">
      <alignment vertical="center"/>
    </xf>
    <xf numFmtId="171" fontId="24" fillId="3" borderId="7" xfId="38" applyNumberFormat="1" applyFont="1" applyFill="1" applyBorder="1" applyAlignment="1">
      <alignment horizontal="center" vertical="center"/>
    </xf>
    <xf numFmtId="171" fontId="24" fillId="27" borderId="7" xfId="38" applyNumberFormat="1" applyFont="1" applyFill="1" applyBorder="1" applyAlignment="1">
      <alignment horizontal="center" vertical="center" wrapText="1"/>
    </xf>
    <xf numFmtId="171" fontId="25" fillId="3" borderId="3" xfId="38" applyNumberFormat="1" applyFont="1" applyFill="1" applyBorder="1" applyAlignment="1">
      <alignment horizontal="center" vertical="center" wrapText="1"/>
    </xf>
    <xf numFmtId="171" fontId="25" fillId="27" borderId="1" xfId="38" applyNumberFormat="1" applyFont="1" applyFill="1" applyBorder="1" applyAlignment="1">
      <alignment horizontal="center" vertical="center" wrapText="1"/>
    </xf>
    <xf numFmtId="171" fontId="24" fillId="3" borderId="1" xfId="38" applyNumberFormat="1" applyFont="1" applyFill="1" applyBorder="1" applyAlignment="1">
      <alignment horizontal="left" vertical="center" wrapText="1"/>
    </xf>
    <xf numFmtId="3" fontId="20" fillId="4" borderId="39" xfId="33" applyNumberFormat="1" applyFont="1" applyFill="1" applyBorder="1" applyAlignment="1">
      <alignment horizontal="left" vertical="center" wrapText="1" indent="1"/>
    </xf>
    <xf numFmtId="172" fontId="19" fillId="2" borderId="2" xfId="88" applyFont="1" applyFill="1" applyBorder="1" applyAlignment="1">
      <alignment vertical="center" wrapText="1"/>
    </xf>
    <xf numFmtId="3" fontId="19" fillId="2" borderId="2" xfId="33" applyNumberFormat="1" applyFont="1" applyFill="1" applyBorder="1" applyAlignment="1">
      <alignment vertical="center" wrapText="1"/>
    </xf>
    <xf numFmtId="171" fontId="19" fillId="2" borderId="2" xfId="38" applyNumberFormat="1" applyFont="1" applyFill="1" applyBorder="1" applyAlignment="1">
      <alignment vertical="center" wrapText="1"/>
    </xf>
    <xf numFmtId="171" fontId="19" fillId="2" borderId="99" xfId="38" applyNumberFormat="1" applyFont="1" applyFill="1" applyBorder="1" applyAlignment="1">
      <alignment horizontal="center" vertical="center"/>
    </xf>
    <xf numFmtId="17" fontId="23" fillId="2" borderId="117" xfId="92" applyNumberFormat="1" applyFont="1" applyFill="1" applyBorder="1" applyAlignment="1">
      <alignment horizontal="center" vertical="center"/>
    </xf>
    <xf numFmtId="17" fontId="23" fillId="2" borderId="118" xfId="92" applyNumberFormat="1" applyFont="1" applyFill="1" applyBorder="1" applyAlignment="1">
      <alignment horizontal="center" vertical="center"/>
    </xf>
    <xf numFmtId="17" fontId="23" fillId="2" borderId="116" xfId="92" applyNumberFormat="1" applyFont="1" applyFill="1" applyBorder="1" applyAlignment="1">
      <alignment horizontal="center" vertical="center"/>
    </xf>
    <xf numFmtId="172" fontId="19" fillId="2" borderId="104" xfId="88" applyFont="1" applyFill="1" applyBorder="1" applyAlignment="1">
      <alignment vertical="center" wrapText="1"/>
    </xf>
    <xf numFmtId="3" fontId="19" fillId="2" borderId="29" xfId="33" applyNumberFormat="1" applyFont="1" applyFill="1" applyBorder="1" applyAlignment="1">
      <alignment vertical="center" wrapText="1"/>
    </xf>
    <xf numFmtId="3" fontId="19" fillId="2" borderId="33" xfId="88" applyNumberFormat="1" applyFont="1" applyFill="1" applyBorder="1" applyAlignment="1">
      <alignment vertical="center" wrapText="1"/>
    </xf>
    <xf numFmtId="3" fontId="19" fillId="2" borderId="105" xfId="88" applyNumberFormat="1" applyFont="1" applyFill="1" applyBorder="1" applyAlignment="1">
      <alignment vertical="center" wrapText="1"/>
    </xf>
    <xf numFmtId="171" fontId="19" fillId="2" borderId="119" xfId="38" applyNumberFormat="1" applyFont="1" applyFill="1" applyBorder="1" applyAlignment="1">
      <alignment vertical="center" wrapText="1"/>
    </xf>
    <xf numFmtId="9" fontId="19" fillId="2" borderId="119" xfId="88" applyNumberFormat="1" applyFont="1" applyFill="1" applyBorder="1" applyAlignment="1">
      <alignment vertical="center" wrapText="1"/>
    </xf>
    <xf numFmtId="9" fontId="19" fillId="2" borderId="119" xfId="111" applyFont="1" applyFill="1" applyBorder="1" applyAlignment="1">
      <alignment vertical="center"/>
    </xf>
    <xf numFmtId="171" fontId="19" fillId="2" borderId="119" xfId="38" applyNumberFormat="1" applyFont="1" applyFill="1" applyBorder="1" applyAlignment="1">
      <alignment vertical="center"/>
    </xf>
    <xf numFmtId="171" fontId="19" fillId="2" borderId="116" xfId="38" applyNumberFormat="1" applyFont="1" applyFill="1" applyBorder="1" applyAlignment="1">
      <alignment vertical="center"/>
    </xf>
    <xf numFmtId="172" fontId="19" fillId="2" borderId="32" xfId="88" applyFont="1" applyFill="1" applyBorder="1" applyAlignment="1">
      <alignment vertical="center" wrapText="1"/>
    </xf>
    <xf numFmtId="172" fontId="19" fillId="2" borderId="31" xfId="88" applyFont="1" applyFill="1" applyBorder="1" applyAlignment="1">
      <alignment vertical="center" wrapText="1"/>
    </xf>
    <xf numFmtId="3" fontId="24" fillId="3" borderId="7" xfId="33" applyNumberFormat="1" applyFont="1" applyFill="1" applyBorder="1" applyAlignment="1">
      <alignment horizontal="center" vertical="center"/>
    </xf>
    <xf numFmtId="172" fontId="19" fillId="4" borderId="39" xfId="35" applyFont="1" applyFill="1" applyBorder="1" applyAlignment="1">
      <alignment horizontal="center" vertical="center" wrapText="1"/>
    </xf>
    <xf numFmtId="172" fontId="19" fillId="0" borderId="0" xfId="33" applyFont="1" applyAlignment="1">
      <alignment horizontal="right" vertical="center"/>
    </xf>
    <xf numFmtId="172" fontId="23" fillId="0" borderId="0" xfId="29" applyFont="1" applyAlignment="1">
      <alignment horizontal="right" vertical="center"/>
    </xf>
    <xf numFmtId="172" fontId="24" fillId="28" borderId="39" xfId="35" applyFont="1" applyFill="1" applyBorder="1" applyAlignment="1">
      <alignment horizontal="left" vertical="center" wrapText="1"/>
    </xf>
    <xf numFmtId="171" fontId="24" fillId="28" borderId="39" xfId="38" applyNumberFormat="1" applyFont="1" applyFill="1" applyBorder="1" applyAlignment="1">
      <alignment horizontal="center" vertical="center"/>
    </xf>
    <xf numFmtId="171" fontId="26" fillId="4" borderId="39" xfId="38" applyNumberFormat="1" applyFont="1" applyFill="1" applyBorder="1" applyAlignment="1">
      <alignment horizontal="center" vertical="center"/>
    </xf>
    <xf numFmtId="171" fontId="19" fillId="2" borderId="39" xfId="38" applyNumberFormat="1" applyFont="1" applyFill="1" applyBorder="1" applyAlignment="1">
      <alignment horizontal="center" vertical="center" wrapText="1"/>
    </xf>
    <xf numFmtId="171" fontId="20" fillId="4" borderId="39" xfId="38" applyNumberFormat="1" applyFont="1" applyFill="1" applyBorder="1" applyAlignment="1">
      <alignment horizontal="center" vertical="center" wrapText="1"/>
    </xf>
    <xf numFmtId="171" fontId="23" fillId="2" borderId="22" xfId="38" applyNumberFormat="1" applyFont="1" applyFill="1" applyBorder="1" applyAlignment="1">
      <alignment horizontal="center" vertical="center"/>
    </xf>
    <xf numFmtId="14" fontId="70" fillId="28" borderId="39" xfId="35" applyNumberFormat="1" applyFont="1" applyFill="1" applyBorder="1" applyAlignment="1">
      <alignment horizontal="center" vertical="center"/>
    </xf>
    <xf numFmtId="172" fontId="70" fillId="4" borderId="39" xfId="35" applyFont="1" applyFill="1" applyBorder="1" applyAlignment="1">
      <alignment horizontal="center" vertical="center"/>
    </xf>
    <xf numFmtId="172" fontId="70" fillId="4" borderId="39" xfId="35" applyFont="1" applyFill="1" applyBorder="1" applyAlignment="1">
      <alignment horizontal="center" vertical="center" wrapText="1"/>
    </xf>
    <xf numFmtId="172" fontId="22" fillId="0" borderId="0" xfId="0" applyFont="1" applyAlignment="1">
      <alignment horizontal="right"/>
    </xf>
    <xf numFmtId="172" fontId="24" fillId="3" borderId="41" xfId="94" applyFont="1" applyFill="1" applyBorder="1" applyAlignment="1">
      <alignment horizontal="right" vertical="center" wrapText="1"/>
    </xf>
    <xf numFmtId="172" fontId="24" fillId="29" borderId="39" xfId="35" applyFont="1" applyFill="1" applyBorder="1" applyAlignment="1">
      <alignment horizontal="center" vertical="center" wrapText="1"/>
    </xf>
    <xf numFmtId="3" fontId="20" fillId="4" borderId="39" xfId="33" applyNumberFormat="1" applyFont="1" applyFill="1" applyBorder="1" applyAlignment="1">
      <alignment horizontal="left" vertical="center" wrapText="1"/>
    </xf>
    <xf numFmtId="0" fontId="23" fillId="2" borderId="39" xfId="102" applyFont="1" applyFill="1" applyBorder="1" applyAlignment="1">
      <alignment horizontal="left" vertical="center" wrapText="1"/>
    </xf>
    <xf numFmtId="3" fontId="19" fillId="2" borderId="22" xfId="33" applyNumberFormat="1" applyFont="1" applyFill="1" applyBorder="1" applyAlignment="1">
      <alignment horizontal="left" vertical="center" wrapText="1"/>
    </xf>
    <xf numFmtId="172" fontId="24" fillId="29" borderId="39" xfId="35" applyFont="1" applyFill="1" applyBorder="1" applyAlignment="1">
      <alignment horizontal="left" vertical="center" wrapText="1"/>
    </xf>
    <xf numFmtId="171" fontId="19" fillId="43" borderId="39" xfId="38" applyNumberFormat="1" applyFont="1" applyFill="1" applyBorder="1" applyAlignment="1">
      <alignment horizontal="center" vertical="center" wrapText="1"/>
    </xf>
    <xf numFmtId="171" fontId="19" fillId="30" borderId="39" xfId="38" applyNumberFormat="1" applyFont="1" applyFill="1" applyBorder="1" applyAlignment="1">
      <alignment horizontal="center" vertical="center" wrapText="1"/>
    </xf>
    <xf numFmtId="171" fontId="19" fillId="31" borderId="39" xfId="38" applyNumberFormat="1" applyFont="1" applyFill="1" applyBorder="1" applyAlignment="1">
      <alignment horizontal="center" vertical="center" wrapText="1"/>
    </xf>
    <xf numFmtId="171" fontId="23" fillId="31" borderId="22" xfId="38" applyNumberFormat="1" applyFont="1" applyFill="1" applyBorder="1" applyAlignment="1">
      <alignment horizontal="center" vertical="center"/>
    </xf>
    <xf numFmtId="171" fontId="23" fillId="43" borderId="22" xfId="38" applyNumberFormat="1" applyFont="1" applyFill="1" applyBorder="1" applyAlignment="1">
      <alignment horizontal="center" vertical="center"/>
    </xf>
    <xf numFmtId="172" fontId="19" fillId="2" borderId="22" xfId="35" applyFont="1" applyFill="1" applyBorder="1" applyAlignment="1">
      <alignment horizontal="center" vertical="center"/>
    </xf>
    <xf numFmtId="171" fontId="19" fillId="31" borderId="22" xfId="38" applyNumberFormat="1" applyFont="1" applyFill="1" applyBorder="1" applyAlignment="1">
      <alignment horizontal="center" vertical="center"/>
    </xf>
    <xf numFmtId="172" fontId="19" fillId="2" borderId="0" xfId="0" applyFont="1" applyFill="1" applyBorder="1"/>
    <xf numFmtId="172" fontId="19" fillId="2" borderId="0" xfId="0" applyFont="1" applyFill="1" applyAlignment="1">
      <alignment vertical="center"/>
    </xf>
    <xf numFmtId="172" fontId="19" fillId="2" borderId="0" xfId="0" applyFont="1" applyFill="1" applyAlignment="1">
      <alignment horizontal="center"/>
    </xf>
    <xf numFmtId="172" fontId="19" fillId="0" borderId="0" xfId="0" applyFont="1" applyAlignment="1">
      <alignment horizontal="left"/>
    </xf>
    <xf numFmtId="41" fontId="19" fillId="0" borderId="0" xfId="96" applyFont="1"/>
    <xf numFmtId="41" fontId="19" fillId="2" borderId="39" xfId="96" applyFont="1" applyFill="1" applyBorder="1" applyAlignment="1">
      <alignment vertical="center"/>
    </xf>
    <xf numFmtId="172" fontId="26" fillId="0" borderId="0" xfId="0" applyFont="1" applyAlignment="1">
      <alignment horizontal="left"/>
    </xf>
    <xf numFmtId="41" fontId="26" fillId="0" borderId="0" xfId="96" applyFont="1" applyAlignment="1"/>
    <xf numFmtId="41" fontId="26" fillId="0" borderId="0" xfId="96" applyFont="1" applyAlignment="1">
      <alignment horizontal="center"/>
    </xf>
    <xf numFmtId="17" fontId="23" fillId="2" borderId="101" xfId="92" applyNumberFormat="1" applyFont="1" applyFill="1" applyBorder="1" applyAlignment="1">
      <alignment horizontal="center" vertical="center"/>
    </xf>
    <xf numFmtId="172" fontId="20" fillId="0" borderId="25" xfId="0" applyFont="1" applyBorder="1" applyAlignment="1">
      <alignment horizontal="center" vertical="center" wrapText="1"/>
    </xf>
    <xf numFmtId="172" fontId="53" fillId="0" borderId="100" xfId="0" applyFont="1" applyBorder="1" applyAlignment="1">
      <alignment horizontal="center" vertical="center" wrapText="1"/>
    </xf>
    <xf numFmtId="172" fontId="19" fillId="0" borderId="21" xfId="0" applyFont="1" applyBorder="1" applyAlignment="1">
      <alignment vertical="center" wrapText="1"/>
    </xf>
    <xf numFmtId="172" fontId="66" fillId="40" borderId="22" xfId="0" applyFont="1" applyFill="1" applyBorder="1" applyAlignment="1">
      <alignment horizontal="center" vertical="center" wrapText="1"/>
    </xf>
    <xf numFmtId="172" fontId="20" fillId="0" borderId="131" xfId="0" applyFont="1" applyBorder="1" applyAlignment="1">
      <alignment vertical="center" wrapText="1"/>
    </xf>
    <xf numFmtId="172" fontId="19" fillId="0" borderId="1" xfId="0" applyFont="1" applyBorder="1" applyAlignment="1">
      <alignment horizontal="justify" vertical="center" wrapText="1"/>
    </xf>
    <xf numFmtId="3" fontId="19" fillId="0" borderId="25" xfId="0" applyNumberFormat="1" applyFont="1" applyBorder="1" applyAlignment="1">
      <alignment horizontal="center" vertical="center" wrapText="1"/>
    </xf>
    <xf numFmtId="3" fontId="19" fillId="0" borderId="21" xfId="0" applyNumberFormat="1" applyFont="1" applyBorder="1" applyAlignment="1">
      <alignment horizontal="center" vertical="center" wrapText="1"/>
    </xf>
    <xf numFmtId="10" fontId="19" fillId="0" borderId="0" xfId="111" applyNumberFormat="1" applyFont="1" applyFill="1" applyAlignment="1">
      <alignment horizontal="left" vertical="center"/>
    </xf>
    <xf numFmtId="172" fontId="81" fillId="51" borderId="138" xfId="0" applyFont="1" applyFill="1" applyBorder="1" applyAlignment="1">
      <alignment horizontal="center" vertical="center" wrapText="1"/>
    </xf>
    <xf numFmtId="172" fontId="81" fillId="51" borderId="0" xfId="0" applyFont="1" applyFill="1" applyAlignment="1">
      <alignment vertical="center"/>
    </xf>
    <xf numFmtId="172" fontId="19" fillId="0" borderId="0" xfId="0" applyNumberFormat="1" applyFont="1" applyFill="1" applyBorder="1" applyAlignment="1">
      <alignment horizontal="right"/>
    </xf>
    <xf numFmtId="9" fontId="19" fillId="0" borderId="0" xfId="111" applyFont="1" applyFill="1" applyBorder="1" applyAlignment="1">
      <alignment horizontal="center"/>
    </xf>
    <xf numFmtId="39" fontId="19" fillId="0" borderId="0" xfId="38" applyNumberFormat="1" applyFont="1" applyFill="1" applyBorder="1" applyAlignment="1">
      <alignment horizontal="center"/>
    </xf>
    <xf numFmtId="171" fontId="26" fillId="0" borderId="39" xfId="38" applyNumberFormat="1" applyFont="1" applyFill="1" applyBorder="1" applyAlignment="1">
      <alignment horizontal="center" vertical="center"/>
    </xf>
    <xf numFmtId="171" fontId="26" fillId="4" borderId="22" xfId="38" applyNumberFormat="1" applyFont="1" applyFill="1" applyBorder="1" applyAlignment="1">
      <alignment horizontal="center" vertical="center"/>
    </xf>
    <xf numFmtId="49" fontId="89" fillId="40" borderId="103" xfId="0" applyNumberFormat="1" applyFont="1" applyFill="1" applyBorder="1" applyAlignment="1">
      <alignment horizontal="center" vertical="center" wrapText="1"/>
    </xf>
    <xf numFmtId="49" fontId="89" fillId="40" borderId="102" xfId="0" applyNumberFormat="1" applyFont="1" applyFill="1" applyBorder="1" applyAlignment="1">
      <alignment horizontal="center" vertical="center" wrapText="1"/>
    </xf>
    <xf numFmtId="172" fontId="89" fillId="40" borderId="103" xfId="0" applyFont="1" applyFill="1" applyBorder="1" applyAlignment="1">
      <alignment horizontal="center" vertical="center" wrapText="1"/>
    </xf>
    <xf numFmtId="172" fontId="89" fillId="40" borderId="102" xfId="0" applyFont="1" applyFill="1" applyBorder="1" applyAlignment="1">
      <alignment horizontal="center" vertical="center" wrapText="1"/>
    </xf>
    <xf numFmtId="172" fontId="91" fillId="0" borderId="108" xfId="0" applyFont="1" applyBorder="1" applyAlignment="1">
      <alignment vertical="center" wrapText="1"/>
    </xf>
    <xf numFmtId="172" fontId="89" fillId="40" borderId="142" xfId="0" applyFont="1" applyFill="1" applyBorder="1" applyAlignment="1">
      <alignment horizontal="center" vertical="center" wrapText="1"/>
    </xf>
    <xf numFmtId="172" fontId="90" fillId="0" borderId="103" xfId="0" applyFont="1" applyBorder="1" applyAlignment="1">
      <alignment vertical="center" wrapText="1"/>
    </xf>
    <xf numFmtId="49" fontId="91" fillId="55" borderId="102" xfId="0" applyNumberFormat="1" applyFont="1" applyFill="1" applyBorder="1" applyAlignment="1">
      <alignment horizontal="center" vertical="center" wrapText="1"/>
    </xf>
    <xf numFmtId="49" fontId="91" fillId="39" borderId="102" xfId="0" applyNumberFormat="1" applyFont="1" applyFill="1" applyBorder="1" applyAlignment="1">
      <alignment horizontal="center" vertical="center" wrapText="1"/>
    </xf>
    <xf numFmtId="49" fontId="91" fillId="0" borderId="103" xfId="0" applyNumberFormat="1" applyFont="1" applyBorder="1" applyAlignment="1">
      <alignment horizontal="center" vertical="center" wrapText="1"/>
    </xf>
    <xf numFmtId="49" fontId="91" fillId="0" borderId="102" xfId="0" applyNumberFormat="1" applyFont="1" applyBorder="1" applyAlignment="1">
      <alignment horizontal="center" vertical="center" wrapText="1"/>
    </xf>
    <xf numFmtId="172" fontId="89" fillId="40" borderId="108" xfId="0" applyFont="1" applyFill="1" applyBorder="1" applyAlignment="1">
      <alignment horizontal="center" vertical="center" wrapText="1"/>
    </xf>
    <xf numFmtId="172" fontId="91" fillId="0" borderId="142" xfId="0" applyFont="1" applyBorder="1" applyAlignment="1">
      <alignment vertical="center" wrapText="1"/>
    </xf>
    <xf numFmtId="0" fontId="84" fillId="0" borderId="0" xfId="113" applyFont="1" applyAlignment="1">
      <alignment vertical="center" wrapText="1"/>
    </xf>
    <xf numFmtId="0" fontId="88" fillId="54" borderId="103" xfId="113" applyFont="1" applyFill="1" applyBorder="1" applyAlignment="1">
      <alignment horizontal="justify" vertical="center" wrapText="1"/>
    </xf>
    <xf numFmtId="171" fontId="87" fillId="54" borderId="142" xfId="114" applyNumberFormat="1" applyFont="1" applyFill="1" applyBorder="1" applyAlignment="1">
      <alignment vertical="center" wrapText="1"/>
    </xf>
    <xf numFmtId="171" fontId="86" fillId="0" borderId="142" xfId="114" applyNumberFormat="1" applyFont="1" applyBorder="1" applyAlignment="1">
      <alignment vertical="center" wrapText="1"/>
    </xf>
    <xf numFmtId="171" fontId="88" fillId="54" borderId="142" xfId="113" applyNumberFormat="1" applyFont="1" applyFill="1" applyBorder="1" applyAlignment="1">
      <alignment horizontal="center" vertical="center" wrapText="1"/>
    </xf>
    <xf numFmtId="0" fontId="85" fillId="0" borderId="103" xfId="113" applyFont="1" applyBorder="1" applyAlignment="1">
      <alignment horizontal="justify" vertical="center" wrapText="1"/>
    </xf>
    <xf numFmtId="0" fontId="88" fillId="53" borderId="103" xfId="113" applyFont="1" applyFill="1" applyBorder="1" applyAlignment="1">
      <alignment horizontal="justify" vertical="center" wrapText="1"/>
    </xf>
    <xf numFmtId="0" fontId="23" fillId="2" borderId="39" xfId="102" applyFont="1" applyFill="1" applyBorder="1" applyAlignment="1">
      <alignment vertical="center" wrapText="1"/>
    </xf>
    <xf numFmtId="0" fontId="23" fillId="2" borderId="39" xfId="102" applyFont="1" applyFill="1" applyBorder="1" applyAlignment="1">
      <alignment horizontal="right" vertical="center" wrapText="1"/>
    </xf>
    <xf numFmtId="49" fontId="91" fillId="57" borderId="102" xfId="0" applyNumberFormat="1" applyFont="1" applyFill="1" applyBorder="1" applyAlignment="1">
      <alignment horizontal="center" vertical="center" wrapText="1"/>
    </xf>
    <xf numFmtId="49" fontId="91" fillId="56" borderId="102" xfId="0" applyNumberFormat="1" applyFont="1" applyFill="1" applyBorder="1" applyAlignment="1">
      <alignment horizontal="center" vertical="center" wrapText="1"/>
    </xf>
    <xf numFmtId="186" fontId="81" fillId="51" borderId="0" xfId="0" applyNumberFormat="1" applyFont="1" applyFill="1" applyAlignment="1">
      <alignment vertical="center"/>
    </xf>
    <xf numFmtId="171" fontId="19" fillId="0" borderId="39" xfId="38" applyNumberFormat="1" applyFont="1" applyFill="1" applyBorder="1" applyAlignment="1">
      <alignment horizontal="center" vertical="center" wrapText="1"/>
    </xf>
    <xf numFmtId="172" fontId="19" fillId="0" borderId="0" xfId="0" applyFont="1" applyBorder="1" applyAlignment="1">
      <alignment vertical="center" wrapText="1"/>
    </xf>
    <xf numFmtId="172" fontId="66" fillId="40" borderId="125" xfId="0" applyFont="1" applyFill="1" applyBorder="1" applyAlignment="1">
      <alignment horizontal="center" vertical="center" wrapText="1"/>
    </xf>
    <xf numFmtId="172" fontId="66" fillId="40" borderId="0" xfId="0" applyFont="1" applyFill="1" applyBorder="1" applyAlignment="1">
      <alignment horizontal="center" vertical="center" wrapText="1"/>
    </xf>
    <xf numFmtId="172" fontId="20" fillId="0" borderId="2" xfId="0" applyFont="1" applyBorder="1" applyAlignment="1">
      <alignment horizontal="center" vertical="center" wrapText="1"/>
    </xf>
    <xf numFmtId="172" fontId="20" fillId="0" borderId="4" xfId="0" applyFont="1" applyBorder="1" applyAlignment="1">
      <alignment horizontal="center" vertical="center" wrapText="1"/>
    </xf>
    <xf numFmtId="172" fontId="66" fillId="40" borderId="100" xfId="0" applyFont="1" applyFill="1" applyBorder="1" applyAlignment="1">
      <alignment horizontal="center" vertical="center" wrapText="1"/>
    </xf>
    <xf numFmtId="172" fontId="66" fillId="40" borderId="129" xfId="0" applyFont="1" applyFill="1" applyBorder="1" applyAlignment="1">
      <alignment horizontal="center" vertical="center" wrapText="1"/>
    </xf>
    <xf numFmtId="172" fontId="66" fillId="40" borderId="133" xfId="0" applyFont="1" applyFill="1" applyBorder="1" applyAlignment="1">
      <alignment horizontal="center" vertical="center" wrapText="1"/>
    </xf>
    <xf numFmtId="172" fontId="66" fillId="40" borderId="132" xfId="0" applyFont="1" applyFill="1" applyBorder="1" applyAlignment="1">
      <alignment horizontal="center" vertical="center" wrapText="1"/>
    </xf>
    <xf numFmtId="172" fontId="66" fillId="40" borderId="2" xfId="0" applyFont="1" applyFill="1" applyBorder="1" applyAlignment="1">
      <alignment horizontal="center" vertical="center" wrapText="1"/>
    </xf>
    <xf numFmtId="3" fontId="66" fillId="40" borderId="21" xfId="0" applyNumberFormat="1" applyFont="1" applyFill="1" applyBorder="1" applyAlignment="1">
      <alignment horizontal="center" vertical="center" wrapText="1"/>
    </xf>
    <xf numFmtId="172" fontId="66" fillId="40" borderId="21" xfId="0" applyFont="1" applyFill="1" applyBorder="1" applyAlignment="1">
      <alignment horizontal="center" vertical="center" wrapText="1"/>
    </xf>
    <xf numFmtId="171" fontId="86" fillId="0" borderId="142" xfId="114" applyNumberFormat="1" applyFont="1" applyFill="1" applyBorder="1" applyAlignment="1">
      <alignment vertical="center" wrapText="1"/>
    </xf>
    <xf numFmtId="187" fontId="20" fillId="4" borderId="39" xfId="96" applyNumberFormat="1" applyFont="1" applyFill="1" applyBorder="1" applyAlignment="1">
      <alignment horizontal="right" vertical="center" wrapText="1"/>
    </xf>
    <xf numFmtId="41" fontId="19" fillId="2" borderId="0" xfId="96" applyFont="1" applyFill="1" applyBorder="1" applyAlignment="1">
      <alignment horizontal="center" vertical="center" wrapText="1"/>
    </xf>
    <xf numFmtId="188" fontId="20" fillId="4" borderId="39" xfId="38" applyNumberFormat="1" applyFont="1" applyFill="1" applyBorder="1" applyAlignment="1">
      <alignment horizontal="right" vertical="center" wrapText="1"/>
    </xf>
    <xf numFmtId="189" fontId="20" fillId="4" borderId="39" xfId="33" applyNumberFormat="1" applyFont="1" applyFill="1" applyBorder="1" applyAlignment="1">
      <alignment horizontal="right" vertical="center" wrapText="1"/>
    </xf>
    <xf numFmtId="0" fontId="24" fillId="28" borderId="39" xfId="35" applyNumberFormat="1" applyFont="1" applyFill="1" applyBorder="1" applyAlignment="1">
      <alignment horizontal="right" vertical="center" wrapText="1"/>
    </xf>
    <xf numFmtId="171" fontId="24" fillId="28" borderId="39" xfId="96" applyNumberFormat="1" applyFont="1" applyFill="1" applyBorder="1" applyAlignment="1">
      <alignment horizontal="right" vertical="center" wrapText="1"/>
    </xf>
    <xf numFmtId="41" fontId="20" fillId="2" borderId="39" xfId="96" applyNumberFormat="1" applyFont="1" applyFill="1" applyBorder="1" applyAlignment="1">
      <alignment horizontal="center" vertical="center" wrapText="1"/>
    </xf>
    <xf numFmtId="3" fontId="20" fillId="3" borderId="25" xfId="33" applyNumberFormat="1" applyFont="1" applyFill="1" applyBorder="1" applyAlignment="1">
      <alignment horizontal="right" vertical="center"/>
    </xf>
    <xf numFmtId="3" fontId="20" fillId="3" borderId="21" xfId="33" applyNumberFormat="1" applyFont="1" applyFill="1" applyBorder="1" applyAlignment="1">
      <alignment horizontal="right" vertical="center"/>
    </xf>
    <xf numFmtId="172" fontId="24" fillId="27" borderId="39" xfId="35" applyFont="1" applyFill="1" applyBorder="1" applyAlignment="1">
      <alignment horizontal="left" vertical="center" wrapText="1"/>
    </xf>
    <xf numFmtId="3" fontId="24" fillId="27" borderId="39" xfId="33" applyNumberFormat="1" applyFont="1" applyFill="1" applyBorder="1" applyAlignment="1">
      <alignment horizontal="right" vertical="center" wrapText="1"/>
    </xf>
    <xf numFmtId="190" fontId="26" fillId="4" borderId="39" xfId="111" applyNumberFormat="1" applyFont="1" applyFill="1" applyBorder="1" applyAlignment="1">
      <alignment horizontal="center" vertical="center"/>
    </xf>
    <xf numFmtId="41" fontId="24" fillId="27" borderId="39" xfId="96" applyFont="1" applyFill="1" applyBorder="1" applyAlignment="1">
      <alignment horizontal="center" vertical="center"/>
    </xf>
    <xf numFmtId="172" fontId="24" fillId="27" borderId="39" xfId="35" applyFont="1" applyFill="1" applyBorder="1" applyAlignment="1">
      <alignment horizontal="right" vertical="center" wrapText="1"/>
    </xf>
    <xf numFmtId="41" fontId="24" fillId="27" borderId="39" xfId="96" applyFont="1" applyFill="1" applyBorder="1" applyAlignment="1">
      <alignment horizontal="right" vertical="center" wrapText="1"/>
    </xf>
    <xf numFmtId="9" fontId="24" fillId="3" borderId="39" xfId="111" applyNumberFormat="1" applyFont="1" applyFill="1" applyBorder="1" applyAlignment="1">
      <alignment horizontal="center" vertical="center" wrapText="1"/>
    </xf>
    <xf numFmtId="190" fontId="24" fillId="27" borderId="39" xfId="111" applyNumberFormat="1" applyFont="1" applyFill="1" applyBorder="1" applyAlignment="1">
      <alignment horizontal="center" vertical="center" wrapText="1"/>
    </xf>
    <xf numFmtId="3" fontId="25" fillId="3" borderId="22" xfId="33" applyNumberFormat="1" applyFont="1" applyFill="1" applyBorder="1" applyAlignment="1">
      <alignment horizontal="right" vertical="center" wrapText="1"/>
    </xf>
    <xf numFmtId="3" fontId="25" fillId="3" borderId="22" xfId="33" applyNumberFormat="1" applyFont="1" applyFill="1" applyBorder="1" applyAlignment="1">
      <alignment vertical="center" wrapText="1"/>
    </xf>
    <xf numFmtId="41" fontId="25" fillId="3" borderId="22" xfId="96" applyFont="1" applyFill="1" applyBorder="1" applyAlignment="1">
      <alignment horizontal="right" vertical="center"/>
    </xf>
    <xf numFmtId="41" fontId="25" fillId="3" borderId="39" xfId="96" applyFont="1" applyFill="1" applyBorder="1" applyAlignment="1">
      <alignment vertical="center" wrapText="1"/>
    </xf>
    <xf numFmtId="43" fontId="20" fillId="0" borderId="2" xfId="38" applyFont="1" applyBorder="1" applyAlignment="1">
      <alignment horizontal="center" vertical="center" wrapText="1"/>
    </xf>
    <xf numFmtId="43" fontId="20" fillId="0" borderId="125" xfId="38" applyFont="1" applyBorder="1" applyAlignment="1">
      <alignment horizontal="center" vertical="center" wrapText="1"/>
    </xf>
    <xf numFmtId="172" fontId="53" fillId="0" borderId="148" xfId="0" applyFont="1" applyBorder="1" applyAlignment="1">
      <alignment horizontal="center" vertical="center" wrapText="1"/>
    </xf>
    <xf numFmtId="172" fontId="19" fillId="0" borderId="0" xfId="0" applyFont="1" applyBorder="1" applyAlignment="1">
      <alignment vertical="center"/>
    </xf>
    <xf numFmtId="172" fontId="19" fillId="0" borderId="149" xfId="0" applyFont="1" applyBorder="1" applyAlignment="1">
      <alignment vertical="center"/>
    </xf>
    <xf numFmtId="171" fontId="20" fillId="0" borderId="2" xfId="38" applyNumberFormat="1" applyFont="1" applyBorder="1" applyAlignment="1">
      <alignment horizontal="center" vertical="center" wrapText="1"/>
    </xf>
    <xf numFmtId="172" fontId="19" fillId="0" borderId="150" xfId="0" applyFont="1" applyBorder="1" applyAlignment="1">
      <alignment vertical="center" wrapText="1"/>
    </xf>
    <xf numFmtId="172" fontId="19" fillId="0" borderId="152" xfId="0" applyFont="1" applyBorder="1" applyAlignment="1">
      <alignment vertical="center" wrapText="1"/>
    </xf>
    <xf numFmtId="172" fontId="20" fillId="0" borderId="34" xfId="0" applyFont="1" applyBorder="1" applyAlignment="1">
      <alignment horizontal="center" vertical="center" wrapText="1"/>
    </xf>
    <xf numFmtId="171" fontId="19" fillId="0" borderId="100" xfId="38" applyNumberFormat="1" applyFont="1" applyBorder="1" applyAlignment="1">
      <alignment horizontal="center" vertical="center" wrapText="1"/>
    </xf>
    <xf numFmtId="171" fontId="19" fillId="0" borderId="129" xfId="38" applyNumberFormat="1" applyFont="1" applyBorder="1" applyAlignment="1">
      <alignment horizontal="center" vertical="center" wrapText="1"/>
    </xf>
    <xf numFmtId="9" fontId="19" fillId="0" borderId="100" xfId="111" applyFont="1" applyBorder="1" applyAlignment="1">
      <alignment horizontal="center" vertical="center" wrapText="1"/>
    </xf>
    <xf numFmtId="172" fontId="20" fillId="0" borderId="32" xfId="0" applyFont="1" applyBorder="1" applyAlignment="1">
      <alignment horizontal="center" vertical="center" wrapText="1"/>
    </xf>
    <xf numFmtId="172" fontId="19" fillId="0" borderId="162" xfId="0" applyFont="1" applyBorder="1" applyAlignment="1">
      <alignment vertical="center" wrapText="1"/>
    </xf>
    <xf numFmtId="172" fontId="19" fillId="0" borderId="165" xfId="0" applyFont="1" applyBorder="1" applyAlignment="1">
      <alignment vertical="center" wrapText="1"/>
    </xf>
    <xf numFmtId="172" fontId="19" fillId="0" borderId="166" xfId="0" applyFont="1" applyBorder="1" applyAlignment="1">
      <alignment vertical="center" wrapText="1"/>
    </xf>
    <xf numFmtId="171" fontId="85" fillId="0" borderId="142" xfId="114" applyNumberFormat="1" applyFont="1" applyFill="1" applyBorder="1" applyAlignment="1">
      <alignment horizontal="center" vertical="center" wrapText="1"/>
    </xf>
    <xf numFmtId="171" fontId="87" fillId="58" borderId="142" xfId="113" applyNumberFormat="1" applyFont="1" applyFill="1" applyBorder="1" applyAlignment="1">
      <alignment vertical="center" wrapText="1"/>
    </xf>
    <xf numFmtId="171" fontId="87" fillId="58" borderId="142" xfId="114" applyNumberFormat="1" applyFont="1" applyFill="1" applyBorder="1" applyAlignment="1">
      <alignment vertical="center" wrapText="1"/>
    </xf>
    <xf numFmtId="0" fontId="88" fillId="58" borderId="103" xfId="113" applyFont="1" applyFill="1" applyBorder="1" applyAlignment="1">
      <alignment vertical="center" wrapText="1"/>
    </xf>
    <xf numFmtId="171" fontId="92" fillId="58" borderId="142" xfId="114" applyNumberFormat="1" applyFont="1" applyFill="1" applyBorder="1" applyAlignment="1">
      <alignment vertical="center" wrapText="1"/>
    </xf>
    <xf numFmtId="171" fontId="88" fillId="58" borderId="143" xfId="113" applyNumberFormat="1" applyFont="1" applyFill="1" applyBorder="1" applyAlignment="1">
      <alignment vertical="center" wrapText="1"/>
    </xf>
    <xf numFmtId="172" fontId="23" fillId="0" borderId="39" xfId="35" applyFont="1" applyFill="1" applyBorder="1" applyAlignment="1">
      <alignment horizontal="right" vertical="center" wrapText="1"/>
    </xf>
    <xf numFmtId="0" fontId="26" fillId="4" borderId="39" xfId="35" applyNumberFormat="1" applyFont="1" applyFill="1" applyBorder="1" applyAlignment="1">
      <alignment horizontal="right" vertical="center" wrapText="1"/>
    </xf>
    <xf numFmtId="172" fontId="19" fillId="30" borderId="0" xfId="33" applyFont="1" applyFill="1" applyAlignment="1">
      <alignment vertical="center"/>
    </xf>
    <xf numFmtId="172" fontId="25" fillId="0" borderId="0" xfId="0" applyFont="1"/>
    <xf numFmtId="172" fontId="24" fillId="2" borderId="0" xfId="0" applyFont="1" applyFill="1"/>
    <xf numFmtId="172" fontId="25" fillId="2" borderId="0" xfId="0" applyFont="1" applyFill="1" applyBorder="1"/>
    <xf numFmtId="41" fontId="20" fillId="4" borderId="0" xfId="96" applyFont="1" applyFill="1" applyBorder="1" applyAlignment="1">
      <alignment horizontal="center" vertical="center"/>
    </xf>
    <xf numFmtId="0" fontId="24" fillId="27" borderId="39" xfId="35" applyNumberFormat="1" applyFont="1" applyFill="1" applyBorder="1" applyAlignment="1">
      <alignment horizontal="right" vertical="center" wrapText="1"/>
    </xf>
    <xf numFmtId="3" fontId="19" fillId="2" borderId="0" xfId="33" applyNumberFormat="1" applyFont="1" applyFill="1" applyBorder="1" applyAlignment="1">
      <alignment vertical="center" wrapText="1"/>
    </xf>
    <xf numFmtId="171" fontId="23" fillId="0" borderId="39" xfId="38" applyNumberFormat="1" applyFont="1" applyFill="1" applyBorder="1" applyAlignment="1">
      <alignment horizontal="center" vertical="center"/>
    </xf>
    <xf numFmtId="172" fontId="81" fillId="51" borderId="170" xfId="0" applyFont="1" applyFill="1" applyBorder="1" applyAlignment="1">
      <alignment horizontal="center" vertical="center" wrapText="1"/>
    </xf>
    <xf numFmtId="172" fontId="81" fillId="28" borderId="5" xfId="0" applyFont="1" applyFill="1" applyBorder="1" applyAlignment="1">
      <alignment vertical="center" wrapText="1"/>
    </xf>
    <xf numFmtId="172" fontId="81" fillId="28" borderId="5" xfId="0" applyFont="1" applyFill="1" applyBorder="1" applyAlignment="1">
      <alignment horizontal="center" vertical="center"/>
    </xf>
    <xf numFmtId="186" fontId="81" fillId="28" borderId="5" xfId="0" applyNumberFormat="1" applyFont="1" applyFill="1" applyBorder="1" applyAlignment="1">
      <alignment horizontal="center" vertical="center"/>
    </xf>
    <xf numFmtId="172" fontId="83" fillId="52" borderId="5" xfId="0" applyFont="1" applyFill="1" applyBorder="1" applyAlignment="1">
      <alignment horizontal="center" vertical="center"/>
    </xf>
    <xf numFmtId="186" fontId="83" fillId="0" borderId="5" xfId="0" applyNumberFormat="1" applyFont="1" applyFill="1" applyBorder="1" applyAlignment="1">
      <alignment horizontal="center" vertical="center"/>
    </xf>
    <xf numFmtId="172" fontId="82" fillId="52" borderId="5" xfId="0" applyFont="1" applyFill="1" applyBorder="1" applyAlignment="1">
      <alignment horizontal="center" vertical="center" wrapText="1"/>
    </xf>
    <xf numFmtId="172" fontId="93" fillId="32" borderId="5" xfId="0" applyFont="1" applyFill="1" applyBorder="1" applyAlignment="1">
      <alignment vertical="center" wrapText="1"/>
    </xf>
    <xf numFmtId="172" fontId="93" fillId="32" borderId="5" xfId="0" applyFont="1" applyFill="1" applyBorder="1" applyAlignment="1">
      <alignment horizontal="center" vertical="center"/>
    </xf>
    <xf numFmtId="172" fontId="94" fillId="52" borderId="5" xfId="0" applyFont="1" applyFill="1" applyBorder="1" applyAlignment="1">
      <alignment vertical="center" wrapText="1"/>
    </xf>
    <xf numFmtId="3" fontId="19" fillId="2" borderId="0" xfId="33" applyNumberFormat="1" applyFont="1" applyFill="1" applyBorder="1" applyAlignment="1">
      <alignment horizontal="center" vertical="center" wrapText="1"/>
    </xf>
    <xf numFmtId="171" fontId="23" fillId="2" borderId="0" xfId="38" applyNumberFormat="1" applyFont="1" applyFill="1" applyBorder="1" applyAlignment="1">
      <alignment horizontal="center" vertical="center"/>
    </xf>
    <xf numFmtId="3" fontId="19" fillId="2" borderId="0" xfId="33" applyNumberFormat="1" applyFont="1" applyFill="1" applyBorder="1" applyAlignment="1">
      <alignment horizontal="left" vertical="center" wrapText="1"/>
    </xf>
    <xf numFmtId="172" fontId="55" fillId="29" borderId="0" xfId="0" applyFont="1" applyFill="1" applyAlignment="1">
      <alignment horizontal="center"/>
    </xf>
    <xf numFmtId="172" fontId="19" fillId="4" borderId="0" xfId="0" applyFont="1" applyFill="1" applyAlignment="1">
      <alignment horizontal="left"/>
    </xf>
    <xf numFmtId="172" fontId="54" fillId="2" borderId="0" xfId="0" applyFont="1" applyFill="1" applyAlignment="1">
      <alignment horizontal="center"/>
    </xf>
    <xf numFmtId="172" fontId="74" fillId="0" borderId="0" xfId="0" applyFont="1" applyBorder="1" applyAlignment="1">
      <alignment horizontal="center" vertical="center"/>
    </xf>
    <xf numFmtId="172" fontId="67" fillId="0" borderId="145" xfId="0" applyFont="1" applyBorder="1" applyAlignment="1">
      <alignment horizontal="left" vertical="center" wrapText="1"/>
    </xf>
    <xf numFmtId="172" fontId="67" fillId="0" borderId="146" xfId="0" applyFont="1" applyBorder="1" applyAlignment="1">
      <alignment horizontal="left" vertical="center" wrapText="1"/>
    </xf>
    <xf numFmtId="172" fontId="67" fillId="0" borderId="147" xfId="0" applyFont="1" applyBorder="1" applyAlignment="1">
      <alignment horizontal="left" vertical="center" wrapText="1"/>
    </xf>
    <xf numFmtId="172" fontId="67" fillId="0" borderId="25" xfId="0" applyFont="1" applyBorder="1" applyAlignment="1">
      <alignment horizontal="left" vertical="center" wrapText="1"/>
    </xf>
    <xf numFmtId="172" fontId="67" fillId="0" borderId="26" xfId="0" applyFont="1" applyBorder="1" applyAlignment="1">
      <alignment horizontal="left" vertical="center" wrapText="1"/>
    </xf>
    <xf numFmtId="172" fontId="67" fillId="0" borderId="8" xfId="0" applyFont="1" applyBorder="1" applyAlignment="1">
      <alignment horizontal="left" vertical="center" wrapText="1"/>
    </xf>
    <xf numFmtId="172" fontId="67" fillId="0" borderId="126" xfId="0" applyFont="1" applyBorder="1" applyAlignment="1">
      <alignment horizontal="left" vertical="center" wrapText="1"/>
    </xf>
    <xf numFmtId="172" fontId="67" fillId="0" borderId="127" xfId="0" applyFont="1" applyBorder="1" applyAlignment="1">
      <alignment horizontal="left" vertical="center" wrapText="1"/>
    </xf>
    <xf numFmtId="172" fontId="19" fillId="0" borderId="145" xfId="0" applyFont="1" applyBorder="1" applyAlignment="1">
      <alignment horizontal="center" vertical="center" wrapText="1"/>
    </xf>
    <xf numFmtId="172" fontId="19" fillId="0" borderId="146" xfId="0" applyFont="1" applyBorder="1" applyAlignment="1">
      <alignment horizontal="center" vertical="center" wrapText="1"/>
    </xf>
    <xf numFmtId="172" fontId="19" fillId="0" borderId="147" xfId="0" applyFont="1" applyBorder="1" applyAlignment="1">
      <alignment horizontal="center" vertical="center" wrapText="1"/>
    </xf>
    <xf numFmtId="172" fontId="66" fillId="40" borderId="125" xfId="0" applyFont="1" applyFill="1" applyBorder="1" applyAlignment="1">
      <alignment horizontal="center" vertical="center" wrapText="1"/>
    </xf>
    <xf numFmtId="172" fontId="66" fillId="40" borderId="27" xfId="0" applyFont="1" applyFill="1" applyBorder="1" applyAlignment="1">
      <alignment horizontal="center" vertical="center" wrapText="1"/>
    </xf>
    <xf numFmtId="172" fontId="66" fillId="40" borderId="104" xfId="0" applyFont="1" applyFill="1" applyBorder="1" applyAlignment="1">
      <alignment horizontal="center" vertical="center" wrapText="1"/>
    </xf>
    <xf numFmtId="172" fontId="66" fillId="40" borderId="0" xfId="0" applyFont="1" applyFill="1" applyBorder="1" applyAlignment="1">
      <alignment horizontal="center" vertical="center" wrapText="1"/>
    </xf>
    <xf numFmtId="172" fontId="66" fillId="40" borderId="128" xfId="0" applyFont="1" applyFill="1" applyBorder="1" applyAlignment="1">
      <alignment horizontal="center" vertical="center" wrapText="1"/>
    </xf>
    <xf numFmtId="172" fontId="19" fillId="0" borderId="25" xfId="0" applyFont="1" applyBorder="1" applyAlignment="1">
      <alignment horizontal="justify" vertical="center" wrapText="1"/>
    </xf>
    <xf numFmtId="172" fontId="19" fillId="0" borderId="26" xfId="0" applyFont="1" applyBorder="1" applyAlignment="1">
      <alignment horizontal="justify" vertical="center" wrapText="1"/>
    </xf>
    <xf numFmtId="172" fontId="19" fillId="0" borderId="8" xfId="0" applyFont="1" applyBorder="1" applyAlignment="1">
      <alignment horizontal="justify" vertical="center" wrapText="1"/>
    </xf>
    <xf numFmtId="172" fontId="19" fillId="0" borderId="125" xfId="0" applyFont="1" applyBorder="1" applyAlignment="1">
      <alignment horizontal="justify" vertical="center" wrapText="1"/>
    </xf>
    <xf numFmtId="172" fontId="19" fillId="0" borderId="126" xfId="0" applyFont="1" applyBorder="1" applyAlignment="1">
      <alignment horizontal="justify" vertical="center" wrapText="1"/>
    </xf>
    <xf numFmtId="172" fontId="19" fillId="0" borderId="127" xfId="0" applyFont="1" applyBorder="1" applyAlignment="1">
      <alignment horizontal="justify" vertical="center" wrapText="1"/>
    </xf>
    <xf numFmtId="172" fontId="66" fillId="40" borderId="25" xfId="0" applyFont="1" applyFill="1" applyBorder="1" applyAlignment="1">
      <alignment horizontal="center" vertical="center" wrapText="1"/>
    </xf>
    <xf numFmtId="172" fontId="66" fillId="40" borderId="8" xfId="0" applyFont="1" applyFill="1" applyBorder="1" applyAlignment="1">
      <alignment horizontal="center" vertical="center" wrapText="1"/>
    </xf>
    <xf numFmtId="172" fontId="20" fillId="0" borderId="25" xfId="0" applyFont="1" applyBorder="1" applyAlignment="1">
      <alignment horizontal="center" vertical="center" wrapText="1"/>
    </xf>
    <xf numFmtId="172" fontId="20" fillId="0" borderId="8" xfId="0" applyFont="1" applyBorder="1" applyAlignment="1">
      <alignment horizontal="center" vertical="center" wrapText="1"/>
    </xf>
    <xf numFmtId="172" fontId="19" fillId="0" borderId="151" xfId="0" applyFont="1" applyBorder="1" applyAlignment="1">
      <alignment vertical="center" wrapText="1"/>
    </xf>
    <xf numFmtId="172" fontId="67" fillId="0" borderId="153" xfId="0" applyFont="1" applyBorder="1" applyAlignment="1">
      <alignment horizontal="left" vertical="center" wrapText="1"/>
    </xf>
    <xf numFmtId="172" fontId="67" fillId="0" borderId="154" xfId="0" applyFont="1" applyBorder="1" applyAlignment="1">
      <alignment horizontal="left" vertical="center" wrapText="1"/>
    </xf>
    <xf numFmtId="172" fontId="67" fillId="0" borderId="155" xfId="0" applyFont="1" applyBorder="1" applyAlignment="1">
      <alignment horizontal="left" vertical="center" wrapText="1"/>
    </xf>
    <xf numFmtId="172" fontId="66" fillId="40" borderId="33" xfId="0" applyFont="1" applyFill="1" applyBorder="1" applyAlignment="1">
      <alignment horizontal="center" vertical="center" wrapText="1"/>
    </xf>
    <xf numFmtId="172" fontId="66" fillId="40" borderId="130" xfId="0" applyFont="1" applyFill="1" applyBorder="1" applyAlignment="1">
      <alignment horizontal="center" vertical="center" wrapText="1"/>
    </xf>
    <xf numFmtId="172" fontId="66" fillId="40" borderId="156" xfId="0" applyFont="1" applyFill="1" applyBorder="1" applyAlignment="1">
      <alignment horizontal="center" vertical="center" wrapText="1"/>
    </xf>
    <xf numFmtId="172" fontId="66" fillId="40" borderId="157" xfId="0" applyFont="1" applyFill="1" applyBorder="1" applyAlignment="1">
      <alignment horizontal="center" vertical="center" wrapText="1"/>
    </xf>
    <xf numFmtId="172" fontId="66" fillId="40" borderId="134" xfId="0" applyFont="1" applyFill="1" applyBorder="1" applyAlignment="1">
      <alignment horizontal="center" vertical="center" wrapText="1"/>
    </xf>
    <xf numFmtId="172" fontId="66" fillId="40" borderId="135" xfId="0" applyFont="1" applyFill="1" applyBorder="1" applyAlignment="1">
      <alignment horizontal="center" vertical="center" wrapText="1"/>
    </xf>
    <xf numFmtId="172" fontId="66" fillId="40" borderId="136" xfId="0" applyFont="1" applyFill="1" applyBorder="1" applyAlignment="1">
      <alignment horizontal="center" vertical="center" wrapText="1"/>
    </xf>
    <xf numFmtId="172" fontId="66" fillId="40" borderId="137" xfId="0" applyFont="1" applyFill="1" applyBorder="1" applyAlignment="1">
      <alignment horizontal="center" vertical="center" wrapText="1"/>
    </xf>
    <xf numFmtId="172" fontId="19" fillId="0" borderId="100" xfId="0" applyFont="1" applyBorder="1" applyAlignment="1">
      <alignment vertical="center" wrapText="1"/>
    </xf>
    <xf numFmtId="172" fontId="19" fillId="0" borderId="129" xfId="0" applyFont="1" applyBorder="1" applyAlignment="1">
      <alignment vertical="center" wrapText="1"/>
    </xf>
    <xf numFmtId="172" fontId="19" fillId="0" borderId="134" xfId="0" applyFont="1" applyBorder="1" applyAlignment="1">
      <alignment horizontal="left" vertical="center" wrapText="1"/>
    </xf>
    <xf numFmtId="172" fontId="19" fillId="0" borderId="135" xfId="0" applyFont="1" applyBorder="1" applyAlignment="1">
      <alignment horizontal="left" vertical="center" wrapText="1"/>
    </xf>
    <xf numFmtId="172" fontId="19" fillId="0" borderId="136" xfId="0" applyFont="1" applyBorder="1" applyAlignment="1">
      <alignment horizontal="left" vertical="center" wrapText="1"/>
    </xf>
    <xf numFmtId="172" fontId="0" fillId="0" borderId="137" xfId="0" applyBorder="1" applyAlignment="1">
      <alignment horizontal="left" vertical="center" wrapText="1"/>
    </xf>
    <xf numFmtId="171" fontId="19" fillId="0" borderId="100" xfId="38" applyNumberFormat="1" applyFont="1" applyBorder="1" applyAlignment="1">
      <alignment horizontal="center" vertical="center" wrapText="1"/>
    </xf>
    <xf numFmtId="171" fontId="19" fillId="0" borderId="129" xfId="38" applyNumberFormat="1" applyFont="1" applyBorder="1" applyAlignment="1">
      <alignment horizontal="center" vertical="center" wrapText="1"/>
    </xf>
    <xf numFmtId="172" fontId="19" fillId="0" borderId="158" xfId="0" applyFont="1" applyBorder="1" applyAlignment="1">
      <alignment horizontal="left" vertical="center" wrapText="1"/>
    </xf>
    <xf numFmtId="172" fontId="19" fillId="0" borderId="159" xfId="0" applyFont="1" applyBorder="1" applyAlignment="1">
      <alignment horizontal="left" vertical="center" wrapText="1"/>
    </xf>
    <xf numFmtId="172" fontId="19" fillId="0" borderId="160" xfId="0" applyFont="1" applyBorder="1" applyAlignment="1">
      <alignment horizontal="left" vertical="center" wrapText="1"/>
    </xf>
    <xf numFmtId="172" fontId="19" fillId="0" borderId="161" xfId="0" applyFont="1" applyBorder="1" applyAlignment="1">
      <alignment horizontal="center" vertical="center" wrapText="1"/>
    </xf>
    <xf numFmtId="172" fontId="19" fillId="0" borderId="121" xfId="0" applyFont="1" applyBorder="1" applyAlignment="1">
      <alignment horizontal="center" vertical="center" wrapText="1"/>
    </xf>
    <xf numFmtId="172" fontId="67" fillId="0" borderId="128" xfId="0" applyFont="1" applyBorder="1" applyAlignment="1">
      <alignment horizontal="left" vertical="center" wrapText="1"/>
    </xf>
    <xf numFmtId="172" fontId="67" fillId="0" borderId="28" xfId="0" applyFont="1" applyBorder="1" applyAlignment="1">
      <alignment horizontal="left" vertical="center" wrapText="1"/>
    </xf>
    <xf numFmtId="172" fontId="66" fillId="40" borderId="163" xfId="0" applyFont="1" applyFill="1" applyBorder="1" applyAlignment="1">
      <alignment horizontal="center" vertical="center" wrapText="1"/>
    </xf>
    <xf numFmtId="172" fontId="66" fillId="40" borderId="164" xfId="0" applyFont="1" applyFill="1" applyBorder="1" applyAlignment="1">
      <alignment horizontal="center" vertical="center" wrapText="1"/>
    </xf>
    <xf numFmtId="172" fontId="19" fillId="0" borderId="167" xfId="0" applyFont="1" applyBorder="1" applyAlignment="1">
      <alignment horizontal="center" vertical="center" wrapText="1"/>
    </xf>
    <xf numFmtId="172" fontId="19" fillId="0" borderId="165" xfId="0" applyFont="1" applyBorder="1" applyAlignment="1">
      <alignment horizontal="center" vertical="center" wrapText="1"/>
    </xf>
    <xf numFmtId="172" fontId="19" fillId="0" borderId="168" xfId="0" applyFont="1" applyBorder="1" applyAlignment="1">
      <alignment horizontal="center" vertical="center" wrapText="1"/>
    </xf>
    <xf numFmtId="3" fontId="24" fillId="27" borderId="7" xfId="33" applyNumberFormat="1" applyFont="1" applyFill="1" applyBorder="1" applyAlignment="1">
      <alignment horizontal="right" vertical="center" wrapText="1"/>
    </xf>
    <xf numFmtId="3" fontId="24" fillId="3" borderId="7" xfId="33" applyNumberFormat="1" applyFont="1" applyFill="1" applyBorder="1" applyAlignment="1">
      <alignment horizontal="center" vertical="center"/>
    </xf>
    <xf numFmtId="3" fontId="24" fillId="27" borderId="7" xfId="33" applyNumberFormat="1" applyFont="1" applyFill="1" applyBorder="1" applyAlignment="1">
      <alignment horizontal="center" vertical="center" wrapText="1"/>
    </xf>
    <xf numFmtId="17" fontId="24" fillId="27" borderId="7" xfId="33" applyNumberFormat="1" applyFont="1" applyFill="1" applyBorder="1" applyAlignment="1">
      <alignment horizontal="center" vertical="center" wrapText="1"/>
    </xf>
    <xf numFmtId="3" fontId="24" fillId="27" borderId="7" xfId="33" applyNumberFormat="1" applyFont="1" applyFill="1" applyBorder="1" applyAlignment="1">
      <alignment horizontal="center" vertical="center"/>
    </xf>
    <xf numFmtId="172" fontId="20" fillId="0" borderId="0" xfId="33" applyFont="1" applyAlignment="1">
      <alignment horizontal="center" vertical="center"/>
    </xf>
    <xf numFmtId="172" fontId="26" fillId="0" borderId="0" xfId="0" applyFont="1" applyAlignment="1">
      <alignment horizontal="center"/>
    </xf>
    <xf numFmtId="172" fontId="26" fillId="0" borderId="169" xfId="0" applyFont="1" applyBorder="1" applyAlignment="1">
      <alignment horizontal="center"/>
    </xf>
    <xf numFmtId="172" fontId="20" fillId="2" borderId="0" xfId="29" applyFont="1" applyFill="1" applyAlignment="1">
      <alignment horizontal="left" vertical="center"/>
    </xf>
    <xf numFmtId="172" fontId="26" fillId="0" borderId="0" xfId="29" applyFont="1" applyAlignment="1">
      <alignment horizontal="center" vertical="center"/>
    </xf>
    <xf numFmtId="3" fontId="24" fillId="3" borderId="121" xfId="33" applyNumberFormat="1" applyFont="1" applyFill="1" applyBorder="1" applyAlignment="1">
      <alignment horizontal="center" vertical="center" wrapText="1"/>
    </xf>
    <xf numFmtId="3" fontId="24" fillId="3" borderId="122" xfId="33" applyNumberFormat="1" applyFont="1" applyFill="1" applyBorder="1" applyAlignment="1">
      <alignment horizontal="center" vertical="center" wrapText="1"/>
    </xf>
    <xf numFmtId="172" fontId="24" fillId="3" borderId="95" xfId="0" applyFont="1" applyFill="1" applyBorder="1" applyAlignment="1">
      <alignment horizontal="center" vertical="center" wrapText="1"/>
    </xf>
    <xf numFmtId="172" fontId="24" fillId="3" borderId="97" xfId="0" applyFont="1" applyFill="1" applyBorder="1" applyAlignment="1">
      <alignment horizontal="center" vertical="center" wrapText="1"/>
    </xf>
    <xf numFmtId="172" fontId="24" fillId="3" borderId="96" xfId="0" applyFont="1" applyFill="1" applyBorder="1" applyAlignment="1">
      <alignment horizontal="center" vertical="center" wrapText="1"/>
    </xf>
    <xf numFmtId="172" fontId="24" fillId="3" borderId="98" xfId="0" applyFont="1" applyFill="1" applyBorder="1" applyAlignment="1">
      <alignment horizontal="center" vertical="center" wrapText="1"/>
    </xf>
    <xf numFmtId="172" fontId="24" fillId="3" borderId="9" xfId="0" applyFont="1" applyFill="1" applyBorder="1" applyAlignment="1">
      <alignment horizontal="center" vertical="center" wrapText="1"/>
    </xf>
    <xf numFmtId="172" fontId="24" fillId="3" borderId="10" xfId="0" applyFont="1" applyFill="1" applyBorder="1" applyAlignment="1">
      <alignment horizontal="center" vertical="center" wrapText="1"/>
    </xf>
    <xf numFmtId="0" fontId="87" fillId="47" borderId="139" xfId="113" applyFont="1" applyFill="1" applyBorder="1" applyAlignment="1">
      <alignment horizontal="center" vertical="center" wrapText="1"/>
    </xf>
    <xf numFmtId="0" fontId="87" fillId="47" borderId="106" xfId="113" applyFont="1" applyFill="1" applyBorder="1" applyAlignment="1">
      <alignment horizontal="center" vertical="center" wrapText="1"/>
    </xf>
    <xf numFmtId="0" fontId="87" fillId="47" borderId="140" xfId="113" applyFont="1" applyFill="1" applyBorder="1" applyAlignment="1">
      <alignment horizontal="center" vertical="center" wrapText="1"/>
    </xf>
    <xf numFmtId="0" fontId="87" fillId="47" borderId="102" xfId="113" applyFont="1" applyFill="1" applyBorder="1" applyAlignment="1">
      <alignment horizontal="center" vertical="center" wrapText="1"/>
    </xf>
    <xf numFmtId="0" fontId="87" fillId="47" borderId="141" xfId="113" applyFont="1" applyFill="1" applyBorder="1" applyAlignment="1">
      <alignment horizontal="center" vertical="center" wrapText="1"/>
    </xf>
    <xf numFmtId="172" fontId="91" fillId="0" borderId="102" xfId="0" applyFont="1" applyBorder="1" applyAlignment="1">
      <alignment horizontal="justify" vertical="center" wrapText="1"/>
    </xf>
    <xf numFmtId="172" fontId="91" fillId="0" borderId="103" xfId="0" applyFont="1" applyBorder="1" applyAlignment="1">
      <alignment horizontal="justify" vertical="center" wrapText="1"/>
    </xf>
    <xf numFmtId="172" fontId="89" fillId="40" borderId="139" xfId="0" applyFont="1" applyFill="1" applyBorder="1" applyAlignment="1">
      <alignment horizontal="center" vertical="center" wrapText="1"/>
    </xf>
    <xf numFmtId="172" fontId="89" fillId="40" borderId="106" xfId="0" applyFont="1" applyFill="1" applyBorder="1" applyAlignment="1">
      <alignment horizontal="center" vertical="center" wrapText="1"/>
    </xf>
    <xf numFmtId="172" fontId="89" fillId="40" borderId="144" xfId="0" applyFont="1" applyFill="1" applyBorder="1" applyAlignment="1">
      <alignment horizontal="center" vertical="center" wrapText="1"/>
    </xf>
    <xf numFmtId="172" fontId="91" fillId="0" borderId="139" xfId="0" applyFont="1" applyBorder="1" applyAlignment="1">
      <alignment vertical="center" wrapText="1"/>
    </xf>
    <xf numFmtId="172" fontId="91" fillId="0" borderId="106" xfId="0" applyFont="1" applyBorder="1" applyAlignment="1">
      <alignment vertical="center" wrapText="1"/>
    </xf>
    <xf numFmtId="172" fontId="91" fillId="0" borderId="144" xfId="0" applyFont="1" applyBorder="1" applyAlignment="1">
      <alignment vertical="center" wrapText="1"/>
    </xf>
    <xf numFmtId="172" fontId="89" fillId="40" borderId="102" xfId="0" applyFont="1" applyFill="1" applyBorder="1" applyAlignment="1">
      <alignment horizontal="center" vertical="center" wrapText="1"/>
    </xf>
    <xf numFmtId="172" fontId="89" fillId="40" borderId="103" xfId="0" applyFont="1" applyFill="1" applyBorder="1" applyAlignment="1">
      <alignment horizontal="center" vertical="center" wrapText="1"/>
    </xf>
    <xf numFmtId="172" fontId="20" fillId="32" borderId="21" xfId="88" applyFont="1" applyFill="1" applyBorder="1" applyAlignment="1">
      <alignment horizontal="center" vertical="center" wrapText="1"/>
    </xf>
    <xf numFmtId="172" fontId="26" fillId="4" borderId="1" xfId="89" applyFont="1" applyFill="1" applyBorder="1" applyAlignment="1">
      <alignment horizontal="right" vertical="center"/>
    </xf>
    <xf numFmtId="172" fontId="20" fillId="32" borderId="21" xfId="88" applyFont="1" applyFill="1" applyBorder="1" applyAlignment="1">
      <alignment horizontal="center" vertical="center"/>
    </xf>
    <xf numFmtId="172" fontId="19" fillId="2" borderId="120" xfId="88" applyFont="1" applyFill="1" applyBorder="1" applyAlignment="1">
      <alignment horizontal="left" vertical="center" wrapText="1"/>
    </xf>
    <xf numFmtId="172" fontId="19" fillId="2" borderId="8" xfId="88" applyFont="1" applyFill="1" applyBorder="1" applyAlignment="1">
      <alignment horizontal="left" vertical="center" wrapText="1"/>
    </xf>
    <xf numFmtId="172" fontId="20" fillId="32" borderId="1" xfId="88" applyFont="1" applyFill="1" applyBorder="1" applyAlignment="1">
      <alignment horizontal="center" vertical="center" wrapText="1"/>
    </xf>
    <xf numFmtId="172" fontId="20" fillId="32" borderId="21" xfId="88" applyFont="1" applyFill="1" applyBorder="1" applyAlignment="1">
      <alignment vertical="center"/>
    </xf>
    <xf numFmtId="172" fontId="20" fillId="32" borderId="1" xfId="88" applyFont="1" applyFill="1" applyBorder="1" applyAlignment="1">
      <alignment horizontal="center" vertical="center"/>
    </xf>
    <xf numFmtId="173" fontId="23" fillId="4" borderId="25" xfId="89" applyNumberFormat="1" applyFont="1" applyFill="1" applyBorder="1" applyAlignment="1">
      <alignment horizontal="center" vertical="center"/>
    </xf>
    <xf numFmtId="173" fontId="23" fillId="4" borderId="26" xfId="89" applyNumberFormat="1" applyFont="1" applyFill="1" applyBorder="1" applyAlignment="1">
      <alignment horizontal="center" vertical="center"/>
    </xf>
    <xf numFmtId="172" fontId="20" fillId="32" borderId="2" xfId="88" applyFont="1" applyFill="1" applyBorder="1" applyAlignment="1">
      <alignment horizontal="center" vertical="center" wrapText="1"/>
    </xf>
    <xf numFmtId="173" fontId="20" fillId="32" borderId="1" xfId="88" applyNumberFormat="1" applyFont="1" applyFill="1" applyBorder="1" applyAlignment="1">
      <alignment horizontal="center" vertical="center" wrapText="1"/>
    </xf>
    <xf numFmtId="172" fontId="20" fillId="32" borderId="2" xfId="88" applyFont="1" applyFill="1" applyBorder="1" applyAlignment="1">
      <alignment horizontal="center" vertical="center"/>
    </xf>
    <xf numFmtId="172" fontId="20" fillId="4" borderId="3" xfId="88" applyFont="1" applyFill="1" applyBorder="1" applyAlignment="1">
      <alignment horizontal="right" vertical="center" wrapText="1"/>
    </xf>
    <xf numFmtId="173" fontId="23" fillId="4" borderId="21" xfId="89" applyNumberFormat="1" applyFont="1" applyFill="1" applyBorder="1" applyAlignment="1">
      <alignment horizontal="center" vertical="center"/>
    </xf>
    <xf numFmtId="172" fontId="19" fillId="2" borderId="32" xfId="88" applyFont="1" applyFill="1" applyBorder="1" applyAlignment="1">
      <alignment horizontal="center" vertical="center" wrapText="1"/>
    </xf>
    <xf numFmtId="172" fontId="19" fillId="2" borderId="31" xfId="88" applyFont="1" applyFill="1" applyBorder="1" applyAlignment="1">
      <alignment horizontal="center" vertical="center" wrapText="1"/>
    </xf>
    <xf numFmtId="173" fontId="20" fillId="32" borderId="21" xfId="88" applyNumberFormat="1" applyFont="1" applyFill="1" applyBorder="1" applyAlignment="1">
      <alignment horizontal="center" vertical="center" wrapText="1"/>
    </xf>
    <xf numFmtId="172" fontId="20" fillId="32" borderId="1" xfId="88" applyFont="1" applyFill="1" applyBorder="1" applyAlignment="1">
      <alignment horizontal="left" vertical="center" wrapText="1"/>
    </xf>
    <xf numFmtId="172" fontId="20" fillId="32" borderId="21" xfId="88" applyFont="1" applyFill="1" applyBorder="1" applyAlignment="1">
      <alignment horizontal="left" vertical="center" wrapText="1"/>
    </xf>
    <xf numFmtId="172" fontId="19" fillId="4" borderId="21" xfId="89" applyFont="1" applyFill="1" applyBorder="1" applyAlignment="1">
      <alignment horizontal="center" vertical="center"/>
    </xf>
    <xf numFmtId="172" fontId="26" fillId="4" borderId="21" xfId="89" applyFont="1" applyFill="1" applyBorder="1" applyAlignment="1">
      <alignment horizontal="right" vertical="center"/>
    </xf>
    <xf numFmtId="172" fontId="19" fillId="2" borderId="171" xfId="88" applyFont="1" applyFill="1" applyBorder="1" applyAlignment="1">
      <alignment horizontal="left" vertical="center" wrapText="1"/>
    </xf>
    <xf numFmtId="172" fontId="19" fillId="2" borderId="172" xfId="88" applyFont="1" applyFill="1" applyBorder="1" applyAlignment="1">
      <alignment horizontal="left" vertical="center" wrapText="1"/>
    </xf>
    <xf numFmtId="172" fontId="20" fillId="32" borderId="27" xfId="88" applyFont="1" applyFill="1" applyBorder="1" applyAlignment="1">
      <alignment horizontal="center" vertical="center" wrapText="1"/>
    </xf>
    <xf numFmtId="172" fontId="20" fillId="32" borderId="0" xfId="88" applyFont="1" applyFill="1" applyBorder="1" applyAlignment="1">
      <alignment horizontal="center" vertical="center" wrapText="1"/>
    </xf>
    <xf numFmtId="172" fontId="20" fillId="32" borderId="1" xfId="88" applyFont="1" applyFill="1" applyBorder="1" applyAlignment="1">
      <alignment vertical="center"/>
    </xf>
    <xf numFmtId="172" fontId="20" fillId="32" borderId="33" xfId="88" applyFont="1" applyFill="1" applyBorder="1" applyAlignment="1">
      <alignment horizontal="center" vertical="center" wrapText="1"/>
    </xf>
    <xf numFmtId="172" fontId="20" fillId="32" borderId="29" xfId="88" applyFont="1" applyFill="1" applyBorder="1" applyAlignment="1">
      <alignment horizontal="center" vertical="center" wrapText="1"/>
    </xf>
    <xf numFmtId="172" fontId="20" fillId="32" borderId="34" xfId="88" applyFont="1" applyFill="1" applyBorder="1" applyAlignment="1">
      <alignment horizontal="center" vertical="center" wrapText="1"/>
    </xf>
    <xf numFmtId="172" fontId="20" fillId="32" borderId="30" xfId="88" applyFont="1" applyFill="1" applyBorder="1" applyAlignment="1">
      <alignment horizontal="center" vertical="center" wrapText="1"/>
    </xf>
    <xf numFmtId="172" fontId="19" fillId="2" borderId="120" xfId="88" applyFont="1" applyFill="1" applyBorder="1" applyAlignment="1">
      <alignment horizontal="center" vertical="center" wrapText="1"/>
    </xf>
    <xf numFmtId="172" fontId="19" fillId="2" borderId="8" xfId="88" applyFont="1" applyFill="1" applyBorder="1" applyAlignment="1">
      <alignment horizontal="center" vertical="center" wrapText="1"/>
    </xf>
    <xf numFmtId="172" fontId="20" fillId="32" borderId="3" xfId="88" applyFont="1" applyFill="1" applyBorder="1" applyAlignment="1">
      <alignment horizontal="center" vertical="center" wrapText="1"/>
    </xf>
    <xf numFmtId="172" fontId="20" fillId="32" borderId="25" xfId="88" applyFont="1" applyFill="1" applyBorder="1" applyAlignment="1">
      <alignment vertical="center"/>
    </xf>
    <xf numFmtId="172" fontId="19" fillId="2" borderId="21" xfId="88" applyFont="1" applyFill="1" applyBorder="1" applyAlignment="1">
      <alignment horizontal="left" vertical="center" wrapText="1"/>
    </xf>
    <xf numFmtId="172" fontId="20" fillId="2" borderId="21" xfId="88" applyFont="1" applyFill="1" applyBorder="1" applyAlignment="1">
      <alignment horizontal="left" vertical="center" wrapText="1"/>
    </xf>
    <xf numFmtId="172" fontId="20" fillId="4" borderId="1" xfId="88" applyFont="1" applyFill="1" applyBorder="1" applyAlignment="1">
      <alignment horizontal="right" vertical="center" wrapText="1"/>
    </xf>
    <xf numFmtId="171" fontId="20" fillId="32" borderId="1" xfId="38" applyNumberFormat="1" applyFont="1" applyFill="1" applyBorder="1" applyAlignment="1">
      <alignment horizontal="center" vertical="center" wrapText="1"/>
    </xf>
    <xf numFmtId="172" fontId="20" fillId="32" borderId="2" xfId="88" applyFont="1" applyFill="1" applyBorder="1" applyAlignment="1">
      <alignment horizontal="left" vertical="center" wrapText="1"/>
    </xf>
    <xf numFmtId="172" fontId="20" fillId="32" borderId="2" xfId="88" applyFont="1" applyFill="1" applyBorder="1" applyAlignment="1">
      <alignment vertical="center"/>
    </xf>
    <xf numFmtId="172" fontId="24" fillId="29" borderId="35" xfId="88" applyFont="1" applyFill="1" applyBorder="1" applyAlignment="1">
      <alignment horizontal="center" vertical="center" wrapText="1"/>
    </xf>
    <xf numFmtId="172" fontId="25" fillId="29" borderId="36" xfId="88" applyFont="1" applyFill="1" applyBorder="1" applyAlignment="1">
      <alignment vertical="center"/>
    </xf>
    <xf numFmtId="172" fontId="25" fillId="29" borderId="37" xfId="88" applyFont="1" applyFill="1" applyBorder="1" applyAlignment="1">
      <alignment vertical="center"/>
    </xf>
    <xf numFmtId="172" fontId="20" fillId="32" borderId="3" xfId="88" applyFont="1" applyFill="1" applyBorder="1" applyAlignment="1">
      <alignment vertical="center"/>
    </xf>
    <xf numFmtId="3" fontId="24" fillId="3" borderId="41" xfId="33" applyNumberFormat="1" applyFont="1" applyFill="1" applyBorder="1" applyAlignment="1">
      <alignment horizontal="center" vertical="center"/>
    </xf>
    <xf numFmtId="172" fontId="24" fillId="3" borderId="41" xfId="94" applyFont="1" applyFill="1" applyBorder="1" applyAlignment="1">
      <alignment horizontal="center" vertical="center" wrapText="1"/>
    </xf>
    <xf numFmtId="172" fontId="24" fillId="3" borderId="123" xfId="94" applyFont="1" applyFill="1" applyBorder="1" applyAlignment="1">
      <alignment horizontal="center" vertical="center" wrapText="1"/>
    </xf>
    <xf numFmtId="172" fontId="24" fillId="3" borderId="124" xfId="94" applyFont="1" applyFill="1" applyBorder="1" applyAlignment="1">
      <alignment horizontal="center" vertical="center" wrapText="1"/>
    </xf>
    <xf numFmtId="172" fontId="19" fillId="0" borderId="41" xfId="0" applyFont="1" applyBorder="1" applyAlignment="1">
      <alignment horizontal="center" vertical="center"/>
    </xf>
    <xf numFmtId="0" fontId="20" fillId="0" borderId="5" xfId="106" applyFont="1" applyFill="1" applyBorder="1" applyAlignment="1">
      <alignment horizontal="center" vertical="center"/>
    </xf>
    <xf numFmtId="0" fontId="20" fillId="0" borderId="42" xfId="106" applyFont="1" applyFill="1" applyBorder="1" applyAlignment="1">
      <alignment horizontal="center" vertical="center"/>
    </xf>
    <xf numFmtId="0" fontId="20" fillId="0" borderId="43" xfId="106" applyFont="1" applyFill="1" applyBorder="1" applyAlignment="1">
      <alignment horizontal="center" vertical="center"/>
    </xf>
    <xf numFmtId="0" fontId="20" fillId="0" borderId="44" xfId="106" applyFont="1" applyFill="1" applyBorder="1" applyAlignment="1">
      <alignment horizontal="center" vertical="center"/>
    </xf>
    <xf numFmtId="0" fontId="20" fillId="0" borderId="5" xfId="106" applyFont="1" applyFill="1" applyBorder="1" applyAlignment="1">
      <alignment horizontal="center" vertical="center" wrapText="1"/>
    </xf>
    <xf numFmtId="0" fontId="20" fillId="35" borderId="6" xfId="106" applyFont="1" applyFill="1" applyBorder="1" applyAlignment="1">
      <alignment horizontal="right"/>
    </xf>
    <xf numFmtId="0" fontId="20" fillId="35" borderId="45" xfId="106" applyFont="1" applyFill="1" applyBorder="1" applyAlignment="1">
      <alignment horizontal="right"/>
    </xf>
    <xf numFmtId="0" fontId="20" fillId="35" borderId="46" xfId="106" applyFont="1" applyFill="1" applyBorder="1" applyAlignment="1">
      <alignment horizontal="right"/>
    </xf>
    <xf numFmtId="0" fontId="22" fillId="0" borderId="58" xfId="107" applyFont="1" applyBorder="1" applyAlignment="1">
      <alignment horizontal="center" vertical="center" wrapText="1"/>
    </xf>
    <xf numFmtId="0" fontId="22" fillId="0" borderId="59" xfId="107" applyFont="1" applyBorder="1" applyAlignment="1">
      <alignment horizontal="center" vertical="center" wrapText="1"/>
    </xf>
    <xf numFmtId="0" fontId="22" fillId="0" borderId="60" xfId="107" applyFont="1" applyBorder="1" applyAlignment="1">
      <alignment horizontal="center" vertical="center" wrapText="1"/>
    </xf>
    <xf numFmtId="0" fontId="19" fillId="0" borderId="48" xfId="0" applyNumberFormat="1" applyFont="1" applyFill="1" applyBorder="1" applyAlignment="1">
      <alignment horizontal="center" vertical="center" wrapText="1"/>
    </xf>
    <xf numFmtId="0" fontId="19" fillId="0" borderId="53" xfId="0" applyNumberFormat="1" applyFont="1" applyBorder="1" applyAlignment="1">
      <alignment horizontal="center" vertical="center"/>
    </xf>
    <xf numFmtId="0" fontId="19" fillId="0" borderId="71" xfId="0" applyNumberFormat="1" applyFont="1" applyBorder="1" applyAlignment="1">
      <alignment horizontal="center" vertical="center"/>
    </xf>
    <xf numFmtId="0" fontId="19" fillId="0" borderId="47" xfId="0" applyNumberFormat="1" applyFont="1" applyBorder="1" applyAlignment="1">
      <alignment horizontal="center" vertical="center"/>
    </xf>
    <xf numFmtId="0" fontId="19" fillId="0" borderId="68" xfId="0" applyNumberFormat="1" applyFont="1" applyBorder="1" applyAlignment="1">
      <alignment horizontal="center" vertical="center"/>
    </xf>
    <xf numFmtId="0" fontId="19" fillId="0" borderId="70" xfId="0" applyNumberFormat="1" applyFont="1" applyBorder="1" applyAlignment="1">
      <alignment horizontal="center" vertical="center"/>
    </xf>
    <xf numFmtId="0" fontId="19" fillId="0" borderId="48" xfId="0" applyNumberFormat="1" applyFont="1" applyBorder="1" applyAlignment="1">
      <alignment horizontal="center" vertical="center"/>
    </xf>
    <xf numFmtId="0" fontId="26" fillId="0" borderId="56" xfId="0" applyNumberFormat="1" applyFont="1" applyFill="1" applyBorder="1" applyAlignment="1">
      <alignment horizontal="right" vertical="center"/>
    </xf>
    <xf numFmtId="0" fontId="26" fillId="0" borderId="44" xfId="0" applyNumberFormat="1" applyFont="1" applyFill="1" applyBorder="1" applyAlignment="1">
      <alignment horizontal="right" vertical="center"/>
    </xf>
    <xf numFmtId="0" fontId="26" fillId="0" borderId="57" xfId="0" applyNumberFormat="1" applyFont="1" applyFill="1" applyBorder="1" applyAlignment="1">
      <alignment horizontal="right" vertical="center"/>
    </xf>
    <xf numFmtId="0" fontId="26" fillId="0" borderId="42" xfId="0" applyNumberFormat="1" applyFont="1" applyFill="1" applyBorder="1" applyAlignment="1">
      <alignment horizontal="right" vertical="center"/>
    </xf>
    <xf numFmtId="0" fontId="19" fillId="0" borderId="65" xfId="0" applyNumberFormat="1" applyFont="1" applyFill="1" applyBorder="1" applyAlignment="1">
      <alignment horizontal="center" vertical="center"/>
    </xf>
    <xf numFmtId="0" fontId="19" fillId="0" borderId="48" xfId="0" applyNumberFormat="1" applyFont="1" applyFill="1" applyBorder="1" applyAlignment="1">
      <alignment horizontal="center" vertical="center"/>
    </xf>
    <xf numFmtId="0" fontId="26" fillId="0" borderId="65" xfId="0" applyNumberFormat="1" applyFont="1" applyBorder="1" applyAlignment="1">
      <alignment horizontal="center" vertical="center"/>
    </xf>
    <xf numFmtId="0" fontId="26" fillId="0" borderId="66" xfId="0" applyNumberFormat="1" applyFont="1" applyBorder="1" applyAlignment="1">
      <alignment horizontal="center" vertical="center"/>
    </xf>
    <xf numFmtId="0" fontId="26" fillId="0" borderId="67" xfId="0" applyNumberFormat="1" applyFont="1" applyBorder="1" applyAlignment="1">
      <alignment horizontal="center" vertical="center"/>
    </xf>
    <xf numFmtId="0" fontId="19" fillId="0" borderId="65" xfId="0" applyNumberFormat="1" applyFont="1" applyFill="1" applyBorder="1" applyAlignment="1">
      <alignment horizontal="center" vertical="center" wrapText="1"/>
    </xf>
    <xf numFmtId="0" fontId="19" fillId="0" borderId="62" xfId="0" applyNumberFormat="1" applyFont="1" applyFill="1" applyBorder="1" applyAlignment="1">
      <alignment horizontal="center" vertical="center" wrapText="1"/>
    </xf>
    <xf numFmtId="0" fontId="19" fillId="0" borderId="66" xfId="0" applyNumberFormat="1" applyFont="1" applyFill="1" applyBorder="1" applyAlignment="1">
      <alignment horizontal="center" vertical="center" wrapText="1"/>
    </xf>
    <xf numFmtId="0" fontId="19" fillId="0" borderId="69" xfId="0" applyNumberFormat="1" applyFont="1" applyFill="1" applyBorder="1" applyAlignment="1">
      <alignment horizontal="center" vertical="center" wrapText="1"/>
    </xf>
    <xf numFmtId="0" fontId="26" fillId="0" borderId="55" xfId="0" applyNumberFormat="1" applyFont="1" applyFill="1" applyBorder="1" applyAlignment="1">
      <alignment horizontal="right" vertical="center"/>
    </xf>
    <xf numFmtId="0" fontId="26" fillId="0" borderId="43" xfId="0" applyNumberFormat="1" applyFont="1" applyFill="1" applyBorder="1" applyAlignment="1">
      <alignment horizontal="right" vertical="center"/>
    </xf>
    <xf numFmtId="3" fontId="61" fillId="36" borderId="88" xfId="110" applyNumberFormat="1" applyFont="1" applyFill="1" applyBorder="1" applyAlignment="1">
      <alignment horizontal="center"/>
    </xf>
    <xf numFmtId="3" fontId="61" fillId="36" borderId="91" xfId="110" applyNumberFormat="1" applyFont="1" applyFill="1" applyBorder="1" applyAlignment="1">
      <alignment horizontal="center"/>
    </xf>
    <xf numFmtId="0" fontId="49" fillId="0" borderId="0" xfId="110" applyFont="1" applyAlignment="1">
      <alignment horizontal="center" wrapText="1"/>
    </xf>
    <xf numFmtId="9" fontId="61" fillId="0" borderId="0" xfId="110" applyNumberFormat="1" applyFont="1" applyAlignment="1">
      <alignment horizontal="center" vertical="center" wrapText="1"/>
    </xf>
    <xf numFmtId="0" fontId="49" fillId="0" borderId="0" xfId="110" applyFont="1" applyAlignment="1">
      <alignment horizontal="left"/>
    </xf>
    <xf numFmtId="3" fontId="49" fillId="0" borderId="0" xfId="110" applyNumberFormat="1" applyFont="1" applyAlignment="1">
      <alignment horizontal="left"/>
    </xf>
    <xf numFmtId="179" fontId="63" fillId="0" borderId="0" xfId="110" applyNumberFormat="1" applyFont="1" applyAlignment="1">
      <alignment horizontal="center"/>
    </xf>
    <xf numFmtId="3" fontId="61" fillId="0" borderId="88" xfId="110" applyNumberFormat="1" applyFont="1" applyBorder="1" applyAlignment="1">
      <alignment horizontal="center"/>
    </xf>
    <xf numFmtId="3" fontId="61" fillId="0" borderId="91" xfId="110" applyNumberFormat="1" applyFont="1" applyBorder="1" applyAlignment="1">
      <alignment horizontal="center"/>
    </xf>
    <xf numFmtId="0" fontId="72" fillId="43" borderId="0" xfId="99" applyFont="1" applyFill="1" applyBorder="1" applyAlignment="1">
      <alignment horizontal="center"/>
    </xf>
    <xf numFmtId="0" fontId="72" fillId="45" borderId="23" xfId="99" applyFont="1" applyFill="1" applyBorder="1" applyAlignment="1">
      <alignment horizontal="center" vertical="center"/>
    </xf>
    <xf numFmtId="0" fontId="72" fillId="45" borderId="112" xfId="99" applyFont="1" applyFill="1" applyBorder="1" applyAlignment="1">
      <alignment horizontal="center" vertical="center"/>
    </xf>
    <xf numFmtId="0" fontId="72" fillId="45" borderId="23" xfId="99" applyFont="1" applyFill="1" applyBorder="1" applyAlignment="1">
      <alignment horizontal="left" vertical="center"/>
    </xf>
    <xf numFmtId="0" fontId="72" fillId="45" borderId="112" xfId="99" applyFont="1" applyFill="1" applyBorder="1" applyAlignment="1">
      <alignment horizontal="left" vertical="center"/>
    </xf>
    <xf numFmtId="0" fontId="72" fillId="45" borderId="42" xfId="99" applyFont="1" applyFill="1" applyBorder="1" applyAlignment="1">
      <alignment horizontal="center" wrapText="1"/>
    </xf>
    <xf numFmtId="0" fontId="72" fillId="45" borderId="43" xfId="99" applyFont="1" applyFill="1" applyBorder="1" applyAlignment="1">
      <alignment horizontal="center" wrapText="1"/>
    </xf>
    <xf numFmtId="0" fontId="75" fillId="0" borderId="0" xfId="99" applyFont="1" applyAlignment="1">
      <alignment horizontal="center"/>
    </xf>
    <xf numFmtId="0" fontId="73" fillId="0" borderId="0" xfId="99" applyFont="1" applyFill="1" applyBorder="1" applyAlignment="1">
      <alignment horizontal="left"/>
    </xf>
    <xf numFmtId="0" fontId="72" fillId="0" borderId="5" xfId="99" applyFont="1" applyFill="1" applyBorder="1" applyAlignment="1">
      <alignment horizontal="center" vertical="center"/>
    </xf>
    <xf numFmtId="164" fontId="73" fillId="0" borderId="102" xfId="99" applyNumberFormat="1" applyFont="1" applyFill="1" applyBorder="1" applyAlignment="1">
      <alignment horizontal="center" vertical="center"/>
    </xf>
    <xf numFmtId="164" fontId="73" fillId="0" borderId="107" xfId="99" applyNumberFormat="1" applyFont="1" applyFill="1" applyBorder="1" applyAlignment="1">
      <alignment horizontal="center" vertical="center"/>
    </xf>
    <xf numFmtId="164" fontId="73" fillId="0" borderId="103" xfId="99" applyNumberFormat="1" applyFont="1" applyFill="1" applyBorder="1" applyAlignment="1">
      <alignment horizontal="center" vertical="center"/>
    </xf>
    <xf numFmtId="0" fontId="72" fillId="0" borderId="42" xfId="99" applyFont="1" applyFill="1" applyBorder="1" applyAlignment="1">
      <alignment horizontal="center" vertical="center"/>
    </xf>
    <xf numFmtId="0" fontId="72" fillId="0" borderId="43" xfId="99" applyFont="1" applyFill="1" applyBorder="1" applyAlignment="1">
      <alignment horizontal="center" vertical="center"/>
    </xf>
    <xf numFmtId="0" fontId="72" fillId="0" borderId="44" xfId="99" applyFont="1" applyFill="1" applyBorder="1" applyAlignment="1">
      <alignment horizontal="center" vertical="center"/>
    </xf>
    <xf numFmtId="178" fontId="73" fillId="0" borderId="102" xfId="99" applyNumberFormat="1" applyFont="1" applyFill="1" applyBorder="1" applyAlignment="1">
      <alignment horizontal="center" vertical="center"/>
    </xf>
    <xf numFmtId="178" fontId="73" fillId="0" borderId="107" xfId="99" applyNumberFormat="1" applyFont="1" applyFill="1" applyBorder="1" applyAlignment="1">
      <alignment horizontal="center" vertical="center"/>
    </xf>
    <xf numFmtId="0" fontId="0" fillId="0" borderId="103" xfId="99" applyFont="1" applyBorder="1" applyAlignment="1">
      <alignment horizontal="center" vertical="center"/>
    </xf>
    <xf numFmtId="2" fontId="73" fillId="0" borderId="102" xfId="99" applyNumberFormat="1" applyFont="1" applyFill="1" applyBorder="1" applyAlignment="1">
      <alignment horizontal="center" vertical="center"/>
    </xf>
    <xf numFmtId="2" fontId="73" fillId="0" borderId="107" xfId="99" applyNumberFormat="1" applyFont="1" applyFill="1" applyBorder="1" applyAlignment="1">
      <alignment horizontal="center" vertical="center"/>
    </xf>
    <xf numFmtId="2" fontId="73" fillId="0" borderId="103" xfId="99" applyNumberFormat="1" applyFont="1" applyFill="1" applyBorder="1" applyAlignment="1">
      <alignment horizontal="center" vertical="center"/>
    </xf>
    <xf numFmtId="178" fontId="73" fillId="0" borderId="103" xfId="99" applyNumberFormat="1" applyFont="1" applyFill="1" applyBorder="1" applyAlignment="1">
      <alignment horizontal="center" vertical="center"/>
    </xf>
    <xf numFmtId="0" fontId="72" fillId="45" borderId="6" xfId="99" applyFont="1" applyFill="1" applyBorder="1" applyAlignment="1">
      <alignment horizontal="left"/>
    </xf>
    <xf numFmtId="0" fontId="72" fillId="45" borderId="46" xfId="99" applyFont="1" applyFill="1" applyBorder="1" applyAlignment="1">
      <alignment horizontal="left"/>
    </xf>
    <xf numFmtId="0" fontId="74" fillId="47" borderId="51" xfId="99" applyFont="1" applyFill="1" applyBorder="1" applyAlignment="1">
      <alignment horizontal="center" vertical="center"/>
    </xf>
    <xf numFmtId="0" fontId="72" fillId="43" borderId="54" xfId="99" applyFont="1" applyFill="1" applyBorder="1" applyAlignment="1">
      <alignment horizontal="center" vertical="center"/>
    </xf>
    <xf numFmtId="0" fontId="72" fillId="43" borderId="55" xfId="99" applyFont="1" applyFill="1" applyBorder="1" applyAlignment="1">
      <alignment horizontal="center" vertical="center"/>
    </xf>
    <xf numFmtId="0" fontId="0" fillId="43" borderId="72" xfId="99" applyFont="1" applyFill="1" applyBorder="1" applyAlignment="1">
      <alignment horizontal="center" vertical="center"/>
    </xf>
    <xf numFmtId="0" fontId="73" fillId="0" borderId="68" xfId="99" applyFont="1" applyBorder="1" applyAlignment="1">
      <alignment horizontal="center" vertical="center"/>
    </xf>
    <xf numFmtId="0" fontId="73" fillId="0" borderId="71" xfId="99" applyFont="1" applyBorder="1" applyAlignment="1">
      <alignment horizontal="center" vertical="center"/>
    </xf>
    <xf numFmtId="0" fontId="73" fillId="0" borderId="70" xfId="99" applyFont="1" applyBorder="1" applyAlignment="1"/>
    <xf numFmtId="0" fontId="21" fillId="43" borderId="102" xfId="99" applyFont="1" applyFill="1" applyBorder="1" applyAlignment="1">
      <alignment horizontal="center" vertical="center"/>
    </xf>
    <xf numFmtId="0" fontId="21" fillId="43" borderId="107" xfId="99" applyFont="1" applyFill="1" applyBorder="1" applyAlignment="1">
      <alignment horizontal="center" vertical="center"/>
    </xf>
    <xf numFmtId="0" fontId="21" fillId="30" borderId="92" xfId="99" applyFont="1" applyFill="1" applyBorder="1" applyAlignment="1">
      <alignment horizontal="center" vertical="center" wrapText="1"/>
    </xf>
    <xf numFmtId="0" fontId="21" fillId="30" borderId="93" xfId="99" applyFont="1" applyFill="1" applyBorder="1" applyAlignment="1">
      <alignment horizontal="center" vertical="center" wrapText="1"/>
    </xf>
    <xf numFmtId="0" fontId="72" fillId="43" borderId="110" xfId="99" applyFont="1" applyFill="1" applyBorder="1" applyAlignment="1">
      <alignment horizontal="center" vertical="center" wrapText="1"/>
    </xf>
    <xf numFmtId="0" fontId="72" fillId="43" borderId="24" xfId="99" applyFont="1" applyFill="1" applyBorder="1" applyAlignment="1">
      <alignment horizontal="center" vertical="center" wrapText="1"/>
    </xf>
    <xf numFmtId="0" fontId="0" fillId="43" borderId="109" xfId="99" applyFont="1" applyFill="1" applyBorder="1" applyAlignment="1"/>
    <xf numFmtId="0" fontId="72" fillId="0" borderId="106" xfId="106" applyFont="1" applyFill="1" applyBorder="1" applyAlignment="1">
      <alignment horizontal="center"/>
    </xf>
    <xf numFmtId="0" fontId="72" fillId="50" borderId="65" xfId="106" applyFont="1" applyFill="1" applyBorder="1" applyAlignment="1">
      <alignment horizontal="center" vertical="center"/>
    </xf>
    <xf numFmtId="0" fontId="72" fillId="50" borderId="48" xfId="106" applyFont="1" applyFill="1" applyBorder="1" applyAlignment="1">
      <alignment horizontal="center" vertical="center"/>
    </xf>
    <xf numFmtId="0" fontId="72" fillId="50" borderId="62" xfId="106" applyFont="1" applyFill="1" applyBorder="1" applyAlignment="1">
      <alignment horizontal="center" vertical="center"/>
    </xf>
    <xf numFmtId="0" fontId="21" fillId="50" borderId="102" xfId="99" applyFont="1" applyFill="1" applyBorder="1" applyAlignment="1">
      <alignment horizontal="center" vertical="center"/>
    </xf>
    <xf numFmtId="0" fontId="21" fillId="50" borderId="107" xfId="99" applyFont="1" applyFill="1" applyBorder="1" applyAlignment="1">
      <alignment horizontal="center" vertical="center"/>
    </xf>
    <xf numFmtId="0" fontId="21" fillId="0" borderId="107" xfId="99" applyFont="1" applyBorder="1" applyAlignment="1">
      <alignment horizontal="center" vertical="center"/>
    </xf>
    <xf numFmtId="0" fontId="72" fillId="50" borderId="54" xfId="106" applyFont="1" applyFill="1" applyBorder="1" applyAlignment="1">
      <alignment horizontal="center" vertical="center"/>
    </xf>
    <xf numFmtId="0" fontId="72" fillId="50" borderId="55" xfId="106" applyFont="1" applyFill="1" applyBorder="1" applyAlignment="1">
      <alignment horizontal="center" vertical="center"/>
    </xf>
    <xf numFmtId="0" fontId="72" fillId="50" borderId="72" xfId="106" applyFont="1" applyFill="1" applyBorder="1" applyAlignment="1">
      <alignment horizontal="center" vertical="center"/>
    </xf>
    <xf numFmtId="0" fontId="73" fillId="2" borderId="68" xfId="99" applyFont="1" applyFill="1" applyBorder="1" applyAlignment="1">
      <alignment horizontal="center" vertical="center"/>
    </xf>
    <xf numFmtId="0" fontId="73" fillId="0" borderId="70" xfId="99" applyFont="1" applyBorder="1" applyAlignment="1">
      <alignment horizontal="center" vertical="center"/>
    </xf>
    <xf numFmtId="0" fontId="72" fillId="50" borderId="110" xfId="99" applyFont="1" applyFill="1" applyBorder="1" applyAlignment="1">
      <alignment horizontal="center" vertical="center"/>
    </xf>
    <xf numFmtId="0" fontId="72" fillId="50" borderId="24" xfId="99" applyFont="1" applyFill="1" applyBorder="1" applyAlignment="1">
      <alignment horizontal="center" vertical="center"/>
    </xf>
    <xf numFmtId="0" fontId="0" fillId="50" borderId="109" xfId="99" applyFont="1" applyFill="1" applyBorder="1" applyAlignment="1"/>
    <xf numFmtId="183" fontId="73" fillId="0" borderId="68" xfId="99" applyNumberFormat="1" applyFont="1" applyFill="1" applyBorder="1" applyAlignment="1">
      <alignment horizontal="center" vertical="center"/>
    </xf>
    <xf numFmtId="183" fontId="73" fillId="0" borderId="71" xfId="99" applyNumberFormat="1" applyFont="1" applyFill="1" applyBorder="1" applyAlignment="1">
      <alignment horizontal="center" vertical="center"/>
    </xf>
    <xf numFmtId="0" fontId="78" fillId="50" borderId="109" xfId="99" applyFont="1" applyFill="1" applyBorder="1" applyAlignment="1"/>
    <xf numFmtId="0" fontId="72" fillId="39" borderId="65" xfId="106" applyFont="1" applyFill="1" applyBorder="1" applyAlignment="1">
      <alignment horizontal="center" vertical="center"/>
    </xf>
    <xf numFmtId="0" fontId="72" fillId="39" borderId="48" xfId="106" applyFont="1" applyFill="1" applyBorder="1" applyAlignment="1">
      <alignment horizontal="center" vertical="center"/>
    </xf>
    <xf numFmtId="0" fontId="72" fillId="39" borderId="62" xfId="106" applyFont="1" applyFill="1" applyBorder="1" applyAlignment="1">
      <alignment horizontal="center" vertical="center"/>
    </xf>
    <xf numFmtId="0" fontId="73" fillId="0" borderId="68" xfId="99" applyFont="1" applyFill="1" applyBorder="1" applyAlignment="1">
      <alignment horizontal="center" vertical="center"/>
    </xf>
    <xf numFmtId="0" fontId="73" fillId="0" borderId="71" xfId="99" applyFont="1" applyFill="1" applyBorder="1" applyAlignment="1">
      <alignment horizontal="center" vertical="center"/>
    </xf>
    <xf numFmtId="0" fontId="21" fillId="39" borderId="102" xfId="99" applyFont="1" applyFill="1" applyBorder="1" applyAlignment="1">
      <alignment horizontal="center" vertical="center" wrapText="1"/>
    </xf>
    <xf numFmtId="0" fontId="21" fillId="39" borderId="107" xfId="99" applyFont="1" applyFill="1" applyBorder="1" applyAlignment="1">
      <alignment horizontal="center" vertical="center" wrapText="1"/>
    </xf>
    <xf numFmtId="0" fontId="21" fillId="0" borderId="107" xfId="99" applyFont="1" applyBorder="1" applyAlignment="1">
      <alignment horizontal="center" vertical="center" wrapText="1"/>
    </xf>
    <xf numFmtId="0" fontId="72" fillId="39" borderId="65" xfId="106" applyFont="1" applyFill="1" applyBorder="1" applyAlignment="1">
      <alignment horizontal="center" vertical="center" wrapText="1"/>
    </xf>
    <xf numFmtId="0" fontId="72" fillId="39" borderId="48" xfId="106" applyFont="1" applyFill="1" applyBorder="1" applyAlignment="1">
      <alignment horizontal="center" vertical="center" wrapText="1"/>
    </xf>
    <xf numFmtId="0" fontId="72" fillId="39" borderId="62" xfId="106" applyFont="1" applyFill="1" applyBorder="1" applyAlignment="1">
      <alignment horizontal="center" vertical="center" wrapText="1"/>
    </xf>
    <xf numFmtId="0" fontId="72" fillId="0" borderId="106" xfId="99" applyFont="1" applyBorder="1" applyAlignment="1">
      <alignment horizontal="center"/>
    </xf>
    <xf numFmtId="0" fontId="73" fillId="0" borderId="65" xfId="99" applyFont="1" applyBorder="1" applyAlignment="1">
      <alignment horizontal="center" vertical="center"/>
    </xf>
    <xf numFmtId="0" fontId="73" fillId="0" borderId="62" xfId="99" applyFont="1" applyBorder="1" applyAlignment="1">
      <alignment horizontal="center" vertical="center"/>
    </xf>
    <xf numFmtId="0" fontId="73" fillId="0" borderId="48" xfId="99" applyFont="1" applyBorder="1" applyAlignment="1">
      <alignment horizontal="center" vertical="center"/>
    </xf>
    <xf numFmtId="184" fontId="73" fillId="0" borderId="68" xfId="99" applyNumberFormat="1" applyFont="1" applyFill="1" applyBorder="1" applyAlignment="1">
      <alignment horizontal="center" vertical="center"/>
    </xf>
    <xf numFmtId="0" fontId="11" fillId="0" borderId="47" xfId="99" applyFont="1" applyBorder="1" applyAlignment="1">
      <alignment horizontal="center" vertical="center"/>
    </xf>
    <xf numFmtId="4" fontId="73" fillId="0" borderId="48" xfId="99" applyNumberFormat="1" applyFont="1" applyFill="1" applyBorder="1" applyAlignment="1">
      <alignment horizontal="center" vertical="center"/>
    </xf>
    <xf numFmtId="0" fontId="19" fillId="0" borderId="48" xfId="99" applyFont="1" applyBorder="1" applyAlignment="1">
      <alignment horizontal="center" vertical="center"/>
    </xf>
    <xf numFmtId="0" fontId="19" fillId="0" borderId="62" xfId="99" applyFont="1" applyBorder="1" applyAlignment="1">
      <alignment horizontal="center" vertical="center"/>
    </xf>
    <xf numFmtId="0" fontId="73" fillId="0" borderId="53" xfId="99" applyFont="1" applyFill="1" applyBorder="1" applyAlignment="1">
      <alignment horizontal="center" vertical="center"/>
    </xf>
    <xf numFmtId="0" fontId="0" fillId="0" borderId="47" xfId="99" applyFont="1" applyBorder="1" applyAlignment="1">
      <alignment horizontal="center" vertical="center"/>
    </xf>
    <xf numFmtId="0" fontId="72" fillId="0" borderId="51" xfId="99" applyFont="1" applyBorder="1" applyAlignment="1">
      <alignment horizontal="center"/>
    </xf>
    <xf numFmtId="4" fontId="73" fillId="0" borderId="65" xfId="99" applyNumberFormat="1" applyFont="1" applyFill="1" applyBorder="1" applyAlignment="1">
      <alignment horizontal="center" vertical="center"/>
    </xf>
    <xf numFmtId="4" fontId="73" fillId="0" borderId="56" xfId="99" applyNumberFormat="1" applyFont="1" applyFill="1" applyBorder="1" applyAlignment="1">
      <alignment horizontal="center" vertical="center"/>
    </xf>
    <xf numFmtId="0" fontId="0" fillId="0" borderId="71" xfId="99" applyFont="1" applyBorder="1" applyAlignment="1">
      <alignment horizontal="center" vertical="center"/>
    </xf>
    <xf numFmtId="172" fontId="58" fillId="41" borderId="80" xfId="0" applyFont="1" applyFill="1" applyBorder="1" applyAlignment="1">
      <alignment horizontal="left" vertical="center" wrapText="1" indent="4"/>
    </xf>
    <xf numFmtId="172" fontId="58" fillId="41" borderId="76" xfId="0" applyFont="1" applyFill="1" applyBorder="1" applyAlignment="1">
      <alignment horizontal="left" vertical="center" wrapText="1" indent="4"/>
    </xf>
    <xf numFmtId="172" fontId="56" fillId="30" borderId="81" xfId="0" applyFont="1" applyFill="1" applyBorder="1" applyAlignment="1">
      <alignment horizontal="center" vertical="center" wrapText="1"/>
    </xf>
    <xf numFmtId="172" fontId="56" fillId="30" borderId="82" xfId="0" applyFont="1" applyFill="1" applyBorder="1" applyAlignment="1">
      <alignment horizontal="center" vertical="center" wrapText="1"/>
    </xf>
  </cellXfs>
  <cellStyles count="136">
    <cellStyle name="20% - Accent1 2" xfId="43"/>
    <cellStyle name="20% - Accent2 2" xfId="44"/>
    <cellStyle name="20% - Accent3 2" xfId="45"/>
    <cellStyle name="20% - Accent4 2" xfId="46"/>
    <cellStyle name="20% - Accent5 2" xfId="47"/>
    <cellStyle name="20% - Accent6 2" xfId="48"/>
    <cellStyle name="40% - Accent1 2" xfId="49"/>
    <cellStyle name="40% - Accent2 2" xfId="50"/>
    <cellStyle name="40% - Accent3 2" xfId="51"/>
    <cellStyle name="40% - Accent4 2" xfId="52"/>
    <cellStyle name="40% - Accent5 2" xfId="53"/>
    <cellStyle name="40% - Accent6 2" xfId="54"/>
    <cellStyle name="60% - Accent1 2" xfId="55"/>
    <cellStyle name="60% - Accent2 2" xfId="56"/>
    <cellStyle name="60% - Accent3 2" xfId="57"/>
    <cellStyle name="60% - Accent4 2" xfId="58"/>
    <cellStyle name="60% - Accent5 2" xfId="59"/>
    <cellStyle name="60% - Accent6 2" xfId="60"/>
    <cellStyle name="Accent1 2" xfId="61"/>
    <cellStyle name="Accent2 2" xfId="62"/>
    <cellStyle name="Accent3 2" xfId="63"/>
    <cellStyle name="Accent4 2" xfId="64"/>
    <cellStyle name="Accent5 2" xfId="65"/>
    <cellStyle name="Accent6 2" xfId="66"/>
    <cellStyle name="Bad 2" xfId="67"/>
    <cellStyle name="Cabecera 1" xfId="1"/>
    <cellStyle name="Cabecera 2" xfId="2"/>
    <cellStyle name="Calculation 2" xfId="68"/>
    <cellStyle name="Check Cell 2" xfId="69"/>
    <cellStyle name="Comma" xfId="38" builtinId="3"/>
    <cellStyle name="Comma [0]" xfId="96" builtinId="6"/>
    <cellStyle name="Comma [0] 2" xfId="129"/>
    <cellStyle name="Comma 2" xfId="121"/>
    <cellStyle name="Comma 3" xfId="135"/>
    <cellStyle name="Comma 4" xfId="114"/>
    <cellStyle name="Euro" xfId="3"/>
    <cellStyle name="Euro 2" xfId="112"/>
    <cellStyle name="Explanatory Text 2" xfId="70"/>
    <cellStyle name="F2" xfId="4"/>
    <cellStyle name="F3" xfId="5"/>
    <cellStyle name="F4" xfId="6"/>
    <cellStyle name="F5" xfId="7"/>
    <cellStyle name="F6" xfId="8"/>
    <cellStyle name="F7" xfId="9"/>
    <cellStyle name="F8" xfId="10"/>
    <cellStyle name="Fecha" xfId="11"/>
    <cellStyle name="Fijo" xfId="12"/>
    <cellStyle name="Good 2" xfId="71"/>
    <cellStyle name="Heading 1 2" xfId="72"/>
    <cellStyle name="Heading 2 2" xfId="73"/>
    <cellStyle name="Heading 3 2" xfId="74"/>
    <cellStyle name="Heading 4 2" xfId="75"/>
    <cellStyle name="Heading1" xfId="13"/>
    <cellStyle name="Heading2" xfId="14"/>
    <cellStyle name="Input 2" xfId="76"/>
    <cellStyle name="Linked Cell 2" xfId="77"/>
    <cellStyle name="Millares [0] 2" xfId="100"/>
    <cellStyle name="Millares [0] 2 2" xfId="132"/>
    <cellStyle name="Millares [0] 3" xfId="104"/>
    <cellStyle name="Millares 2" xfId="32"/>
    <cellStyle name="Millares 3" xfId="37"/>
    <cellStyle name="Millares 3 2" xfId="120"/>
    <cellStyle name="Millares 4" xfId="78"/>
    <cellStyle name="Millares 4 2" xfId="125"/>
    <cellStyle name="Millares 5" xfId="97"/>
    <cellStyle name="Millares 5 2" xfId="108"/>
    <cellStyle name="Millares 5 3" xfId="130"/>
    <cellStyle name="Millares 6" xfId="103"/>
    <cellStyle name="Moneda 2" xfId="101"/>
    <cellStyle name="Moneda 2 2" xfId="109"/>
    <cellStyle name="Moneda 2 3" xfId="133"/>
    <cellStyle name="Monetario" xfId="15"/>
    <cellStyle name="Monetario0" xfId="16"/>
    <cellStyle name="Neutral 2" xfId="79"/>
    <cellStyle name="Normal" xfId="0" builtinId="0"/>
    <cellStyle name="Normal 10" xfId="41"/>
    <cellStyle name="Normal 10 2" xfId="87"/>
    <cellStyle name="Normal 10 2 2" xfId="127"/>
    <cellStyle name="Normal 10 3" xfId="123"/>
    <cellStyle name="Normal 11" xfId="93"/>
    <cellStyle name="Normal 12" xfId="99"/>
    <cellStyle name="Normal 13" xfId="102"/>
    <cellStyle name="Normal 14" xfId="107"/>
    <cellStyle name="Normal 14 2" xfId="134"/>
    <cellStyle name="Normal 15" xfId="115"/>
    <cellStyle name="Normal 16" xfId="113"/>
    <cellStyle name="Normal 2" xfId="17"/>
    <cellStyle name="Normal 2 2" xfId="18"/>
    <cellStyle name="Normal 2 2 2" xfId="88"/>
    <cellStyle name="Normal 2 3" xfId="110"/>
    <cellStyle name="Normal 2_POA 18 meses" xfId="19"/>
    <cellStyle name="Normal 3" xfId="27"/>
    <cellStyle name="Normal 3 2" xfId="40"/>
    <cellStyle name="Normal 3 2 2" xfId="86"/>
    <cellStyle name="Normal 4" xfId="28"/>
    <cellStyle name="Normal 4 2" xfId="106"/>
    <cellStyle name="Normal 4 3" xfId="116"/>
    <cellStyle name="Normal 5" xfId="29"/>
    <cellStyle name="Normal 5 2" xfId="39"/>
    <cellStyle name="Normal 5 2 2" xfId="122"/>
    <cellStyle name="Normal 5 3" xfId="117"/>
    <cellStyle name="Normal 6" xfId="30"/>
    <cellStyle name="Normal 7" xfId="33"/>
    <cellStyle name="Normal 7 2" xfId="91"/>
    <cellStyle name="Normal 7 3" xfId="94"/>
    <cellStyle name="Normal 8" xfId="36"/>
    <cellStyle name="Normal 8 2" xfId="119"/>
    <cellStyle name="Normal 9" xfId="42"/>
    <cellStyle name="Normal 9 2" xfId="89"/>
    <cellStyle name="Normal 9 2 2" xfId="128"/>
    <cellStyle name="Normal 9 3" xfId="124"/>
    <cellStyle name="Normal_9. PA" xfId="92"/>
    <cellStyle name="Normal_PA_1" xfId="90"/>
    <cellStyle name="Normal_PEP" xfId="35"/>
    <cellStyle name="Normal_PEP 3" xfId="95"/>
    <cellStyle name="Note 2" xfId="80"/>
    <cellStyle name="Output 2" xfId="81"/>
    <cellStyle name="Porcentaje" xfId="111"/>
    <cellStyle name="Porcentaje 2" xfId="98"/>
    <cellStyle name="Porcentaje 2 2" xfId="131"/>
    <cellStyle name="Porcentaje 3" xfId="105"/>
    <cellStyle name="Porcentual 2" xfId="20"/>
    <cellStyle name="Porcentual 2 2" xfId="21"/>
    <cellStyle name="Porcentual 2 3" xfId="22"/>
    <cellStyle name="Porcentual 3" xfId="23"/>
    <cellStyle name="Porcentual 4" xfId="24"/>
    <cellStyle name="Porcentual 5" xfId="31"/>
    <cellStyle name="Porcentual 6" xfId="34"/>
    <cellStyle name="Porcentual 6 2" xfId="118"/>
    <cellStyle name="Porcentual 7" xfId="82"/>
    <cellStyle name="Porcentual 7 2" xfId="126"/>
    <cellStyle name="Punto" xfId="25"/>
    <cellStyle name="Punto0" xfId="26"/>
    <cellStyle name="Title 2" xfId="83"/>
    <cellStyle name="Total 2" xfId="84"/>
    <cellStyle name="Warning Text 2" xfId="85"/>
  </cellStyles>
  <dxfs count="0"/>
  <tableStyles count="0" defaultTableStyle="TableStyleMedium9" defaultPivotStyle="PivotStyleLight16"/>
  <colors>
    <mruColors>
      <color rgb="FF000066"/>
      <color rgb="FF0000FF"/>
      <color rgb="FF0033CC"/>
      <color rgb="FF0000CC"/>
      <color rgb="FF00FFFF"/>
      <color rgb="FF33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dLbls>
            <c:dLbl>
              <c:idx val="1"/>
              <c:layout>
                <c:manualLayout>
                  <c:x val="-3.2351242056614826E-2"/>
                  <c:y val="5.51724137931034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163489312536106E-2"/>
                  <c:y val="-6.43678160919540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7.6256499133449049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9283651068746386E-2"/>
                  <c:y val="-6.896551724137930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'9. PD A'!$B$8:$F$8</c:f>
              <c:strCache>
                <c:ptCount val="5"/>
                <c:pt idx="0">
                  <c:v>Año 1</c:v>
                </c:pt>
                <c:pt idx="1">
                  <c:v>Año 2</c:v>
                </c:pt>
                <c:pt idx="2">
                  <c:v>Año 3</c:v>
                </c:pt>
                <c:pt idx="3">
                  <c:v>Año 4</c:v>
                </c:pt>
                <c:pt idx="4">
                  <c:v>Año 5</c:v>
                </c:pt>
              </c:strCache>
            </c:strRef>
          </c:cat>
          <c:val>
            <c:numRef>
              <c:f>'9. PD A'!$B$10:$F$10</c:f>
              <c:numCache>
                <c:formatCode>_-* #,##0\ [$USD]_-;\-* #,##0\ [$USD]_-;_-* "-"\ [$USD]_-;_-@_-</c:formatCode>
                <c:ptCount val="5"/>
                <c:pt idx="0">
                  <c:v>3478610</c:v>
                </c:pt>
                <c:pt idx="1">
                  <c:v>23607495.800000001</c:v>
                </c:pt>
                <c:pt idx="2">
                  <c:v>51220338</c:v>
                </c:pt>
                <c:pt idx="3">
                  <c:v>60167650</c:v>
                </c:pt>
                <c:pt idx="4">
                  <c:v>62000000</c:v>
                </c:pt>
              </c:numCache>
            </c:numRef>
          </c:val>
          <c:smooth val="0"/>
        </c:ser>
        <c:dLbls>
          <c:showLegendKey val="0"/>
          <c:showVal val="0"/>
          <c:showCatName val="0"/>
          <c:showSerName val="0"/>
          <c:showPercent val="0"/>
          <c:showBubbleSize val="0"/>
        </c:dLbls>
        <c:marker val="1"/>
        <c:smooth val="0"/>
        <c:axId val="96215808"/>
        <c:axId val="96217344"/>
      </c:lineChart>
      <c:catAx>
        <c:axId val="96215808"/>
        <c:scaling>
          <c:orientation val="minMax"/>
        </c:scaling>
        <c:delete val="0"/>
        <c:axPos val="b"/>
        <c:numFmt formatCode="General" sourceLinked="0"/>
        <c:majorTickMark val="out"/>
        <c:minorTickMark val="none"/>
        <c:tickLblPos val="nextTo"/>
        <c:crossAx val="96217344"/>
        <c:crosses val="autoZero"/>
        <c:auto val="1"/>
        <c:lblAlgn val="ctr"/>
        <c:lblOffset val="100"/>
        <c:noMultiLvlLbl val="0"/>
      </c:catAx>
      <c:valAx>
        <c:axId val="96217344"/>
        <c:scaling>
          <c:orientation val="minMax"/>
        </c:scaling>
        <c:delete val="0"/>
        <c:axPos val="l"/>
        <c:numFmt formatCode="_-* #,##0\ [$USD]_-;\-* #,##0\ [$USD]_-;_-* &quot;-&quot;\ [$USD]_-;_-@_-" sourceLinked="1"/>
        <c:majorTickMark val="out"/>
        <c:minorTickMark val="none"/>
        <c:tickLblPos val="nextTo"/>
        <c:crossAx val="96215808"/>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74969191467547902"/>
          <c:y val="2.6213025796045794E-3"/>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98552832"/>
        <c:axId val="120714368"/>
      </c:scatterChart>
      <c:valAx>
        <c:axId val="98552832"/>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0714368"/>
        <c:crosses val="autoZero"/>
        <c:crossBetween val="midCat"/>
        <c:majorUnit val="1"/>
      </c:valAx>
      <c:valAx>
        <c:axId val="120714368"/>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552832"/>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93"/>
          <c:y val="3.1578947368421262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121977472"/>
        <c:axId val="122149120"/>
      </c:scatterChart>
      <c:valAx>
        <c:axId val="121977472"/>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2149120"/>
        <c:crosses val="autoZero"/>
        <c:crossBetween val="midCat"/>
        <c:majorUnit val="1"/>
      </c:valAx>
      <c:valAx>
        <c:axId val="12214912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21977472"/>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8023522691679479"/>
          <c:y val="0.1220719833572798"/>
        </c:manualLayout>
      </c:layout>
      <c:overlay val="0"/>
      <c:spPr>
        <a:noFill/>
        <a:ln w="25400">
          <a:noFill/>
        </a:ln>
      </c:spPr>
    </c:title>
    <c:autoTitleDeleted val="0"/>
    <c:plotArea>
      <c:layout>
        <c:manualLayout>
          <c:layoutTarget val="inner"/>
          <c:xMode val="edge"/>
          <c:yMode val="edge"/>
          <c:x val="6.2851811153247006E-2"/>
          <c:y val="0.13421052631578917"/>
          <c:w val="0.75985025424074604"/>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G1'!$C$18:$C$33</c:f>
              <c:numCache>
                <c:formatCode>0.00%</c:formatCode>
                <c:ptCount val="16"/>
                <c:pt idx="0">
                  <c:v>0</c:v>
                </c:pt>
                <c:pt idx="1">
                  <c:v>2.5000000000000001E-2</c:v>
                </c:pt>
                <c:pt idx="2">
                  <c:v>5.5E-2</c:v>
                </c:pt>
                <c:pt idx="3">
                  <c:v>0.09</c:v>
                </c:pt>
                <c:pt idx="4">
                  <c:v>0.14000000000000001</c:v>
                </c:pt>
                <c:pt idx="5">
                  <c:v>0.19</c:v>
                </c:pt>
                <c:pt idx="6">
                  <c:v>0.28000000000000003</c:v>
                </c:pt>
                <c:pt idx="7">
                  <c:v>0.38</c:v>
                </c:pt>
                <c:pt idx="8">
                  <c:v>0.48</c:v>
                </c:pt>
                <c:pt idx="9">
                  <c:v>0.59</c:v>
                </c:pt>
                <c:pt idx="10">
                  <c:v>0.7</c:v>
                </c:pt>
                <c:pt idx="11">
                  <c:v>0.79999999999999993</c:v>
                </c:pt>
                <c:pt idx="12">
                  <c:v>0.87999999999999989</c:v>
                </c:pt>
                <c:pt idx="13">
                  <c:v>0.94</c:v>
                </c:pt>
                <c:pt idx="14">
                  <c:v>0.98</c:v>
                </c:pt>
                <c:pt idx="15">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G1'!$F$18:$F$33</c:f>
              <c:numCache>
                <c:formatCode>0.00%</c:formatCode>
                <c:ptCount val="16"/>
                <c:pt idx="0">
                  <c:v>0.2999999564270216</c:v>
                </c:pt>
                <c:pt idx="1">
                  <c:v>0.31750002650689518</c:v>
                </c:pt>
                <c:pt idx="2">
                  <c:v>0.3385000234567867</c:v>
                </c:pt>
                <c:pt idx="3">
                  <c:v>0.36300009251995752</c:v>
                </c:pt>
                <c:pt idx="4">
                  <c:v>0.39800008743644338</c:v>
                </c:pt>
                <c:pt idx="5">
                  <c:v>0.43300008235292919</c:v>
                </c:pt>
                <c:pt idx="6">
                  <c:v>0.49600007320260375</c:v>
                </c:pt>
                <c:pt idx="7">
                  <c:v>0.56600006303557548</c:v>
                </c:pt>
                <c:pt idx="8">
                  <c:v>0.63600005286854711</c:v>
                </c:pt>
                <c:pt idx="9">
                  <c:v>0.71300004168481601</c:v>
                </c:pt>
                <c:pt idx="10">
                  <c:v>0.79000003050108492</c:v>
                </c:pt>
                <c:pt idx="11">
                  <c:v>0.86000002033405665</c:v>
                </c:pt>
                <c:pt idx="12">
                  <c:v>0.91600001220043392</c:v>
                </c:pt>
                <c:pt idx="13">
                  <c:v>0.95800000610021696</c:v>
                </c:pt>
                <c:pt idx="14">
                  <c:v>0.98600000203340565</c:v>
                </c:pt>
                <c:pt idx="15">
                  <c:v>1</c:v>
                </c:pt>
              </c:numCache>
            </c:numRef>
          </c:yVal>
          <c:smooth val="1"/>
        </c:ser>
        <c:dLbls>
          <c:showLegendKey val="0"/>
          <c:showVal val="0"/>
          <c:showCatName val="0"/>
          <c:showSerName val="0"/>
          <c:showPercent val="0"/>
          <c:showBubbleSize val="0"/>
        </c:dLbls>
        <c:axId val="180250112"/>
        <c:axId val="198223360"/>
      </c:scatterChart>
      <c:valAx>
        <c:axId val="180250112"/>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98223360"/>
        <c:crosses val="autoZero"/>
        <c:crossBetween val="midCat"/>
        <c:majorUnit val="1"/>
      </c:valAx>
      <c:valAx>
        <c:axId val="19822336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80250112"/>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 footer="0"/>
    <c:pageSetup paperSize="9" orientation="landscape" horizontalDpi="-1"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6"/>
          <c:y val="3.1578947368421248E-2"/>
        </c:manualLayout>
      </c:layout>
      <c:overlay val="0"/>
      <c:spPr>
        <a:noFill/>
        <a:ln w="25400">
          <a:noFill/>
        </a:ln>
      </c:spPr>
    </c:title>
    <c:autoTitleDeleted val="0"/>
    <c:plotArea>
      <c:layout>
        <c:manualLayout>
          <c:layoutTarget val="inner"/>
          <c:xMode val="edge"/>
          <c:yMode val="edge"/>
          <c:x val="6.2851811153247006E-2"/>
          <c:y val="0.13421052631578917"/>
          <c:w val="0.75985025424074604"/>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G1'!$C$18:$C$33</c:f>
              <c:numCache>
                <c:formatCode>0.00%</c:formatCode>
                <c:ptCount val="16"/>
                <c:pt idx="0">
                  <c:v>0</c:v>
                </c:pt>
                <c:pt idx="1">
                  <c:v>2.5000000000000001E-2</c:v>
                </c:pt>
                <c:pt idx="2">
                  <c:v>5.5E-2</c:v>
                </c:pt>
                <c:pt idx="3">
                  <c:v>0.09</c:v>
                </c:pt>
                <c:pt idx="4">
                  <c:v>0.14000000000000001</c:v>
                </c:pt>
                <c:pt idx="5">
                  <c:v>0.19</c:v>
                </c:pt>
                <c:pt idx="6">
                  <c:v>0.28000000000000003</c:v>
                </c:pt>
                <c:pt idx="7">
                  <c:v>0.38</c:v>
                </c:pt>
                <c:pt idx="8">
                  <c:v>0.48</c:v>
                </c:pt>
                <c:pt idx="9">
                  <c:v>0.59</c:v>
                </c:pt>
                <c:pt idx="10">
                  <c:v>0.7</c:v>
                </c:pt>
                <c:pt idx="11">
                  <c:v>0.79999999999999993</c:v>
                </c:pt>
                <c:pt idx="12">
                  <c:v>0.87999999999999989</c:v>
                </c:pt>
                <c:pt idx="13">
                  <c:v>0.94</c:v>
                </c:pt>
                <c:pt idx="14">
                  <c:v>0.98</c:v>
                </c:pt>
                <c:pt idx="15">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G1'!$A$18:$A$33</c:f>
              <c:numCache>
                <c:formatCode>General</c:formatCode>
                <c:ptCount val="1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numCache>
            </c:numRef>
          </c:xVal>
          <c:yVal>
            <c:numRef>
              <c:f>'Puentes G1'!$F$18:$F$33</c:f>
              <c:numCache>
                <c:formatCode>0.00%</c:formatCode>
                <c:ptCount val="16"/>
                <c:pt idx="0">
                  <c:v>0.2999999564270216</c:v>
                </c:pt>
                <c:pt idx="1">
                  <c:v>0.31750002650689518</c:v>
                </c:pt>
                <c:pt idx="2">
                  <c:v>0.3385000234567867</c:v>
                </c:pt>
                <c:pt idx="3">
                  <c:v>0.36300009251995752</c:v>
                </c:pt>
                <c:pt idx="4">
                  <c:v>0.39800008743644338</c:v>
                </c:pt>
                <c:pt idx="5">
                  <c:v>0.43300008235292919</c:v>
                </c:pt>
                <c:pt idx="6">
                  <c:v>0.49600007320260375</c:v>
                </c:pt>
                <c:pt idx="7">
                  <c:v>0.56600006303557548</c:v>
                </c:pt>
                <c:pt idx="8">
                  <c:v>0.63600005286854711</c:v>
                </c:pt>
                <c:pt idx="9">
                  <c:v>0.71300004168481601</c:v>
                </c:pt>
                <c:pt idx="10">
                  <c:v>0.79000003050108492</c:v>
                </c:pt>
                <c:pt idx="11">
                  <c:v>0.86000002033405665</c:v>
                </c:pt>
                <c:pt idx="12">
                  <c:v>0.91600001220043392</c:v>
                </c:pt>
                <c:pt idx="13">
                  <c:v>0.95800000610021696</c:v>
                </c:pt>
                <c:pt idx="14">
                  <c:v>0.98600000203340565</c:v>
                </c:pt>
                <c:pt idx="15">
                  <c:v>1</c:v>
                </c:pt>
              </c:numCache>
            </c:numRef>
          </c:yVal>
          <c:smooth val="1"/>
        </c:ser>
        <c:dLbls>
          <c:showLegendKey val="0"/>
          <c:showVal val="0"/>
          <c:showCatName val="0"/>
          <c:showSerName val="0"/>
          <c:showPercent val="0"/>
          <c:showBubbleSize val="0"/>
        </c:dLbls>
        <c:axId val="98312960"/>
        <c:axId val="98314880"/>
      </c:scatterChart>
      <c:valAx>
        <c:axId val="98312960"/>
        <c:scaling>
          <c:orientation val="minMax"/>
          <c:max val="1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314880"/>
        <c:crosses val="autoZero"/>
        <c:crossBetween val="midCat"/>
        <c:majorUnit val="1"/>
      </c:valAx>
      <c:valAx>
        <c:axId val="9831488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312960"/>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 footer="0"/>
    <c:pageSetup paperSize="9" orientation="landscape" horizontalDpi="-1"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6"/>
          <c:y val="3.1578947368421248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'Puentes G2'!$A$18:$A$38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'Puentes G2'!$C$18:$C$38</c:f>
              <c:numCache>
                <c:formatCode>0.00%</c:formatCode>
                <c:ptCount val="21"/>
                <c:pt idx="0">
                  <c:v>0</c:v>
                </c:pt>
                <c:pt idx="1">
                  <c:v>0.02</c:v>
                </c:pt>
                <c:pt idx="2">
                  <c:v>4.4999999999999998E-2</c:v>
                </c:pt>
                <c:pt idx="3">
                  <c:v>7.4999999999999997E-2</c:v>
                </c:pt>
                <c:pt idx="4">
                  <c:v>0.11</c:v>
                </c:pt>
                <c:pt idx="5">
                  <c:v>0.15</c:v>
                </c:pt>
                <c:pt idx="6">
                  <c:v>0.2</c:v>
                </c:pt>
                <c:pt idx="7">
                  <c:v>0.25</c:v>
                </c:pt>
                <c:pt idx="8">
                  <c:v>0.31</c:v>
                </c:pt>
                <c:pt idx="9">
                  <c:v>0.38</c:v>
                </c:pt>
                <c:pt idx="10">
                  <c:v>0.46</c:v>
                </c:pt>
                <c:pt idx="11">
                  <c:v>0.54</c:v>
                </c:pt>
                <c:pt idx="12">
                  <c:v>0.6100000000000001</c:v>
                </c:pt>
                <c:pt idx="13">
                  <c:v>0.68000000000000016</c:v>
                </c:pt>
                <c:pt idx="14">
                  <c:v>0.74000000000000021</c:v>
                </c:pt>
                <c:pt idx="15">
                  <c:v>0.80000000000000027</c:v>
                </c:pt>
                <c:pt idx="16">
                  <c:v>0.85000000000000031</c:v>
                </c:pt>
                <c:pt idx="17">
                  <c:v>0.90000000000000036</c:v>
                </c:pt>
                <c:pt idx="18">
                  <c:v>0.94000000000000039</c:v>
                </c:pt>
                <c:pt idx="19">
                  <c:v>0.98000000000000043</c:v>
                </c:pt>
                <c:pt idx="20">
                  <c:v>1.0000000000000004</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'Puentes G2'!$A$18:$A$38</c:f>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xVal>
          <c:yVal>
            <c:numRef>
              <c:f>'Puentes G2'!$F$18:$F$38</c:f>
              <c:numCache>
                <c:formatCode>0.00%</c:formatCode>
                <c:ptCount val="21"/>
                <c:pt idx="0">
                  <c:v>9.9999969834096578E-2</c:v>
                </c:pt>
                <c:pt idx="1">
                  <c:v>0.11799996440423396</c:v>
                </c:pt>
                <c:pt idx="2">
                  <c:v>0.1405001084464228</c:v>
                </c:pt>
                <c:pt idx="3">
                  <c:v>0.16750010030162887</c:v>
                </c:pt>
                <c:pt idx="4">
                  <c:v>0.19900024162888638</c:v>
                </c:pt>
                <c:pt idx="5">
                  <c:v>0.23500023076916116</c:v>
                </c:pt>
                <c:pt idx="6">
                  <c:v>0.28000021719450463</c:v>
                </c:pt>
                <c:pt idx="7">
                  <c:v>0.3250002036198481</c:v>
                </c:pt>
                <c:pt idx="8">
                  <c:v>0.37900018733026025</c:v>
                </c:pt>
                <c:pt idx="9">
                  <c:v>0.44200016832574107</c:v>
                </c:pt>
                <c:pt idx="10">
                  <c:v>0.51400014660629056</c:v>
                </c:pt>
                <c:pt idx="11">
                  <c:v>0.58600012488684017</c:v>
                </c:pt>
                <c:pt idx="12">
                  <c:v>0.64900010588232104</c:v>
                </c:pt>
                <c:pt idx="13">
                  <c:v>0.71200008687780181</c:v>
                </c:pt>
                <c:pt idx="14">
                  <c:v>0.76600007058821395</c:v>
                </c:pt>
                <c:pt idx="15">
                  <c:v>0.8200000542986261</c:v>
                </c:pt>
                <c:pt idx="16">
                  <c:v>0.86500004072396963</c:v>
                </c:pt>
                <c:pt idx="17">
                  <c:v>0.91000002714931305</c:v>
                </c:pt>
                <c:pt idx="18">
                  <c:v>0.94600001628958785</c:v>
                </c:pt>
                <c:pt idx="19">
                  <c:v>0.98200000542986265</c:v>
                </c:pt>
                <c:pt idx="20">
                  <c:v>1</c:v>
                </c:pt>
              </c:numCache>
            </c:numRef>
          </c:yVal>
          <c:smooth val="1"/>
        </c:ser>
        <c:dLbls>
          <c:showLegendKey val="0"/>
          <c:showVal val="0"/>
          <c:showCatName val="0"/>
          <c:showSerName val="0"/>
          <c:showPercent val="0"/>
          <c:showBubbleSize val="0"/>
        </c:dLbls>
        <c:axId val="98423552"/>
        <c:axId val="98425472"/>
      </c:scatterChart>
      <c:valAx>
        <c:axId val="98423552"/>
        <c:scaling>
          <c:orientation val="minMax"/>
          <c:max val="2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425472"/>
        <c:crosses val="autoZero"/>
        <c:crossBetween val="midCat"/>
        <c:majorUnit val="1"/>
      </c:valAx>
      <c:valAx>
        <c:axId val="98425472"/>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423552"/>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382"/>
          <c:y val="0.41052631578947646"/>
          <c:w val="0.15009390711714596"/>
          <c:h val="0.12368421052631624"/>
        </c:manualLayout>
      </c:layout>
      <c:overlay val="0"/>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es-ES"/>
              <a:t>Curva de Avance Físico - Financiero</a:t>
            </a:r>
          </a:p>
        </c:rich>
      </c:tx>
      <c:layout>
        <c:manualLayout>
          <c:xMode val="edge"/>
          <c:yMode val="edge"/>
          <c:x val="0.37898706376525093"/>
          <c:y val="3.1578947368421262E-2"/>
        </c:manualLayout>
      </c:layout>
      <c:overlay val="0"/>
      <c:spPr>
        <a:noFill/>
        <a:ln w="25400">
          <a:noFill/>
        </a:ln>
      </c:spPr>
    </c:title>
    <c:autoTitleDeleted val="0"/>
    <c:plotArea>
      <c:layout>
        <c:manualLayout>
          <c:layoutTarget val="inner"/>
          <c:xMode val="edge"/>
          <c:yMode val="edge"/>
          <c:x val="6.2851811153247034E-2"/>
          <c:y val="0.13421052631578917"/>
          <c:w val="0.75985025424074626"/>
          <c:h val="0.73421052631578965"/>
        </c:manualLayout>
      </c:layout>
      <c:scatterChart>
        <c:scatterStyle val="smoothMarker"/>
        <c:varyColors val="0"/>
        <c:ser>
          <c:idx val="0"/>
          <c:order val="0"/>
          <c:tx>
            <c:v>Avance Fisico</c:v>
          </c:tx>
          <c:spPr>
            <a:ln w="12700">
              <a:solidFill>
                <a:srgbClr val="000080"/>
              </a:solidFill>
              <a:prstDash val="solid"/>
            </a:ln>
          </c:spPr>
          <c:marker>
            <c:symbol val="diamond"/>
            <c:size val="5"/>
            <c:spPr>
              <a:solidFill>
                <a:srgbClr val="000080"/>
              </a:solidFill>
              <a:ln>
                <a:solidFill>
                  <a:srgbClr val="000080"/>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G1'!$C$18:$C$36</c:f>
              <c:numCache>
                <c:formatCode>0.00%</c:formatCode>
                <c:ptCount val="19"/>
                <c:pt idx="0">
                  <c:v>0</c:v>
                </c:pt>
                <c:pt idx="1">
                  <c:v>2.5000000000000001E-2</c:v>
                </c:pt>
                <c:pt idx="2">
                  <c:v>5.5E-2</c:v>
                </c:pt>
                <c:pt idx="3">
                  <c:v>0.09</c:v>
                </c:pt>
                <c:pt idx="4">
                  <c:v>0.14000000000000001</c:v>
                </c:pt>
                <c:pt idx="5">
                  <c:v>0.19</c:v>
                </c:pt>
                <c:pt idx="6">
                  <c:v>0.28000000000000003</c:v>
                </c:pt>
                <c:pt idx="7">
                  <c:v>0.37</c:v>
                </c:pt>
                <c:pt idx="8">
                  <c:v>0.47</c:v>
                </c:pt>
                <c:pt idx="9">
                  <c:v>0.56999999999999995</c:v>
                </c:pt>
                <c:pt idx="10">
                  <c:v>0.66999999999999993</c:v>
                </c:pt>
                <c:pt idx="11">
                  <c:v>0.76999999999999991</c:v>
                </c:pt>
                <c:pt idx="12">
                  <c:v>0.84999999999999987</c:v>
                </c:pt>
                <c:pt idx="13">
                  <c:v>0.90999999999999992</c:v>
                </c:pt>
                <c:pt idx="14">
                  <c:v>0.95</c:v>
                </c:pt>
                <c:pt idx="15">
                  <c:v>0.97</c:v>
                </c:pt>
                <c:pt idx="16">
                  <c:v>0.98</c:v>
                </c:pt>
                <c:pt idx="17">
                  <c:v>0.99</c:v>
                </c:pt>
                <c:pt idx="18">
                  <c:v>1</c:v>
                </c:pt>
              </c:numCache>
            </c:numRef>
          </c:yVal>
          <c:smooth val="1"/>
        </c:ser>
        <c:ser>
          <c:idx val="1"/>
          <c:order val="1"/>
          <c:tx>
            <c:v>Avance Financiero</c:v>
          </c:tx>
          <c:spPr>
            <a:ln w="12700">
              <a:solidFill>
                <a:srgbClr val="FF00FF"/>
              </a:solidFill>
              <a:prstDash val="solid"/>
            </a:ln>
          </c:spPr>
          <c:marker>
            <c:symbol val="square"/>
            <c:size val="5"/>
            <c:spPr>
              <a:solidFill>
                <a:srgbClr val="FF00FF"/>
              </a:solidFill>
              <a:ln>
                <a:solidFill>
                  <a:srgbClr val="FF00FF"/>
                </a:solidFill>
                <a:prstDash val="solid"/>
              </a:ln>
            </c:spPr>
          </c:marker>
          <c:xVal>
            <c:numRef>
              <c:f>'Caminos G1'!$A$18:$A$36</c:f>
              <c:numCache>
                <c:formatCode>General</c:formatCode>
                <c:ptCount val="19"/>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numCache>
            </c:numRef>
          </c:xVal>
          <c:yVal>
            <c:numRef>
              <c:f>'Caminos G1'!$F$18:$F$36</c:f>
              <c:numCache>
                <c:formatCode>0.00%</c:formatCode>
                <c:ptCount val="19"/>
                <c:pt idx="0">
                  <c:v>0.2</c:v>
                </c:pt>
                <c:pt idx="1">
                  <c:v>0.22</c:v>
                </c:pt>
                <c:pt idx="2">
                  <c:v>0.24399999999999999</c:v>
                </c:pt>
                <c:pt idx="3">
                  <c:v>0.27200000000000002</c:v>
                </c:pt>
                <c:pt idx="4">
                  <c:v>0.312</c:v>
                </c:pt>
                <c:pt idx="5">
                  <c:v>0.35199999999999998</c:v>
                </c:pt>
                <c:pt idx="6">
                  <c:v>0.42399999999999999</c:v>
                </c:pt>
                <c:pt idx="7">
                  <c:v>0.496</c:v>
                </c:pt>
                <c:pt idx="8">
                  <c:v>0.57599999999999996</c:v>
                </c:pt>
                <c:pt idx="9">
                  <c:v>0.65600000000000003</c:v>
                </c:pt>
                <c:pt idx="10">
                  <c:v>0.73599999999999999</c:v>
                </c:pt>
                <c:pt idx="11">
                  <c:v>0.81599999999999995</c:v>
                </c:pt>
                <c:pt idx="12">
                  <c:v>0.88</c:v>
                </c:pt>
                <c:pt idx="13">
                  <c:v>0.92800000000000005</c:v>
                </c:pt>
                <c:pt idx="14">
                  <c:v>0.96</c:v>
                </c:pt>
                <c:pt idx="15">
                  <c:v>0.97599999999999998</c:v>
                </c:pt>
                <c:pt idx="16">
                  <c:v>0.98399999999999999</c:v>
                </c:pt>
                <c:pt idx="17">
                  <c:v>0.99199999999999999</c:v>
                </c:pt>
                <c:pt idx="18">
                  <c:v>1</c:v>
                </c:pt>
              </c:numCache>
            </c:numRef>
          </c:yVal>
          <c:smooth val="1"/>
        </c:ser>
        <c:dLbls>
          <c:showLegendKey val="0"/>
          <c:showVal val="0"/>
          <c:showCatName val="0"/>
          <c:showSerName val="0"/>
          <c:showPercent val="0"/>
          <c:showBubbleSize val="0"/>
        </c:dLbls>
        <c:axId val="98477952"/>
        <c:axId val="98492416"/>
      </c:scatterChart>
      <c:valAx>
        <c:axId val="98477952"/>
        <c:scaling>
          <c:orientation val="minMax"/>
          <c:max val="18"/>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492416"/>
        <c:crosses val="autoZero"/>
        <c:crossBetween val="midCat"/>
        <c:majorUnit val="1"/>
      </c:valAx>
      <c:valAx>
        <c:axId val="9849241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98477952"/>
        <c:crosses val="autoZero"/>
        <c:crossBetween val="midCat"/>
      </c:valAx>
      <c:spPr>
        <a:solidFill>
          <a:srgbClr val="FFFFFF"/>
        </a:solidFill>
        <a:ln w="12700">
          <a:solidFill>
            <a:srgbClr val="808080"/>
          </a:solidFill>
          <a:prstDash val="solid"/>
        </a:ln>
      </c:spPr>
    </c:plotArea>
    <c:legend>
      <c:legendPos val="r"/>
      <c:layout>
        <c:manualLayout>
          <c:xMode val="edge"/>
          <c:yMode val="edge"/>
          <c:x val="0.83771146336539404"/>
          <c:y val="0.41052631578947668"/>
          <c:w val="0.15009390711714601"/>
          <c:h val="0.12368421052631627"/>
        </c:manualLayout>
      </c:layou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 footer="0"/>
    <c:pageSetup paperSize="9" orientation="landscape" horizontalDpi="-1"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8</xdr:col>
      <xdr:colOff>761999</xdr:colOff>
      <xdr:row>0</xdr:row>
      <xdr:rowOff>0</xdr:rowOff>
    </xdr:from>
    <xdr:to>
      <xdr:col>31</xdr:col>
      <xdr:colOff>571499</xdr:colOff>
      <xdr:row>39</xdr:row>
      <xdr:rowOff>135203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6857999" y="0"/>
          <a:ext cx="16872857" cy="6503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523874</xdr:colOff>
      <xdr:row>12</xdr:row>
      <xdr:rowOff>9525</xdr:rowOff>
    </xdr:from>
    <xdr:to>
      <xdr:col>7</xdr:col>
      <xdr:colOff>161924</xdr:colOff>
      <xdr:row>30</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357188</xdr:colOff>
      <xdr:row>4</xdr:row>
      <xdr:rowOff>9525</xdr:rowOff>
    </xdr:from>
    <xdr:to>
      <xdr:col>24</xdr:col>
      <xdr:colOff>190501</xdr:colOff>
      <xdr:row>25</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297656</xdr:colOff>
      <xdr:row>15</xdr:row>
      <xdr:rowOff>69056</xdr:rowOff>
    </xdr:from>
    <xdr:to>
      <xdr:col>21</xdr:col>
      <xdr:colOff>333375</xdr:colOff>
      <xdr:row>34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9525</xdr:rowOff>
    </xdr:from>
    <xdr:to>
      <xdr:col>10</xdr:col>
      <xdr:colOff>0</xdr:colOff>
      <xdr:row>59</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268941</xdr:colOff>
      <xdr:row>87</xdr:row>
      <xdr:rowOff>99172</xdr:rowOff>
    </xdr:from>
    <xdr:to>
      <xdr:col>24</xdr:col>
      <xdr:colOff>179294</xdr:colOff>
      <xdr:row>107</xdr:row>
      <xdr:rowOff>156322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336176</xdr:colOff>
      <xdr:row>63</xdr:row>
      <xdr:rowOff>31937</xdr:rowOff>
    </xdr:from>
    <xdr:to>
      <xdr:col>20</xdr:col>
      <xdr:colOff>717176</xdr:colOff>
      <xdr:row>83</xdr:row>
      <xdr:rowOff>89086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39</xdr:row>
      <xdr:rowOff>9525</xdr:rowOff>
    </xdr:from>
    <xdr:to>
      <xdr:col>10</xdr:col>
      <xdr:colOff>0</xdr:colOff>
      <xdr:row>61</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P%20post%20QR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ce%20%20von%20B/Downloads/Caminos%20y%20Puentes%20Operaci&#243;n%20PR-L10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
      <sheetName val="1.EDT"/>
      <sheetName val="2.MdR"/>
      <sheetName val="3. PEP"/>
      <sheetName val="4. CC D"/>
      <sheetName val="5. CC R-1"/>
      <sheetName val="6. PF M BID"/>
      <sheetName val="7. PF A BID"/>
      <sheetName val="8. Ejecucion por producto"/>
      <sheetName val="9. PD A"/>
      <sheetName val="10. PA"/>
      <sheetName val="11. PAI"/>
      <sheetName val="12. POA año 1"/>
      <sheetName val="caledario"/>
      <sheetName val="12.1 CAMINOS"/>
      <sheetName val="12.2 PUENTES"/>
      <sheetName val="Caminos G1"/>
      <sheetName val="Fisc CG1"/>
      <sheetName val="Camino G2"/>
      <sheetName val="Fisc CG2"/>
      <sheetName val="Puentes G1"/>
      <sheetName val="Fisca PG1"/>
      <sheetName val="Puentes G2"/>
      <sheetName val="12.8 Mantenimiento"/>
      <sheetName val="Fisc PG2"/>
      <sheetName val="MANT. 504,90 km"/>
      <sheetName val="CRONOG FISICO-FINANCIERO"/>
      <sheetName val="12.3Mitigación"/>
    </sheetNames>
    <sheetDataSet>
      <sheetData sheetId="0" refreshError="1"/>
      <sheetData sheetId="1" refreshError="1"/>
      <sheetData sheetId="2" refreshError="1"/>
      <sheetData sheetId="3">
        <row r="28">
          <cell r="D28" t="str">
            <v>T2 - Año 1</v>
          </cell>
          <cell r="E28" t="str">
            <v>T4 - Año 1</v>
          </cell>
        </row>
        <row r="29">
          <cell r="D29" t="str">
            <v>T3 - Año 1</v>
          </cell>
          <cell r="E29" t="str">
            <v>T1 - Año 2</v>
          </cell>
        </row>
        <row r="44">
          <cell r="D44" t="str">
            <v>T2 - Año 1</v>
          </cell>
          <cell r="E44" t="str">
            <v>T4 - Año 1</v>
          </cell>
        </row>
        <row r="45">
          <cell r="D45" t="str">
            <v>T2 - Año 2</v>
          </cell>
          <cell r="E45" t="str">
            <v>T4 - Año 2</v>
          </cell>
        </row>
        <row r="46">
          <cell r="D46" t="str">
            <v>T1 - Año 1</v>
          </cell>
          <cell r="E46" t="str">
            <v>T3 - Año 1</v>
          </cell>
        </row>
        <row r="47">
          <cell r="D47" t="str">
            <v>T2 - Año 2</v>
          </cell>
          <cell r="E47" t="str">
            <v>T4 - Año 2</v>
          </cell>
        </row>
        <row r="50">
          <cell r="D50" t="str">
            <v>T1 - Año 2</v>
          </cell>
          <cell r="E50" t="str">
            <v>T4 - Año 2</v>
          </cell>
        </row>
        <row r="52">
          <cell r="D52" t="str">
            <v>T1 - Año 2</v>
          </cell>
          <cell r="E52" t="str">
            <v>T3 - Año 2</v>
          </cell>
        </row>
        <row r="54">
          <cell r="D54" t="str">
            <v>T3 - Año 1</v>
          </cell>
          <cell r="E54" t="str">
            <v>T2 - Año 2</v>
          </cell>
        </row>
        <row r="58">
          <cell r="D58" t="str">
            <v>T1 - Año 1</v>
          </cell>
          <cell r="E58" t="str">
            <v>T1 - Año 1</v>
          </cell>
        </row>
        <row r="60">
          <cell r="D60" t="str">
            <v>T2 - Año 1</v>
          </cell>
          <cell r="E60" t="str">
            <v>T4 - Año 1</v>
          </cell>
        </row>
        <row r="61">
          <cell r="D61" t="str">
            <v>T3 - Año 2</v>
          </cell>
          <cell r="E61" t="str">
            <v>T1 - Año 3</v>
          </cell>
        </row>
        <row r="62">
          <cell r="D62" t="str">
            <v>T4 - Año 4</v>
          </cell>
          <cell r="E62" t="str">
            <v>T2- Año 5</v>
          </cell>
        </row>
      </sheetData>
      <sheetData sheetId="4">
        <row r="11">
          <cell r="B11" t="str">
            <v>Contratación de Firma Consultora para el desarrollo de diseños de caminos - Grupo 2</v>
          </cell>
          <cell r="I11">
            <v>1820000</v>
          </cell>
        </row>
        <row r="12">
          <cell r="B12" t="str">
            <v>Contratación de Firma Consultora para el desarrollo de diseños de puentes - Grupo 2</v>
          </cell>
          <cell r="I12">
            <v>780000</v>
          </cell>
        </row>
        <row r="27">
          <cell r="B27" t="str">
            <v>Contratación de Firma Consultora para Fiscalización de rehabilitación de Caminos Grupo 1</v>
          </cell>
          <cell r="I27">
            <v>875000</v>
          </cell>
        </row>
        <row r="28">
          <cell r="B28" t="str">
            <v>Contratación de Firma Consultora para Fiscalización de rehabilitación de Caminos Grupo 2</v>
          </cell>
          <cell r="I28">
            <v>1645000</v>
          </cell>
        </row>
        <row r="29">
          <cell r="B29" t="str">
            <v>Contratación de Firma Consultora para Fiscalización de reemplazo de puentes Grupo 1</v>
          </cell>
          <cell r="I29">
            <v>460000</v>
          </cell>
        </row>
        <row r="30">
          <cell r="B30" t="str">
            <v>Contratación de Firma Consultora para Fiscalización de reemplazo de puentes Grupo 2</v>
          </cell>
          <cell r="I30">
            <v>220000</v>
          </cell>
        </row>
        <row r="33">
          <cell r="B33" t="str">
            <v>Consultoría de Diseño y Capacitación para el Gerenciamiento Ambiental</v>
          </cell>
          <cell r="J33">
            <v>65000</v>
          </cell>
        </row>
        <row r="35">
          <cell r="B35" t="str">
            <v>Consultoría para desarrollo de apoyo a pueblos indígenas</v>
          </cell>
          <cell r="J35">
            <v>130000</v>
          </cell>
        </row>
        <row r="37">
          <cell r="B37" t="str">
            <v>Consultoría "Monitoreo y Gestión Social Ambiental"</v>
          </cell>
          <cell r="J37">
            <v>150000</v>
          </cell>
        </row>
        <row r="41">
          <cell r="A41" t="str">
            <v>2.1.1</v>
          </cell>
          <cell r="B41" t="str">
            <v>Continuación de los servicios de la ECATEF para el Programa PR-L1092</v>
          </cell>
          <cell r="J41">
            <v>3000000</v>
          </cell>
        </row>
        <row r="43">
          <cell r="B43" t="str">
            <v>Contratación de Firma Consultora para la Auditoria Externa del Programa PR-L1092</v>
          </cell>
          <cell r="J43">
            <v>100000</v>
          </cell>
        </row>
        <row r="44">
          <cell r="B44" t="str">
            <v>Contratación de Firma Consultora para la Evaluación Intermedia del Programa</v>
          </cell>
          <cell r="J44">
            <v>50000</v>
          </cell>
        </row>
        <row r="45">
          <cell r="A45" t="str">
            <v>2.2.3</v>
          </cell>
          <cell r="B45" t="str">
            <v>Contratación de Firma Consultora para la Evaluación Final del Programa</v>
          </cell>
          <cell r="J45">
            <v>50000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INOS"/>
      <sheetName val="CAMINOS (ajustados)"/>
      <sheetName val="PUENTES"/>
      <sheetName val="Resumen Puentes"/>
    </sheetNames>
    <sheetDataSet>
      <sheetData sheetId="0" refreshError="1"/>
      <sheetData sheetId="1">
        <row r="13">
          <cell r="I13">
            <v>13636707</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5.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2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geec.gob.p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showGridLines="0" zoomScaleNormal="100" workbookViewId="0">
      <selection activeCell="C28" sqref="C28"/>
    </sheetView>
  </sheetViews>
  <sheetFormatPr defaultColWidth="11.42578125" defaultRowHeight="12.75" x14ac:dyDescent="0.2"/>
  <cols>
    <col min="1" max="1" width="4.42578125" style="270" bestFit="1" customWidth="1"/>
    <col min="2" max="2" width="20.42578125" style="144" customWidth="1"/>
    <col min="3" max="3" width="54.5703125" style="144" customWidth="1"/>
    <col min="4" max="4" width="71.28515625" style="144" customWidth="1"/>
    <col min="5" max="16384" width="11.42578125" style="144"/>
  </cols>
  <sheetData>
    <row r="1" spans="1:4" ht="21" x14ac:dyDescent="0.35">
      <c r="A1" s="912" t="s">
        <v>294</v>
      </c>
      <c r="B1" s="912"/>
      <c r="C1" s="912"/>
      <c r="D1" s="912"/>
    </row>
    <row r="3" spans="1:4" ht="21" x14ac:dyDescent="0.35">
      <c r="A3" s="910" t="s">
        <v>51</v>
      </c>
      <c r="B3" s="910"/>
      <c r="C3" s="910"/>
      <c r="D3" s="910"/>
    </row>
    <row r="5" spans="1:4" x14ac:dyDescent="0.2">
      <c r="A5" s="256" t="s">
        <v>56</v>
      </c>
      <c r="B5" s="911" t="s">
        <v>55</v>
      </c>
      <c r="C5" s="911"/>
      <c r="D5" s="257" t="s">
        <v>54</v>
      </c>
    </row>
    <row r="6" spans="1:4" x14ac:dyDescent="0.2">
      <c r="A6" s="258">
        <v>1</v>
      </c>
      <c r="B6" s="259" t="s">
        <v>171</v>
      </c>
      <c r="C6" s="260" t="s">
        <v>172</v>
      </c>
      <c r="D6" s="145" t="s">
        <v>178</v>
      </c>
    </row>
    <row r="7" spans="1:4" x14ac:dyDescent="0.2">
      <c r="A7" s="258">
        <v>2</v>
      </c>
      <c r="B7" s="259" t="s">
        <v>546</v>
      </c>
      <c r="C7" s="260" t="s">
        <v>547</v>
      </c>
      <c r="D7" s="145"/>
    </row>
    <row r="8" spans="1:4" x14ac:dyDescent="0.2">
      <c r="A8" s="270">
        <v>3</v>
      </c>
      <c r="B8" s="262" t="s">
        <v>52</v>
      </c>
      <c r="C8" s="263" t="s">
        <v>53</v>
      </c>
      <c r="D8" s="264" t="s">
        <v>179</v>
      </c>
    </row>
    <row r="9" spans="1:4" x14ac:dyDescent="0.2">
      <c r="A9" s="258">
        <v>4</v>
      </c>
      <c r="B9" s="262" t="s">
        <v>58</v>
      </c>
      <c r="C9" s="145" t="s">
        <v>57</v>
      </c>
      <c r="D9" s="265" t="s">
        <v>180</v>
      </c>
    </row>
    <row r="10" spans="1:4" s="264" customFormat="1" x14ac:dyDescent="0.2">
      <c r="A10" s="258">
        <v>5</v>
      </c>
      <c r="B10" s="262" t="s">
        <v>226</v>
      </c>
      <c r="C10" s="263" t="s">
        <v>227</v>
      </c>
      <c r="D10" s="263" t="s">
        <v>65</v>
      </c>
    </row>
    <row r="11" spans="1:4" x14ac:dyDescent="0.2">
      <c r="A11" s="270">
        <v>6</v>
      </c>
      <c r="B11" s="266" t="s">
        <v>59</v>
      </c>
      <c r="C11" s="145" t="s">
        <v>60</v>
      </c>
      <c r="D11" s="267" t="s">
        <v>63</v>
      </c>
    </row>
    <row r="12" spans="1:4" x14ac:dyDescent="0.2">
      <c r="A12" s="258">
        <v>7</v>
      </c>
      <c r="B12" s="266" t="s">
        <v>61</v>
      </c>
      <c r="C12" s="145" t="s">
        <v>62</v>
      </c>
      <c r="D12" s="145" t="s">
        <v>64</v>
      </c>
    </row>
    <row r="13" spans="1:4" x14ac:dyDescent="0.2">
      <c r="A13" s="258">
        <v>8</v>
      </c>
      <c r="B13" s="266" t="s">
        <v>700</v>
      </c>
      <c r="C13" s="145" t="s">
        <v>701</v>
      </c>
      <c r="D13" s="145" t="s">
        <v>702</v>
      </c>
    </row>
    <row r="14" spans="1:4" s="264" customFormat="1" x14ac:dyDescent="0.2">
      <c r="A14" s="270">
        <v>9</v>
      </c>
      <c r="B14" s="266" t="s">
        <v>571</v>
      </c>
      <c r="C14" s="263" t="s">
        <v>572</v>
      </c>
      <c r="D14" s="263" t="s">
        <v>65</v>
      </c>
    </row>
    <row r="15" spans="1:4" s="264" customFormat="1" x14ac:dyDescent="0.2">
      <c r="A15" s="258">
        <v>10</v>
      </c>
      <c r="B15" s="268" t="s">
        <v>165</v>
      </c>
      <c r="C15" s="145" t="s">
        <v>168</v>
      </c>
      <c r="D15" s="263"/>
    </row>
    <row r="16" spans="1:4" s="264" customFormat="1" x14ac:dyDescent="0.2">
      <c r="A16" s="258">
        <v>11</v>
      </c>
      <c r="B16" s="268" t="s">
        <v>166</v>
      </c>
      <c r="C16" s="263" t="s">
        <v>167</v>
      </c>
      <c r="D16" s="263" t="s">
        <v>173</v>
      </c>
    </row>
    <row r="17" spans="1:4" s="264" customFormat="1" x14ac:dyDescent="0.2">
      <c r="A17" s="258">
        <v>12</v>
      </c>
      <c r="B17" s="269" t="s">
        <v>169</v>
      </c>
      <c r="C17" s="260" t="s">
        <v>170</v>
      </c>
      <c r="D17" s="260" t="s">
        <v>181</v>
      </c>
    </row>
    <row r="18" spans="1:4" s="264" customFormat="1" hidden="1" x14ac:dyDescent="0.2">
      <c r="A18" s="270">
        <v>13</v>
      </c>
      <c r="B18" s="145" t="s">
        <v>182</v>
      </c>
      <c r="C18" s="207" t="s">
        <v>183</v>
      </c>
      <c r="D18" s="207" t="s">
        <v>184</v>
      </c>
    </row>
    <row r="19" spans="1:4" x14ac:dyDescent="0.2">
      <c r="A19" s="261"/>
      <c r="B19" s="263"/>
      <c r="C19" s="260"/>
      <c r="D19" s="260"/>
    </row>
    <row r="20" spans="1:4" x14ac:dyDescent="0.2">
      <c r="C20" s="263" t="s">
        <v>185</v>
      </c>
      <c r="D20" s="264" t="s">
        <v>174</v>
      </c>
    </row>
    <row r="21" spans="1:4" s="272" customFormat="1" x14ac:dyDescent="0.2">
      <c r="A21" s="271"/>
    </row>
  </sheetData>
  <mergeCells count="3">
    <mergeCell ref="A3:D3"/>
    <mergeCell ref="B5:C5"/>
    <mergeCell ref="A1:D1"/>
  </mergeCells>
  <printOptions horizontalCentered="1" verticalCentered="1"/>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28"/>
  <sheetViews>
    <sheetView showGridLines="0" workbookViewId="0">
      <selection activeCell="E47" sqref="E47"/>
    </sheetView>
  </sheetViews>
  <sheetFormatPr defaultColWidth="11.42578125" defaultRowHeight="12.75" x14ac:dyDescent="0.2"/>
  <cols>
    <col min="1" max="1" width="22.42578125" style="144" customWidth="1"/>
    <col min="2" max="2" width="16.5703125" style="144" customWidth="1"/>
    <col min="3" max="3" width="14.85546875" style="144" customWidth="1"/>
    <col min="4" max="4" width="16.42578125" style="144" customWidth="1"/>
    <col min="5" max="5" width="17.7109375" style="144" customWidth="1"/>
    <col min="6" max="6" width="17" style="144" customWidth="1"/>
    <col min="7" max="7" width="17.140625" style="144" customWidth="1"/>
    <col min="8" max="8" width="14.42578125" style="144" customWidth="1"/>
    <col min="9" max="16384" width="11.42578125" style="144"/>
  </cols>
  <sheetData>
    <row r="1" spans="1:11" s="15" customFormat="1" ht="15.75" customHeight="1" x14ac:dyDescent="0.2">
      <c r="A1" s="978" t="s">
        <v>190</v>
      </c>
      <c r="B1" s="978"/>
      <c r="C1" s="978"/>
      <c r="D1" s="978"/>
      <c r="E1" s="978"/>
      <c r="F1" s="978"/>
      <c r="G1" s="978"/>
      <c r="H1" s="978"/>
      <c r="I1" s="18"/>
      <c r="J1" s="18"/>
      <c r="K1" s="18"/>
    </row>
    <row r="2" spans="1:11" s="15" customFormat="1" ht="15.75" customHeight="1" x14ac:dyDescent="0.2">
      <c r="A2" s="978" t="s">
        <v>46</v>
      </c>
      <c r="B2" s="978"/>
      <c r="C2" s="978"/>
      <c r="D2" s="978"/>
      <c r="E2" s="978"/>
      <c r="F2" s="978"/>
      <c r="G2" s="978"/>
      <c r="H2" s="978"/>
      <c r="I2" s="18"/>
      <c r="J2" s="18"/>
      <c r="K2" s="18"/>
    </row>
    <row r="3" spans="1:11" s="15" customFormat="1" ht="15.75" customHeight="1" x14ac:dyDescent="0.2">
      <c r="A3" s="167"/>
      <c r="B3" s="167"/>
      <c r="C3" s="168"/>
      <c r="D3" s="168"/>
      <c r="E3" s="168"/>
      <c r="F3" s="168"/>
      <c r="G3" s="18"/>
      <c r="H3" s="18"/>
      <c r="I3" s="18"/>
      <c r="J3" s="18"/>
      <c r="K3" s="18"/>
    </row>
    <row r="4" spans="1:11" s="15" customFormat="1" ht="15.75" customHeight="1" x14ac:dyDescent="0.2">
      <c r="A4" s="978" t="str">
        <f>'4. CC D'!A4</f>
        <v>Operación: Programa de Mejoramiento de Caminos Vecinales II (PMCV)</v>
      </c>
      <c r="B4" s="978"/>
      <c r="C4" s="978"/>
      <c r="D4" s="978"/>
      <c r="E4" s="978"/>
      <c r="F4" s="978"/>
      <c r="G4" s="978"/>
      <c r="H4" s="978"/>
      <c r="I4" s="18"/>
      <c r="J4" s="18"/>
      <c r="K4" s="18"/>
    </row>
    <row r="5" spans="1:11" s="15" customFormat="1" ht="15.75" customHeight="1" x14ac:dyDescent="0.2">
      <c r="A5" s="167"/>
      <c r="B5" s="167"/>
      <c r="C5" s="168"/>
      <c r="D5" s="168"/>
      <c r="E5" s="168"/>
      <c r="F5" s="168"/>
      <c r="G5" s="18"/>
      <c r="H5" s="18"/>
      <c r="I5" s="18"/>
      <c r="J5" s="18"/>
      <c r="K5" s="18"/>
    </row>
    <row r="6" spans="1:11" s="15" customFormat="1" ht="15.75" customHeight="1" x14ac:dyDescent="0.2">
      <c r="A6" s="978" t="s">
        <v>175</v>
      </c>
      <c r="B6" s="978"/>
      <c r="C6" s="978"/>
      <c r="D6" s="978"/>
      <c r="E6" s="978"/>
      <c r="F6" s="978"/>
      <c r="G6" s="978"/>
      <c r="H6" s="978"/>
      <c r="I6" s="18"/>
      <c r="J6" s="18"/>
      <c r="K6" s="18"/>
    </row>
    <row r="8" spans="1:11" x14ac:dyDescent="0.2">
      <c r="A8" s="530" t="s">
        <v>50</v>
      </c>
      <c r="B8" s="530" t="s">
        <v>40</v>
      </c>
      <c r="C8" s="530" t="s">
        <v>41</v>
      </c>
      <c r="D8" s="530" t="s">
        <v>42</v>
      </c>
      <c r="E8" s="530" t="s">
        <v>43</v>
      </c>
      <c r="F8" s="530" t="s">
        <v>44</v>
      </c>
      <c r="G8" s="530" t="s">
        <v>45</v>
      </c>
      <c r="H8" s="530" t="s">
        <v>39</v>
      </c>
    </row>
    <row r="9" spans="1:11" x14ac:dyDescent="0.2">
      <c r="A9" s="531" t="s">
        <v>4</v>
      </c>
      <c r="B9" s="532">
        <f>+'7. PF A BID'!D45</f>
        <v>3478610</v>
      </c>
      <c r="C9" s="532">
        <f>+'7. PF A BID'!E45</f>
        <v>20128885.800000001</v>
      </c>
      <c r="D9" s="532">
        <f>+'7. PF A BID'!F45</f>
        <v>27612842.199999999</v>
      </c>
      <c r="E9" s="532">
        <f>+'7. PF A BID'!G45</f>
        <v>8947312</v>
      </c>
      <c r="F9" s="532">
        <f>+'7. PF A BID'!H45</f>
        <v>1832350</v>
      </c>
      <c r="G9" s="532">
        <f>SUM(B9:F9)</f>
        <v>62000000</v>
      </c>
      <c r="H9" s="533">
        <v>100</v>
      </c>
    </row>
    <row r="10" spans="1:11" x14ac:dyDescent="0.2">
      <c r="A10" s="531" t="s">
        <v>680</v>
      </c>
      <c r="B10" s="534">
        <f>B9</f>
        <v>3478610</v>
      </c>
      <c r="C10" s="534">
        <f>C9+B10</f>
        <v>23607495.800000001</v>
      </c>
      <c r="D10" s="534">
        <f t="shared" ref="D10:F10" si="0">D9+C10</f>
        <v>51220338</v>
      </c>
      <c r="E10" s="534">
        <f t="shared" si="0"/>
        <v>60167650</v>
      </c>
      <c r="F10" s="534">
        <f t="shared" si="0"/>
        <v>62000000</v>
      </c>
      <c r="G10" s="534"/>
      <c r="H10" s="535"/>
    </row>
    <row r="11" spans="1:11" s="145" customFormat="1" x14ac:dyDescent="0.2">
      <c r="A11" s="536" t="s">
        <v>39</v>
      </c>
      <c r="B11" s="537">
        <f>B9/$G$9</f>
        <v>5.6106612903225807E-2</v>
      </c>
      <c r="C11" s="537">
        <f t="shared" ref="C11:G11" si="1">C9/$G$9</f>
        <v>0.32465944838709676</v>
      </c>
      <c r="D11" s="537">
        <f t="shared" si="1"/>
        <v>0.44536842258064513</v>
      </c>
      <c r="E11" s="537">
        <f t="shared" si="1"/>
        <v>0.14431148387096773</v>
      </c>
      <c r="F11" s="537">
        <f t="shared" si="1"/>
        <v>2.9554032258064515E-2</v>
      </c>
      <c r="G11" s="537">
        <f t="shared" si="1"/>
        <v>1</v>
      </c>
      <c r="H11" s="538"/>
    </row>
    <row r="12" spans="1:11" s="145" customFormat="1" x14ac:dyDescent="0.2">
      <c r="A12" s="800"/>
      <c r="B12" s="801"/>
      <c r="C12" s="801"/>
      <c r="D12" s="801"/>
      <c r="E12" s="801"/>
      <c r="F12" s="801"/>
      <c r="G12" s="801"/>
      <c r="H12" s="802"/>
    </row>
    <row r="13" spans="1:11" s="145" customFormat="1" x14ac:dyDescent="0.2">
      <c r="A13" s="800"/>
      <c r="B13" s="801"/>
      <c r="C13" s="801"/>
      <c r="D13" s="801"/>
      <c r="E13" s="801"/>
      <c r="F13" s="801"/>
      <c r="G13" s="801"/>
      <c r="H13" s="802"/>
    </row>
    <row r="14" spans="1:11" s="145" customFormat="1" x14ac:dyDescent="0.2">
      <c r="A14" s="800"/>
      <c r="B14" s="801"/>
      <c r="C14" s="801"/>
      <c r="D14" s="801"/>
      <c r="E14" s="801"/>
      <c r="F14" s="801"/>
      <c r="G14" s="801"/>
      <c r="H14" s="802"/>
    </row>
    <row r="17" spans="2:6" ht="12.75" customHeight="1" x14ac:dyDescent="0.2">
      <c r="B17" s="146"/>
      <c r="C17" s="146"/>
      <c r="D17" s="146"/>
      <c r="E17" s="146"/>
      <c r="F17" s="146"/>
    </row>
    <row r="33" spans="1:9" ht="13.5" thickBot="1" x14ac:dyDescent="0.25"/>
    <row r="34" spans="1:9" ht="30.75" customHeight="1" x14ac:dyDescent="0.2">
      <c r="A34" s="897" t="s">
        <v>810</v>
      </c>
      <c r="B34" s="798" t="s">
        <v>681</v>
      </c>
      <c r="C34" s="798" t="s">
        <v>682</v>
      </c>
      <c r="D34" s="798" t="s">
        <v>683</v>
      </c>
      <c r="E34" s="798" t="s">
        <v>684</v>
      </c>
      <c r="F34" s="798" t="s">
        <v>685</v>
      </c>
      <c r="G34" s="798" t="s">
        <v>686</v>
      </c>
    </row>
    <row r="35" spans="1:9" x14ac:dyDescent="0.2">
      <c r="A35" s="898" t="s">
        <v>809</v>
      </c>
      <c r="B35" s="899">
        <f>+B37+B38+B39+B40+B41+B42+B44+B45</f>
        <v>62000000</v>
      </c>
      <c r="C35" s="900">
        <f>+C36+C43</f>
        <v>3478610</v>
      </c>
      <c r="D35" s="900">
        <f t="shared" ref="D35:G35" si="2">+D36+D43</f>
        <v>20128885.800000001</v>
      </c>
      <c r="E35" s="900">
        <f t="shared" si="2"/>
        <v>27612842.199999999</v>
      </c>
      <c r="F35" s="900">
        <f t="shared" si="2"/>
        <v>8947312</v>
      </c>
      <c r="G35" s="900">
        <f t="shared" si="2"/>
        <v>1832350</v>
      </c>
      <c r="I35" s="486"/>
    </row>
    <row r="36" spans="1:9" ht="51" x14ac:dyDescent="0.2">
      <c r="A36" s="904" t="s">
        <v>811</v>
      </c>
      <c r="B36" s="905">
        <f>+B37+B38+B39+B40+B41+B42</f>
        <v>58800000</v>
      </c>
      <c r="C36" s="905">
        <f t="shared" ref="C36:G36" si="3">+C37+C38+C39+C40+C41+C42</f>
        <v>2878610</v>
      </c>
      <c r="D36" s="905">
        <f t="shared" si="3"/>
        <v>19508885.800000001</v>
      </c>
      <c r="E36" s="905">
        <f t="shared" si="3"/>
        <v>26942842.199999999</v>
      </c>
      <c r="F36" s="905">
        <f t="shared" si="3"/>
        <v>8327312</v>
      </c>
      <c r="G36" s="905">
        <f t="shared" si="3"/>
        <v>1142350</v>
      </c>
      <c r="I36" s="486"/>
    </row>
    <row r="37" spans="1:9" x14ac:dyDescent="0.2">
      <c r="A37" s="906" t="str">
        <f>+'5. CC R-1'!B27</f>
        <v>Ingeniería</v>
      </c>
      <c r="B37" s="901">
        <f>+'5. CC R-1'!C27</f>
        <v>2600000</v>
      </c>
      <c r="C37" s="902">
        <f>+'7. PF A BID'!D15+'7. PF A BID'!D28</f>
        <v>364000</v>
      </c>
      <c r="D37" s="902">
        <f>+'7. PF A BID'!E15+'7. PF A BID'!E28</f>
        <v>2236000</v>
      </c>
      <c r="E37" s="902">
        <f>+'7. PF A BID'!F15+'7. PF A BID'!F28</f>
        <v>0</v>
      </c>
      <c r="F37" s="902">
        <f>+'7. PF A BID'!G15+'7. PF A BID'!G28</f>
        <v>0</v>
      </c>
      <c r="G37" s="902">
        <f>+'7. PF A BID'!H15+'7. PF A BID'!H28</f>
        <v>0</v>
      </c>
      <c r="I37" s="486"/>
    </row>
    <row r="38" spans="1:9" ht="28.5" customHeight="1" x14ac:dyDescent="0.2">
      <c r="A38" s="906" t="str">
        <f>+'5. CC R-1'!B28</f>
        <v>Mejoramiento de Caminos Vecinales</v>
      </c>
      <c r="B38" s="901">
        <f>+'5. CC R-1'!C28</f>
        <v>38000000</v>
      </c>
      <c r="C38" s="902">
        <f>+'7. PF A BID'!D11+'7. PF A BID'!D12</f>
        <v>0</v>
      </c>
      <c r="D38" s="902">
        <f>+'7. PF A BID'!E11+'7. PF A BID'!E12</f>
        <v>10771200</v>
      </c>
      <c r="E38" s="902">
        <f>+'7. PF A BID'!F11+'7. PF A BID'!F12</f>
        <v>22665600</v>
      </c>
      <c r="F38" s="902">
        <f>+'7. PF A BID'!G11+'7. PF A BID'!G12</f>
        <v>4563200</v>
      </c>
      <c r="G38" s="902">
        <f>+'7. PF A BID'!H11+'7. PF A BID'!H12</f>
        <v>0</v>
      </c>
      <c r="I38" s="486"/>
    </row>
    <row r="39" spans="1:9" ht="27" customHeight="1" x14ac:dyDescent="0.2">
      <c r="A39" s="906" t="str">
        <f>+'5. CC R-1'!B29</f>
        <v>Mantenimiento de Caminos Vecinales</v>
      </c>
      <c r="B39" s="901">
        <f>+'5. CC R-1'!C29</f>
        <v>4000000</v>
      </c>
      <c r="C39" s="902">
        <f>+'7. PF A BID'!D16</f>
        <v>214645</v>
      </c>
      <c r="D39" s="902">
        <f>+'7. PF A BID'!E16</f>
        <v>750485.8</v>
      </c>
      <c r="E39" s="902">
        <f>+'7. PF A BID'!F16</f>
        <v>916362.20000000007</v>
      </c>
      <c r="F39" s="902">
        <f>+'7. PF A BID'!G16</f>
        <v>1006157</v>
      </c>
      <c r="G39" s="902">
        <f>+'7. PF A BID'!H16</f>
        <v>1112350</v>
      </c>
      <c r="I39" s="486"/>
    </row>
    <row r="40" spans="1:9" ht="24.75" customHeight="1" x14ac:dyDescent="0.2">
      <c r="A40" s="906" t="str">
        <f>+'5. CC R-1'!B30</f>
        <v>Reemplazo de Puentes de Madera</v>
      </c>
      <c r="B40" s="901">
        <f>+'5. CC R-1'!C30</f>
        <v>10200000</v>
      </c>
      <c r="C40" s="902">
        <f>+'7. PF A BID'!D24+'7. PF A BID'!D25</f>
        <v>2185990</v>
      </c>
      <c r="D40" s="902">
        <f>+'7. PF A BID'!E24+'7. PF A BID'!E25</f>
        <v>4409880</v>
      </c>
      <c r="E40" s="902">
        <f>+'7. PF A BID'!F24+'7. PF A BID'!F25</f>
        <v>1545516</v>
      </c>
      <c r="F40" s="902">
        <f>+'7. PF A BID'!G24+'7. PF A BID'!G25</f>
        <v>2058614</v>
      </c>
      <c r="G40" s="902">
        <f>+'7. PF A BID'!H24+'7. PF A BID'!H25</f>
        <v>0</v>
      </c>
      <c r="I40" s="486"/>
    </row>
    <row r="41" spans="1:9" x14ac:dyDescent="0.2">
      <c r="A41" s="906" t="str">
        <f>+'5. CC R-1'!B31</f>
        <v>Fiscalización</v>
      </c>
      <c r="B41" s="901">
        <f>+'5. CC R-1'!C31</f>
        <v>3200000</v>
      </c>
      <c r="C41" s="902">
        <f>+'7. PF A BID'!D14+'7. PF A BID'!D13+'7. PF A BID'!D27+'7. PF A BID'!D26</f>
        <v>64975</v>
      </c>
      <c r="D41" s="902">
        <f>+'7. PF A BID'!E14+'7. PF A BID'!E13+'7. PF A BID'!E27+'7. PF A BID'!E26</f>
        <v>986320</v>
      </c>
      <c r="E41" s="902">
        <f>+'7. PF A BID'!F14+'7. PF A BID'!F13+'7. PF A BID'!F27+'7. PF A BID'!F26</f>
        <v>1562864</v>
      </c>
      <c r="F41" s="902">
        <f>+'7. PF A BID'!G14+'7. PF A BID'!G13+'7. PF A BID'!G27+'7. PF A BID'!G26</f>
        <v>585841</v>
      </c>
      <c r="G41" s="902">
        <f>+'7. PF A BID'!H14+'7. PF A BID'!H13+'7. PF A BID'!H27+'7. PF A BID'!H26</f>
        <v>0</v>
      </c>
      <c r="I41" s="486"/>
    </row>
    <row r="42" spans="1:9" x14ac:dyDescent="0.2">
      <c r="A42" s="906" t="str">
        <f>+'5. CC R-1'!B32</f>
        <v>Gestión Socio Ambiental</v>
      </c>
      <c r="B42" s="901">
        <f>+'5. CC R-1'!C32</f>
        <v>800000</v>
      </c>
      <c r="C42" s="902">
        <f>+'7. PF A BID'!D29+'7. PF A BID'!D39</f>
        <v>49000</v>
      </c>
      <c r="D42" s="902">
        <f>+'7. PF A BID'!E29+'7. PF A BID'!E39</f>
        <v>355000</v>
      </c>
      <c r="E42" s="902">
        <f>+'7. PF A BID'!F29+'7. PF A BID'!F39</f>
        <v>252500</v>
      </c>
      <c r="F42" s="902">
        <f>+'7. PF A BID'!G29+'7. PF A BID'!G39</f>
        <v>113500</v>
      </c>
      <c r="G42" s="902">
        <f>+'7. PF A BID'!H29+'7. PF A BID'!H39</f>
        <v>30000</v>
      </c>
      <c r="I42" s="486"/>
    </row>
    <row r="43" spans="1:9" x14ac:dyDescent="0.2">
      <c r="A43" s="904" t="s">
        <v>720</v>
      </c>
      <c r="B43" s="905">
        <f>+B44+B45</f>
        <v>3200000</v>
      </c>
      <c r="C43" s="905">
        <f t="shared" ref="C43:G43" si="4">+C44+C45</f>
        <v>600000</v>
      </c>
      <c r="D43" s="905">
        <f t="shared" si="4"/>
        <v>620000</v>
      </c>
      <c r="E43" s="905">
        <f t="shared" si="4"/>
        <v>670000</v>
      </c>
      <c r="F43" s="905">
        <f t="shared" si="4"/>
        <v>620000</v>
      </c>
      <c r="G43" s="905">
        <f t="shared" si="4"/>
        <v>690000</v>
      </c>
      <c r="I43" s="486"/>
    </row>
    <row r="44" spans="1:9" x14ac:dyDescent="0.2">
      <c r="A44" s="906" t="str">
        <f>+'5. CC R-1'!B34</f>
        <v>Administración</v>
      </c>
      <c r="B44" s="903">
        <f>+'5. CC R-1'!C34</f>
        <v>3000000</v>
      </c>
      <c r="C44" s="902">
        <f>+'7. PF A BID'!D34</f>
        <v>600000</v>
      </c>
      <c r="D44" s="902">
        <f>+'7. PF A BID'!E34</f>
        <v>600000</v>
      </c>
      <c r="E44" s="902">
        <f>+'7. PF A BID'!F34</f>
        <v>600000</v>
      </c>
      <c r="F44" s="902">
        <f>+'7. PF A BID'!G34</f>
        <v>600000</v>
      </c>
      <c r="G44" s="902">
        <f>+'7. PF A BID'!H34</f>
        <v>600000</v>
      </c>
      <c r="I44" s="486"/>
    </row>
    <row r="45" spans="1:9" ht="30.75" customHeight="1" x14ac:dyDescent="0.2">
      <c r="A45" s="906" t="str">
        <f>+'5. CC R-1'!B35</f>
        <v>Auditoría, Monitoreo y Evaluación</v>
      </c>
      <c r="B45" s="903">
        <f>+'5. CC R-1'!C35</f>
        <v>200000</v>
      </c>
      <c r="C45" s="902">
        <f>+'7. PF A BID'!D35</f>
        <v>0</v>
      </c>
      <c r="D45" s="902">
        <f>+'7. PF A BID'!E35</f>
        <v>20000</v>
      </c>
      <c r="E45" s="902">
        <f>+'7. PF A BID'!F35</f>
        <v>70000</v>
      </c>
      <c r="F45" s="902">
        <f>+'7. PF A BID'!G35</f>
        <v>20000</v>
      </c>
      <c r="G45" s="902">
        <f>+'7. PF A BID'!H35</f>
        <v>90000</v>
      </c>
      <c r="I45" s="486"/>
    </row>
    <row r="46" spans="1:9" x14ac:dyDescent="0.2">
      <c r="A46" s="799" t="s">
        <v>49</v>
      </c>
      <c r="B46" s="799"/>
      <c r="C46" s="829">
        <f>+C43+C36</f>
        <v>3478610</v>
      </c>
      <c r="D46" s="829">
        <f>+D35+C46</f>
        <v>23607495.800000001</v>
      </c>
      <c r="E46" s="829">
        <f>+E35+D46</f>
        <v>51220338</v>
      </c>
      <c r="F46" s="829">
        <f>+F35+E46</f>
        <v>60167650</v>
      </c>
      <c r="G46" s="829">
        <f>+G35+F46</f>
        <v>62000000</v>
      </c>
      <c r="I46" s="486"/>
    </row>
    <row r="47" spans="1:9" x14ac:dyDescent="0.2">
      <c r="A47" s="486"/>
      <c r="B47" s="486"/>
      <c r="C47" s="486"/>
      <c r="D47" s="486"/>
      <c r="E47" s="486"/>
      <c r="F47" s="486"/>
      <c r="G47" s="486"/>
      <c r="I47" s="486"/>
    </row>
    <row r="48" spans="1:9" x14ac:dyDescent="0.2">
      <c r="A48" s="486"/>
      <c r="B48" s="486"/>
      <c r="C48" s="486"/>
      <c r="D48" s="486"/>
      <c r="E48" s="486"/>
      <c r="F48" s="486"/>
      <c r="G48" s="486"/>
      <c r="H48" s="486"/>
      <c r="I48" s="486"/>
    </row>
    <row r="49" spans="1:9" x14ac:dyDescent="0.2">
      <c r="A49" s="486"/>
      <c r="B49" s="486"/>
      <c r="C49" s="486"/>
      <c r="D49" s="486"/>
      <c r="E49" s="486"/>
      <c r="F49" s="486"/>
      <c r="G49" s="486"/>
      <c r="H49" s="486"/>
      <c r="I49" s="486"/>
    </row>
    <row r="50" spans="1:9" x14ac:dyDescent="0.2">
      <c r="A50" s="486"/>
      <c r="B50" s="486"/>
      <c r="C50" s="486"/>
      <c r="D50" s="486"/>
      <c r="E50" s="486"/>
      <c r="F50" s="486"/>
      <c r="G50" s="486"/>
      <c r="H50" s="486"/>
      <c r="I50" s="486"/>
    </row>
    <row r="51" spans="1:9" x14ac:dyDescent="0.2">
      <c r="A51" s="486"/>
      <c r="B51" s="486"/>
      <c r="C51" s="486"/>
      <c r="D51" s="486"/>
      <c r="E51" s="486"/>
      <c r="F51" s="486"/>
      <c r="G51" s="486"/>
      <c r="H51" s="486"/>
      <c r="I51" s="486"/>
    </row>
    <row r="52" spans="1:9" x14ac:dyDescent="0.2">
      <c r="A52" s="486"/>
      <c r="B52" s="486"/>
      <c r="C52" s="486"/>
      <c r="D52" s="486"/>
      <c r="E52" s="486"/>
      <c r="F52" s="486"/>
      <c r="G52" s="486"/>
      <c r="H52" s="486"/>
      <c r="I52" s="486"/>
    </row>
    <row r="53" spans="1:9" x14ac:dyDescent="0.2">
      <c r="A53" s="486"/>
      <c r="B53" s="486"/>
      <c r="C53" s="486"/>
      <c r="D53" s="486"/>
      <c r="E53" s="486"/>
      <c r="F53" s="486"/>
      <c r="G53" s="486"/>
      <c r="H53" s="486"/>
      <c r="I53" s="486"/>
    </row>
    <row r="54" spans="1:9" x14ac:dyDescent="0.2">
      <c r="A54" s="486"/>
      <c r="B54" s="486"/>
      <c r="C54" s="486"/>
      <c r="D54" s="486"/>
      <c r="E54" s="486"/>
      <c r="F54" s="486"/>
      <c r="G54" s="486"/>
      <c r="H54" s="486"/>
      <c r="I54" s="486"/>
    </row>
    <row r="55" spans="1:9" x14ac:dyDescent="0.2">
      <c r="A55" s="486"/>
      <c r="B55" s="486"/>
      <c r="C55" s="486"/>
      <c r="D55" s="486"/>
      <c r="E55" s="486"/>
      <c r="F55" s="486"/>
      <c r="G55" s="486"/>
      <c r="H55" s="486"/>
      <c r="I55" s="486"/>
    </row>
    <row r="56" spans="1:9" x14ac:dyDescent="0.2">
      <c r="A56" s="486"/>
      <c r="B56" s="486"/>
      <c r="C56" s="486"/>
      <c r="D56" s="486"/>
      <c r="E56" s="486"/>
      <c r="F56" s="486"/>
      <c r="G56" s="486"/>
      <c r="H56" s="486"/>
      <c r="I56" s="486"/>
    </row>
    <row r="57" spans="1:9" x14ac:dyDescent="0.2">
      <c r="A57" s="486"/>
      <c r="B57" s="486"/>
      <c r="C57" s="486"/>
      <c r="D57" s="486"/>
      <c r="E57" s="486"/>
      <c r="F57" s="486"/>
      <c r="G57" s="486"/>
      <c r="H57" s="486"/>
      <c r="I57" s="486"/>
    </row>
    <row r="58" spans="1:9" x14ac:dyDescent="0.2">
      <c r="A58" s="486"/>
      <c r="B58" s="486"/>
      <c r="C58" s="486"/>
      <c r="D58" s="486"/>
      <c r="E58" s="486"/>
      <c r="F58" s="486"/>
      <c r="G58" s="486"/>
      <c r="H58" s="486"/>
      <c r="I58" s="486"/>
    </row>
    <row r="59" spans="1:9" x14ac:dyDescent="0.2">
      <c r="A59" s="486"/>
      <c r="B59" s="486"/>
      <c r="C59" s="486"/>
      <c r="D59" s="486"/>
      <c r="E59" s="486"/>
      <c r="F59" s="486"/>
      <c r="G59" s="486"/>
      <c r="H59" s="486"/>
      <c r="I59" s="486"/>
    </row>
    <row r="60" spans="1:9" x14ac:dyDescent="0.2">
      <c r="A60" s="486"/>
      <c r="B60" s="486"/>
      <c r="C60" s="486"/>
      <c r="D60" s="486"/>
      <c r="E60" s="486"/>
      <c r="F60" s="486"/>
      <c r="G60" s="486"/>
      <c r="H60" s="486"/>
      <c r="I60" s="486"/>
    </row>
    <row r="61" spans="1:9" x14ac:dyDescent="0.2">
      <c r="A61" s="486"/>
      <c r="B61" s="486"/>
      <c r="C61" s="486"/>
      <c r="D61" s="486"/>
      <c r="E61" s="486"/>
      <c r="F61" s="486"/>
      <c r="G61" s="486"/>
      <c r="H61" s="486"/>
      <c r="I61" s="486"/>
    </row>
    <row r="62" spans="1:9" x14ac:dyDescent="0.2">
      <c r="A62" s="486"/>
      <c r="B62" s="486"/>
      <c r="C62" s="486"/>
      <c r="D62" s="486"/>
      <c r="E62" s="486"/>
      <c r="F62" s="486"/>
      <c r="G62" s="486"/>
      <c r="H62" s="486"/>
      <c r="I62" s="486"/>
    </row>
    <row r="63" spans="1:9" x14ac:dyDescent="0.2">
      <c r="A63" s="486"/>
      <c r="B63" s="486"/>
      <c r="C63" s="486"/>
      <c r="D63" s="486"/>
      <c r="E63" s="486"/>
      <c r="F63" s="486"/>
      <c r="G63" s="486"/>
      <c r="H63" s="486"/>
      <c r="I63" s="486"/>
    </row>
    <row r="64" spans="1:9" x14ac:dyDescent="0.2">
      <c r="A64" s="486"/>
      <c r="B64" s="486"/>
      <c r="C64" s="486"/>
      <c r="D64" s="486"/>
      <c r="E64" s="486"/>
      <c r="F64" s="486"/>
      <c r="G64" s="486"/>
      <c r="H64" s="486"/>
      <c r="I64" s="486"/>
    </row>
    <row r="65" spans="1:9" x14ac:dyDescent="0.2">
      <c r="A65" s="486"/>
      <c r="B65" s="486"/>
      <c r="C65" s="486"/>
      <c r="D65" s="486"/>
      <c r="E65" s="486"/>
      <c r="F65" s="486"/>
      <c r="G65" s="486"/>
      <c r="H65" s="486"/>
      <c r="I65" s="486"/>
    </row>
    <row r="66" spans="1:9" x14ac:dyDescent="0.2">
      <c r="A66" s="486"/>
      <c r="B66" s="486"/>
      <c r="C66" s="486"/>
      <c r="D66" s="486"/>
      <c r="E66" s="486"/>
      <c r="F66" s="486"/>
      <c r="G66" s="486"/>
      <c r="H66" s="486"/>
      <c r="I66" s="486"/>
    </row>
    <row r="67" spans="1:9" x14ac:dyDescent="0.2">
      <c r="A67" s="486"/>
      <c r="B67" s="486"/>
      <c r="C67" s="486"/>
      <c r="D67" s="486"/>
      <c r="E67" s="486"/>
      <c r="F67" s="486"/>
      <c r="G67" s="486"/>
      <c r="H67" s="486"/>
      <c r="I67" s="486"/>
    </row>
    <row r="68" spans="1:9" x14ac:dyDescent="0.2">
      <c r="A68" s="486"/>
      <c r="B68" s="486"/>
      <c r="C68" s="486"/>
      <c r="D68" s="486"/>
      <c r="E68" s="486"/>
      <c r="F68" s="486"/>
      <c r="G68" s="486"/>
      <c r="H68" s="486"/>
      <c r="I68" s="486"/>
    </row>
    <row r="69" spans="1:9" x14ac:dyDescent="0.2">
      <c r="A69" s="486"/>
      <c r="B69" s="486"/>
      <c r="C69" s="486"/>
      <c r="D69" s="486"/>
      <c r="E69" s="486"/>
      <c r="F69" s="486"/>
      <c r="G69" s="486"/>
      <c r="H69" s="486"/>
      <c r="I69" s="486"/>
    </row>
    <row r="70" spans="1:9" x14ac:dyDescent="0.2">
      <c r="A70" s="486"/>
      <c r="B70" s="486"/>
      <c r="C70" s="486"/>
      <c r="D70" s="486"/>
      <c r="E70" s="486"/>
      <c r="F70" s="486"/>
      <c r="G70" s="486"/>
      <c r="H70" s="486"/>
      <c r="I70" s="486"/>
    </row>
    <row r="71" spans="1:9" x14ac:dyDescent="0.2">
      <c r="A71" s="486"/>
      <c r="B71" s="486"/>
      <c r="C71" s="486"/>
      <c r="D71" s="486"/>
      <c r="E71" s="486"/>
      <c r="F71" s="486"/>
      <c r="G71" s="486"/>
      <c r="H71" s="486"/>
      <c r="I71" s="486"/>
    </row>
    <row r="72" spans="1:9" x14ac:dyDescent="0.2">
      <c r="A72" s="486"/>
      <c r="B72" s="486"/>
      <c r="C72" s="486"/>
      <c r="D72" s="486"/>
      <c r="E72" s="486"/>
      <c r="F72" s="486"/>
      <c r="G72" s="486"/>
      <c r="H72" s="486"/>
      <c r="I72" s="486"/>
    </row>
    <row r="73" spans="1:9" x14ac:dyDescent="0.2">
      <c r="A73" s="486"/>
      <c r="B73" s="486"/>
      <c r="C73" s="486"/>
      <c r="D73" s="486"/>
      <c r="E73" s="486"/>
      <c r="F73" s="486"/>
      <c r="G73" s="486"/>
      <c r="H73" s="486"/>
      <c r="I73" s="486"/>
    </row>
    <row r="74" spans="1:9" x14ac:dyDescent="0.2">
      <c r="A74" s="486"/>
      <c r="B74" s="486"/>
      <c r="C74" s="486"/>
      <c r="D74" s="486"/>
      <c r="E74" s="486"/>
      <c r="F74" s="486"/>
      <c r="G74" s="486"/>
      <c r="H74" s="486"/>
      <c r="I74" s="486"/>
    </row>
    <row r="75" spans="1:9" x14ac:dyDescent="0.2">
      <c r="A75" s="486"/>
      <c r="B75" s="486"/>
      <c r="C75" s="486"/>
      <c r="D75" s="486"/>
      <c r="E75" s="486"/>
      <c r="F75" s="486"/>
      <c r="G75" s="486"/>
      <c r="H75" s="486"/>
      <c r="I75" s="486"/>
    </row>
    <row r="76" spans="1:9" x14ac:dyDescent="0.2">
      <c r="A76" s="486"/>
      <c r="B76" s="486"/>
      <c r="C76" s="486"/>
      <c r="D76" s="486"/>
      <c r="E76" s="486"/>
      <c r="F76" s="486"/>
      <c r="G76" s="486"/>
      <c r="H76" s="486"/>
      <c r="I76" s="486"/>
    </row>
    <row r="77" spans="1:9" x14ac:dyDescent="0.2">
      <c r="A77" s="486"/>
      <c r="B77" s="486"/>
      <c r="C77" s="486"/>
      <c r="D77" s="486"/>
      <c r="E77" s="486"/>
      <c r="F77" s="486"/>
      <c r="G77" s="486"/>
      <c r="H77" s="486"/>
      <c r="I77" s="486"/>
    </row>
    <row r="78" spans="1:9" x14ac:dyDescent="0.2">
      <c r="A78" s="486"/>
      <c r="B78" s="486"/>
      <c r="C78" s="486"/>
      <c r="D78" s="486"/>
      <c r="E78" s="486"/>
      <c r="F78" s="486"/>
      <c r="G78" s="486"/>
      <c r="H78" s="486"/>
      <c r="I78" s="486"/>
    </row>
    <row r="79" spans="1:9" x14ac:dyDescent="0.2">
      <c r="A79" s="486"/>
      <c r="B79" s="486"/>
      <c r="C79" s="486"/>
      <c r="D79" s="486"/>
      <c r="E79" s="486"/>
      <c r="F79" s="486"/>
      <c r="G79" s="486"/>
      <c r="H79" s="486"/>
      <c r="I79" s="486"/>
    </row>
    <row r="80" spans="1:9" x14ac:dyDescent="0.2">
      <c r="A80" s="486"/>
      <c r="B80" s="486"/>
      <c r="C80" s="486"/>
      <c r="D80" s="486"/>
      <c r="E80" s="486"/>
      <c r="F80" s="486"/>
      <c r="G80" s="486"/>
      <c r="H80" s="486"/>
      <c r="I80" s="486"/>
    </row>
    <row r="81" spans="1:9" x14ac:dyDescent="0.2">
      <c r="A81" s="486"/>
      <c r="B81" s="486"/>
      <c r="C81" s="486"/>
      <c r="D81" s="486"/>
      <c r="E81" s="486"/>
      <c r="F81" s="486"/>
      <c r="G81" s="486"/>
      <c r="H81" s="486"/>
      <c r="I81" s="486"/>
    </row>
    <row r="82" spans="1:9" x14ac:dyDescent="0.2">
      <c r="A82" s="486"/>
      <c r="B82" s="486"/>
      <c r="C82" s="486"/>
      <c r="D82" s="486"/>
      <c r="E82" s="486"/>
      <c r="F82" s="486"/>
      <c r="G82" s="486"/>
      <c r="H82" s="486"/>
      <c r="I82" s="486"/>
    </row>
    <row r="83" spans="1:9" x14ac:dyDescent="0.2">
      <c r="A83" s="486"/>
      <c r="B83" s="486"/>
      <c r="C83" s="486"/>
      <c r="D83" s="486"/>
      <c r="E83" s="486"/>
      <c r="F83" s="486"/>
      <c r="G83" s="486"/>
      <c r="H83" s="486"/>
      <c r="I83" s="486"/>
    </row>
    <row r="84" spans="1:9" x14ac:dyDescent="0.2">
      <c r="A84" s="486"/>
      <c r="B84" s="486"/>
      <c r="C84" s="486"/>
      <c r="D84" s="486"/>
      <c r="E84" s="486"/>
      <c r="F84" s="486"/>
      <c r="G84" s="486"/>
      <c r="H84" s="486"/>
      <c r="I84" s="486"/>
    </row>
    <row r="85" spans="1:9" x14ac:dyDescent="0.2">
      <c r="A85" s="486"/>
      <c r="B85" s="486"/>
      <c r="C85" s="486"/>
      <c r="D85" s="486"/>
      <c r="E85" s="486"/>
      <c r="F85" s="486"/>
      <c r="G85" s="486"/>
      <c r="H85" s="486"/>
      <c r="I85" s="486"/>
    </row>
    <row r="86" spans="1:9" x14ac:dyDescent="0.2">
      <c r="A86" s="486"/>
      <c r="B86" s="486"/>
      <c r="C86" s="486"/>
      <c r="D86" s="486"/>
      <c r="E86" s="486"/>
      <c r="F86" s="486"/>
      <c r="G86" s="486"/>
      <c r="H86" s="486"/>
      <c r="I86" s="486"/>
    </row>
    <row r="87" spans="1:9" x14ac:dyDescent="0.2">
      <c r="A87" s="486"/>
      <c r="B87" s="486"/>
      <c r="C87" s="486"/>
      <c r="D87" s="486"/>
      <c r="E87" s="486"/>
      <c r="F87" s="486"/>
      <c r="G87" s="486"/>
      <c r="H87" s="486"/>
      <c r="I87" s="486"/>
    </row>
    <row r="88" spans="1:9" x14ac:dyDescent="0.2">
      <c r="A88" s="486"/>
      <c r="B88" s="486"/>
      <c r="C88" s="486"/>
      <c r="D88" s="486"/>
      <c r="E88" s="486"/>
      <c r="F88" s="486"/>
      <c r="G88" s="486"/>
      <c r="H88" s="486"/>
      <c r="I88" s="486"/>
    </row>
    <row r="89" spans="1:9" x14ac:dyDescent="0.2">
      <c r="A89" s="486"/>
      <c r="B89" s="486"/>
      <c r="C89" s="486"/>
      <c r="D89" s="486"/>
      <c r="E89" s="486"/>
      <c r="F89" s="486"/>
      <c r="G89" s="486"/>
      <c r="H89" s="486"/>
      <c r="I89" s="486"/>
    </row>
    <row r="90" spans="1:9" x14ac:dyDescent="0.2">
      <c r="A90" s="486"/>
      <c r="B90" s="486"/>
      <c r="C90" s="486"/>
      <c r="D90" s="486"/>
      <c r="E90" s="486"/>
      <c r="F90" s="486"/>
      <c r="G90" s="486"/>
      <c r="H90" s="486"/>
      <c r="I90" s="486"/>
    </row>
    <row r="91" spans="1:9" x14ac:dyDescent="0.2">
      <c r="A91" s="486"/>
      <c r="B91" s="486"/>
      <c r="C91" s="486"/>
      <c r="D91" s="486"/>
      <c r="E91" s="486"/>
      <c r="F91" s="486"/>
      <c r="G91" s="486"/>
      <c r="H91" s="486"/>
      <c r="I91" s="486"/>
    </row>
    <row r="92" spans="1:9" x14ac:dyDescent="0.2">
      <c r="A92" s="486"/>
      <c r="B92" s="486"/>
      <c r="C92" s="486"/>
      <c r="D92" s="486"/>
      <c r="E92" s="486"/>
      <c r="F92" s="486"/>
      <c r="G92" s="486"/>
      <c r="H92" s="486"/>
      <c r="I92" s="486"/>
    </row>
    <row r="93" spans="1:9" x14ac:dyDescent="0.2">
      <c r="A93" s="486"/>
      <c r="B93" s="486"/>
      <c r="C93" s="486"/>
      <c r="D93" s="486"/>
      <c r="E93" s="486"/>
      <c r="F93" s="486"/>
      <c r="G93" s="486"/>
      <c r="H93" s="486"/>
      <c r="I93" s="486"/>
    </row>
    <row r="94" spans="1:9" x14ac:dyDescent="0.2">
      <c r="A94" s="486"/>
      <c r="B94" s="486"/>
      <c r="C94" s="486"/>
      <c r="D94" s="486"/>
      <c r="E94" s="486"/>
      <c r="F94" s="486"/>
      <c r="G94" s="486"/>
      <c r="H94" s="486"/>
      <c r="I94" s="486"/>
    </row>
    <row r="95" spans="1:9" x14ac:dyDescent="0.2">
      <c r="A95" s="486"/>
      <c r="B95" s="486"/>
      <c r="C95" s="486"/>
      <c r="D95" s="486"/>
      <c r="E95" s="486"/>
      <c r="F95" s="486"/>
      <c r="G95" s="486"/>
      <c r="H95" s="486"/>
      <c r="I95" s="486"/>
    </row>
    <row r="96" spans="1:9" x14ac:dyDescent="0.2">
      <c r="A96" s="486"/>
      <c r="B96" s="486"/>
      <c r="C96" s="486"/>
      <c r="D96" s="486"/>
      <c r="E96" s="486"/>
      <c r="F96" s="486"/>
      <c r="G96" s="486"/>
      <c r="H96" s="486"/>
      <c r="I96" s="486"/>
    </row>
    <row r="97" spans="1:9" x14ac:dyDescent="0.2">
      <c r="A97" s="486"/>
      <c r="B97" s="486"/>
      <c r="C97" s="486"/>
      <c r="D97" s="486"/>
      <c r="E97" s="486"/>
      <c r="F97" s="486"/>
      <c r="G97" s="486"/>
      <c r="H97" s="486"/>
      <c r="I97" s="486"/>
    </row>
    <row r="98" spans="1:9" x14ac:dyDescent="0.2">
      <c r="A98" s="486"/>
      <c r="B98" s="486"/>
      <c r="C98" s="486"/>
      <c r="D98" s="486"/>
      <c r="E98" s="486"/>
      <c r="F98" s="486"/>
      <c r="G98" s="486"/>
      <c r="H98" s="486"/>
      <c r="I98" s="486"/>
    </row>
    <row r="99" spans="1:9" x14ac:dyDescent="0.2">
      <c r="A99" s="486"/>
      <c r="B99" s="486"/>
      <c r="C99" s="486"/>
      <c r="D99" s="486"/>
      <c r="E99" s="486"/>
      <c r="F99" s="486"/>
      <c r="G99" s="486"/>
      <c r="H99" s="486"/>
      <c r="I99" s="486"/>
    </row>
    <row r="100" spans="1:9" x14ac:dyDescent="0.2">
      <c r="A100" s="486"/>
      <c r="B100" s="486"/>
      <c r="C100" s="486"/>
      <c r="D100" s="486"/>
      <c r="E100" s="486"/>
      <c r="F100" s="486"/>
      <c r="G100" s="486"/>
      <c r="H100" s="486"/>
      <c r="I100" s="486"/>
    </row>
    <row r="101" spans="1:9" x14ac:dyDescent="0.2">
      <c r="A101" s="486"/>
      <c r="B101" s="486"/>
      <c r="C101" s="486"/>
      <c r="D101" s="486"/>
      <c r="E101" s="486"/>
      <c r="F101" s="486"/>
      <c r="G101" s="486"/>
      <c r="H101" s="486"/>
      <c r="I101" s="486"/>
    </row>
    <row r="102" spans="1:9" x14ac:dyDescent="0.2">
      <c r="A102" s="486"/>
      <c r="B102" s="486"/>
      <c r="C102" s="486"/>
      <c r="D102" s="486"/>
      <c r="E102" s="486"/>
      <c r="F102" s="486"/>
      <c r="G102" s="486"/>
      <c r="H102" s="486"/>
      <c r="I102" s="486"/>
    </row>
    <row r="103" spans="1:9" x14ac:dyDescent="0.2">
      <c r="A103" s="486"/>
      <c r="B103" s="486"/>
      <c r="C103" s="486"/>
      <c r="D103" s="486"/>
      <c r="E103" s="486"/>
      <c r="F103" s="486"/>
      <c r="G103" s="486"/>
      <c r="H103" s="486"/>
      <c r="I103" s="486"/>
    </row>
    <row r="104" spans="1:9" x14ac:dyDescent="0.2">
      <c r="A104" s="486"/>
      <c r="B104" s="486"/>
      <c r="C104" s="486"/>
      <c r="D104" s="486"/>
      <c r="E104" s="486"/>
      <c r="F104" s="486"/>
      <c r="G104" s="486"/>
      <c r="H104" s="486"/>
      <c r="I104" s="486"/>
    </row>
    <row r="105" spans="1:9" x14ac:dyDescent="0.2">
      <c r="A105" s="486"/>
      <c r="B105" s="486"/>
      <c r="C105" s="486"/>
      <c r="D105" s="486"/>
      <c r="E105" s="486"/>
      <c r="F105" s="486"/>
      <c r="G105" s="486"/>
      <c r="H105" s="486"/>
      <c r="I105" s="486"/>
    </row>
    <row r="106" spans="1:9" x14ac:dyDescent="0.2">
      <c r="A106" s="486"/>
      <c r="B106" s="486"/>
      <c r="C106" s="486"/>
      <c r="D106" s="486"/>
      <c r="E106" s="486"/>
      <c r="F106" s="486"/>
      <c r="G106" s="486"/>
      <c r="H106" s="486"/>
      <c r="I106" s="486"/>
    </row>
    <row r="107" spans="1:9" x14ac:dyDescent="0.2">
      <c r="A107" s="486"/>
      <c r="B107" s="486"/>
      <c r="C107" s="486"/>
      <c r="D107" s="486"/>
      <c r="E107" s="486"/>
      <c r="F107" s="486"/>
      <c r="G107" s="486"/>
      <c r="H107" s="486"/>
      <c r="I107" s="486"/>
    </row>
    <row r="108" spans="1:9" x14ac:dyDescent="0.2">
      <c r="A108" s="486"/>
      <c r="B108" s="486"/>
      <c r="C108" s="486"/>
      <c r="D108" s="486"/>
      <c r="E108" s="486"/>
      <c r="F108" s="486"/>
      <c r="G108" s="486"/>
      <c r="H108" s="486"/>
      <c r="I108" s="486"/>
    </row>
    <row r="109" spans="1:9" x14ac:dyDescent="0.2">
      <c r="A109" s="486"/>
      <c r="B109" s="486"/>
      <c r="C109" s="486"/>
      <c r="D109" s="486"/>
      <c r="E109" s="486"/>
      <c r="F109" s="486"/>
      <c r="G109" s="486"/>
      <c r="H109" s="486"/>
      <c r="I109" s="486"/>
    </row>
    <row r="110" spans="1:9" x14ac:dyDescent="0.2">
      <c r="A110" s="486"/>
      <c r="B110" s="486"/>
      <c r="C110" s="486"/>
      <c r="D110" s="486"/>
      <c r="E110" s="486"/>
      <c r="F110" s="486"/>
      <c r="G110" s="486"/>
      <c r="H110" s="486"/>
      <c r="I110" s="486"/>
    </row>
    <row r="111" spans="1:9" x14ac:dyDescent="0.2">
      <c r="A111" s="486"/>
      <c r="B111" s="486"/>
      <c r="C111" s="486"/>
      <c r="D111" s="486"/>
      <c r="E111" s="486"/>
      <c r="F111" s="486"/>
      <c r="G111" s="486"/>
      <c r="H111" s="486"/>
      <c r="I111" s="486"/>
    </row>
    <row r="112" spans="1:9" x14ac:dyDescent="0.2">
      <c r="A112" s="486"/>
      <c r="B112" s="486"/>
      <c r="C112" s="486"/>
      <c r="D112" s="486"/>
      <c r="E112" s="486"/>
      <c r="F112" s="486"/>
      <c r="G112" s="486"/>
      <c r="H112" s="486"/>
      <c r="I112" s="486"/>
    </row>
    <row r="113" spans="1:9" x14ac:dyDescent="0.2">
      <c r="A113" s="486"/>
      <c r="B113" s="486"/>
      <c r="C113" s="486"/>
      <c r="D113" s="486"/>
      <c r="E113" s="486"/>
      <c r="F113" s="486"/>
      <c r="G113" s="486"/>
      <c r="H113" s="486"/>
      <c r="I113" s="486"/>
    </row>
    <row r="114" spans="1:9" x14ac:dyDescent="0.2">
      <c r="A114" s="486"/>
      <c r="B114" s="486"/>
      <c r="C114" s="486"/>
      <c r="D114" s="486"/>
      <c r="E114" s="486"/>
      <c r="F114" s="486"/>
      <c r="G114" s="486"/>
      <c r="H114" s="486"/>
      <c r="I114" s="486"/>
    </row>
    <row r="115" spans="1:9" x14ac:dyDescent="0.2">
      <c r="A115" s="486"/>
      <c r="B115" s="486"/>
      <c r="C115" s="486"/>
      <c r="D115" s="486"/>
      <c r="E115" s="486"/>
      <c r="F115" s="486"/>
      <c r="G115" s="486"/>
      <c r="H115" s="486"/>
      <c r="I115" s="486"/>
    </row>
    <row r="116" spans="1:9" x14ac:dyDescent="0.2">
      <c r="A116" s="486"/>
      <c r="B116" s="486"/>
      <c r="C116" s="486"/>
      <c r="D116" s="486"/>
      <c r="E116" s="486"/>
      <c r="F116" s="486"/>
      <c r="G116" s="486"/>
      <c r="H116" s="486"/>
      <c r="I116" s="486"/>
    </row>
    <row r="117" spans="1:9" x14ac:dyDescent="0.2">
      <c r="A117" s="486"/>
      <c r="B117" s="486"/>
      <c r="C117" s="486"/>
      <c r="D117" s="486"/>
      <c r="E117" s="486"/>
      <c r="F117" s="486"/>
      <c r="G117" s="486"/>
      <c r="H117" s="486"/>
      <c r="I117" s="486"/>
    </row>
    <row r="118" spans="1:9" x14ac:dyDescent="0.2">
      <c r="A118" s="486"/>
      <c r="B118" s="486"/>
      <c r="C118" s="486"/>
      <c r="D118" s="486"/>
      <c r="E118" s="486"/>
      <c r="F118" s="486"/>
      <c r="G118" s="486"/>
      <c r="H118" s="486"/>
      <c r="I118" s="486"/>
    </row>
    <row r="119" spans="1:9" x14ac:dyDescent="0.2">
      <c r="A119" s="486"/>
      <c r="B119" s="486"/>
      <c r="C119" s="486"/>
      <c r="D119" s="486"/>
      <c r="E119" s="486"/>
      <c r="F119" s="486"/>
      <c r="G119" s="486"/>
      <c r="H119" s="486"/>
      <c r="I119" s="486"/>
    </row>
    <row r="120" spans="1:9" x14ac:dyDescent="0.2">
      <c r="A120" s="486"/>
      <c r="B120" s="486"/>
      <c r="C120" s="486"/>
      <c r="D120" s="486"/>
      <c r="E120" s="486"/>
      <c r="F120" s="486"/>
      <c r="G120" s="486"/>
      <c r="H120" s="486"/>
      <c r="I120" s="486"/>
    </row>
    <row r="121" spans="1:9" x14ac:dyDescent="0.2">
      <c r="A121" s="486"/>
      <c r="B121" s="486"/>
      <c r="C121" s="486"/>
      <c r="D121" s="486"/>
      <c r="E121" s="486"/>
      <c r="F121" s="486"/>
      <c r="G121" s="486"/>
      <c r="H121" s="486"/>
      <c r="I121" s="486"/>
    </row>
    <row r="122" spans="1:9" x14ac:dyDescent="0.2">
      <c r="A122" s="486"/>
      <c r="B122" s="486"/>
      <c r="C122" s="486"/>
      <c r="D122" s="486"/>
      <c r="E122" s="486"/>
      <c r="F122" s="486"/>
      <c r="G122" s="486"/>
      <c r="H122" s="486"/>
      <c r="I122" s="486"/>
    </row>
    <row r="123" spans="1:9" x14ac:dyDescent="0.2">
      <c r="A123" s="486"/>
      <c r="B123" s="486"/>
      <c r="C123" s="486"/>
      <c r="D123" s="486"/>
      <c r="E123" s="486"/>
      <c r="F123" s="486"/>
      <c r="G123" s="486"/>
      <c r="H123" s="486"/>
      <c r="I123" s="486"/>
    </row>
    <row r="124" spans="1:9" x14ac:dyDescent="0.2">
      <c r="A124" s="486"/>
      <c r="B124" s="486"/>
      <c r="C124" s="486"/>
      <c r="D124" s="486"/>
      <c r="E124" s="486"/>
      <c r="F124" s="486"/>
      <c r="G124" s="486"/>
      <c r="H124" s="486"/>
      <c r="I124" s="486"/>
    </row>
    <row r="125" spans="1:9" x14ac:dyDescent="0.2">
      <c r="A125" s="486"/>
      <c r="B125" s="486"/>
      <c r="C125" s="486"/>
      <c r="D125" s="486"/>
      <c r="E125" s="486"/>
      <c r="F125" s="486"/>
      <c r="G125" s="486"/>
      <c r="H125" s="486"/>
      <c r="I125" s="486"/>
    </row>
    <row r="126" spans="1:9" x14ac:dyDescent="0.2">
      <c r="A126" s="486"/>
      <c r="B126" s="486"/>
      <c r="C126" s="486"/>
      <c r="D126" s="486"/>
      <c r="E126" s="486"/>
      <c r="F126" s="486"/>
      <c r="G126" s="486"/>
      <c r="H126" s="486"/>
      <c r="I126" s="486"/>
    </row>
    <row r="127" spans="1:9" x14ac:dyDescent="0.2">
      <c r="A127" s="486"/>
      <c r="B127" s="486"/>
      <c r="C127" s="486"/>
      <c r="D127" s="486"/>
      <c r="E127" s="486"/>
      <c r="F127" s="486"/>
      <c r="G127" s="486"/>
      <c r="H127" s="486"/>
      <c r="I127" s="486"/>
    </row>
    <row r="128" spans="1:9" x14ac:dyDescent="0.2">
      <c r="A128" s="486"/>
      <c r="B128" s="486"/>
      <c r="C128" s="486"/>
      <c r="D128" s="486"/>
      <c r="E128" s="486"/>
      <c r="F128" s="486"/>
      <c r="G128" s="486"/>
      <c r="H128" s="486"/>
      <c r="I128" s="486"/>
    </row>
  </sheetData>
  <mergeCells count="4">
    <mergeCell ref="A1:H1"/>
    <mergeCell ref="A2:H2"/>
    <mergeCell ref="A4:H4"/>
    <mergeCell ref="A6:H6"/>
  </mergeCells>
  <printOptions horizontalCentered="1"/>
  <pageMargins left="0.70866141732283472" right="0.70866141732283472" top="0.94488188976377963" bottom="0.74803149606299213" header="0.31496062992125984" footer="0.31496062992125984"/>
  <pageSetup paperSize="9"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Y80"/>
  <sheetViews>
    <sheetView showGridLines="0" topLeftCell="B50" zoomScale="70" zoomScaleNormal="70" zoomScaleSheetLayoutView="70" workbookViewId="0">
      <selection activeCell="G85" sqref="G85"/>
    </sheetView>
  </sheetViews>
  <sheetFormatPr defaultColWidth="9.140625" defaultRowHeight="12.75" x14ac:dyDescent="0.2"/>
  <cols>
    <col min="1" max="1" width="6" style="22" hidden="1" customWidth="1"/>
    <col min="2" max="2" width="15.5703125" style="22" customWidth="1"/>
    <col min="3" max="3" width="38.85546875" style="29" customWidth="1"/>
    <col min="4" max="4" width="15.140625" style="30" customWidth="1"/>
    <col min="5" max="5" width="18" style="22" customWidth="1"/>
    <col min="6" max="6" width="9.42578125" style="22" customWidth="1"/>
    <col min="7" max="7" width="17" style="31" customWidth="1"/>
    <col min="8" max="8" width="16.140625" style="22" customWidth="1"/>
    <col min="9" max="9" width="11" style="22" customWidth="1"/>
    <col min="10" max="10" width="12.85546875" style="22" customWidth="1"/>
    <col min="11" max="11" width="14.5703125" style="22" customWidth="1"/>
    <col min="12" max="12" width="17.85546875" style="32" customWidth="1"/>
    <col min="13" max="13" width="18.140625" style="32" customWidth="1"/>
    <col min="14" max="14" width="18.42578125" style="30" customWidth="1"/>
    <col min="15" max="15" width="34.28515625" style="22" customWidth="1"/>
    <col min="16" max="16" width="21" style="22" customWidth="1"/>
    <col min="17" max="17" width="9.140625" style="26"/>
    <col min="18" max="18" width="68.5703125" style="26" hidden="1" customWidth="1"/>
    <col min="19" max="19" width="57.42578125" style="26" hidden="1" customWidth="1"/>
    <col min="20" max="207" width="9.140625" style="26"/>
    <col min="208" max="16384" width="9.140625" style="22"/>
  </cols>
  <sheetData>
    <row r="1" spans="1:21" x14ac:dyDescent="0.2">
      <c r="B1" s="166" t="s">
        <v>191</v>
      </c>
    </row>
    <row r="2" spans="1:21" ht="16.5" hidden="1" customHeight="1" x14ac:dyDescent="0.2">
      <c r="B2" s="166" t="s">
        <v>46</v>
      </c>
    </row>
    <row r="3" spans="1:21" hidden="1" x14ac:dyDescent="0.2">
      <c r="B3" s="167"/>
    </row>
    <row r="4" spans="1:21" hidden="1" x14ac:dyDescent="0.2">
      <c r="B4" s="166" t="str">
        <f>'3. PEP'!A4</f>
        <v>Operación: Programa de Mejoramiento de Caminos Vecinales II (PMCV)</v>
      </c>
    </row>
    <row r="5" spans="1:21" hidden="1" x14ac:dyDescent="0.2">
      <c r="B5" s="167"/>
    </row>
    <row r="6" spans="1:21" hidden="1" x14ac:dyDescent="0.2">
      <c r="B6" s="166" t="s">
        <v>175</v>
      </c>
    </row>
    <row r="7" spans="1:21" hidden="1" x14ac:dyDescent="0.2">
      <c r="B7" s="166"/>
    </row>
    <row r="8" spans="1:21" s="26" customFormat="1" x14ac:dyDescent="0.2">
      <c r="A8" s="22"/>
      <c r="B8" s="1046" t="s">
        <v>68</v>
      </c>
      <c r="C8" s="1047"/>
      <c r="D8" s="1047"/>
      <c r="E8" s="1047"/>
      <c r="F8" s="1047"/>
      <c r="G8" s="1047"/>
      <c r="H8" s="1047"/>
      <c r="I8" s="1047"/>
      <c r="J8" s="1047"/>
      <c r="K8" s="1047"/>
      <c r="L8" s="1047"/>
      <c r="M8" s="1047"/>
      <c r="N8" s="1047"/>
      <c r="O8" s="1048"/>
      <c r="P8" s="23"/>
      <c r="Q8" s="24"/>
      <c r="R8" s="25"/>
      <c r="S8" s="24"/>
      <c r="T8" s="24"/>
      <c r="U8" s="24"/>
    </row>
    <row r="9" spans="1:21" s="26" customFormat="1" x14ac:dyDescent="0.2">
      <c r="A9" s="22"/>
      <c r="B9" s="1038" t="s">
        <v>69</v>
      </c>
      <c r="C9" s="1049"/>
      <c r="D9" s="1049"/>
      <c r="E9" s="1049"/>
      <c r="F9" s="1049"/>
      <c r="G9" s="1049"/>
      <c r="H9" s="1049"/>
      <c r="I9" s="1049"/>
      <c r="J9" s="1049"/>
      <c r="K9" s="1049"/>
      <c r="L9" s="1049"/>
      <c r="M9" s="1049"/>
      <c r="N9" s="1049"/>
      <c r="O9" s="1049"/>
      <c r="P9" s="23"/>
      <c r="Q9" s="24"/>
      <c r="R9" s="25"/>
      <c r="S9" s="24"/>
      <c r="T9" s="24"/>
      <c r="U9" s="24"/>
    </row>
    <row r="10" spans="1:21" s="26" customFormat="1" x14ac:dyDescent="0.2">
      <c r="A10" s="22"/>
      <c r="B10" s="1010" t="s">
        <v>70</v>
      </c>
      <c r="C10" s="1023" t="s">
        <v>71</v>
      </c>
      <c r="D10" s="1023" t="s">
        <v>72</v>
      </c>
      <c r="E10" s="1010" t="s">
        <v>73</v>
      </c>
      <c r="F10" s="1010" t="s">
        <v>74</v>
      </c>
      <c r="G10" s="1043" t="s">
        <v>75</v>
      </c>
      <c r="H10" s="1012" t="s">
        <v>76</v>
      </c>
      <c r="I10" s="1012"/>
      <c r="J10" s="1012"/>
      <c r="K10" s="1010" t="s">
        <v>77</v>
      </c>
      <c r="L10" s="1016" t="s">
        <v>78</v>
      </c>
      <c r="M10" s="1010" t="s">
        <v>79</v>
      </c>
      <c r="N10" s="1010"/>
      <c r="O10" s="1010" t="s">
        <v>80</v>
      </c>
      <c r="P10" s="23"/>
      <c r="Q10" s="24"/>
      <c r="R10" s="27" t="s">
        <v>81</v>
      </c>
      <c r="S10" s="24"/>
      <c r="T10" s="24"/>
      <c r="U10" s="24"/>
    </row>
    <row r="11" spans="1:21" s="26" customFormat="1" ht="38.25" x14ac:dyDescent="0.2">
      <c r="A11" s="22"/>
      <c r="B11" s="1010"/>
      <c r="C11" s="1023"/>
      <c r="D11" s="1023"/>
      <c r="E11" s="1012"/>
      <c r="F11" s="1010"/>
      <c r="G11" s="1031"/>
      <c r="H11" s="90" t="s">
        <v>82</v>
      </c>
      <c r="I11" s="90" t="s">
        <v>83</v>
      </c>
      <c r="J11" s="90" t="s">
        <v>84</v>
      </c>
      <c r="K11" s="1010"/>
      <c r="L11" s="1012"/>
      <c r="M11" s="92" t="s">
        <v>85</v>
      </c>
      <c r="N11" s="91" t="s">
        <v>86</v>
      </c>
      <c r="O11" s="1010"/>
      <c r="P11" s="23"/>
      <c r="Q11" s="24"/>
      <c r="R11" s="27" t="s">
        <v>87</v>
      </c>
      <c r="S11" s="24"/>
      <c r="T11" s="24"/>
      <c r="U11" s="24"/>
    </row>
    <row r="12" spans="1:21" s="26" customFormat="1" ht="51" x14ac:dyDescent="0.2">
      <c r="A12" s="22"/>
      <c r="B12" s="40" t="s">
        <v>447</v>
      </c>
      <c r="C12" s="55" t="str">
        <f>'4. CC D'!B11</f>
        <v>Contratación de Firma Constructora para rehabilitación de Caminos Vecinales - Grupo 1: Itakyry - Arroyos y Esteros - Altos y Gral. Resquin. (65,51 Km)</v>
      </c>
      <c r="D12" s="54" t="str">
        <f>'4. CC D'!A11</f>
        <v>1.1.1</v>
      </c>
      <c r="E12" s="70" t="s">
        <v>96</v>
      </c>
      <c r="F12" s="70"/>
      <c r="G12" s="71">
        <v>1</v>
      </c>
      <c r="H12" s="71">
        <f>'4. CC D'!J11</f>
        <v>13200000</v>
      </c>
      <c r="I12" s="73">
        <v>1</v>
      </c>
      <c r="J12" s="73">
        <f>100%-I12</f>
        <v>0</v>
      </c>
      <c r="K12" s="70" t="s">
        <v>195</v>
      </c>
      <c r="L12" s="74" t="s">
        <v>87</v>
      </c>
      <c r="M12" s="403" t="str">
        <f>'3. PEP'!D28</f>
        <v>T2 - Año 1</v>
      </c>
      <c r="N12" s="403" t="str">
        <f>'3. PEP'!E28</f>
        <v>T1 . Año 2</v>
      </c>
      <c r="O12" s="67"/>
      <c r="P12" s="23"/>
      <c r="Q12" s="24"/>
      <c r="R12" s="27" t="s">
        <v>88</v>
      </c>
      <c r="S12" s="24"/>
      <c r="T12" s="24"/>
      <c r="U12" s="24"/>
    </row>
    <row r="13" spans="1:21" s="26" customFormat="1" ht="51" x14ac:dyDescent="0.2">
      <c r="A13" s="22"/>
      <c r="B13" s="40" t="s">
        <v>447</v>
      </c>
      <c r="C13" s="55" t="str">
        <f>'4. CC D'!B12</f>
        <v>Contratación de Firma Constructora para rehabilitación de Caminos Vecinales - Grupo 2:  La Paz - Gral. Artigas Fram y illa Ygatimi Ype Jhu (99 Km)</v>
      </c>
      <c r="D13" s="54" t="str">
        <f>'4. CC D'!A12</f>
        <v>1.1.2</v>
      </c>
      <c r="E13" s="70" t="s">
        <v>96</v>
      </c>
      <c r="F13" s="70"/>
      <c r="G13" s="71">
        <v>2</v>
      </c>
      <c r="H13" s="71">
        <f>'4. CC D'!J12</f>
        <v>24800000</v>
      </c>
      <c r="I13" s="73">
        <v>1</v>
      </c>
      <c r="J13" s="73">
        <f t="shared" ref="J13:J17" si="0">100%-I13</f>
        <v>0</v>
      </c>
      <c r="K13" s="70" t="s">
        <v>195</v>
      </c>
      <c r="L13" s="74" t="s">
        <v>87</v>
      </c>
      <c r="M13" s="403" t="str">
        <f>'3. PEP'!D29</f>
        <v>T2 - Año 2</v>
      </c>
      <c r="N13" s="403" t="str">
        <f>'3. PEP'!E29</f>
        <v>T1 - Año 3</v>
      </c>
      <c r="O13" s="67"/>
      <c r="P13" s="23"/>
      <c r="Q13" s="24"/>
      <c r="R13" s="27"/>
      <c r="S13" s="24"/>
      <c r="T13" s="24"/>
      <c r="U13" s="24"/>
    </row>
    <row r="14" spans="1:21" s="26" customFormat="1" ht="38.25" x14ac:dyDescent="0.2">
      <c r="A14" s="22"/>
      <c r="B14" s="40" t="s">
        <v>447</v>
      </c>
      <c r="C14" s="55" t="str">
        <f>'4. CC D'!B17</f>
        <v>Contratación de Firma Constructora para Obra de Mantenimiento. Contratos Grupo 1: 102.79 km</v>
      </c>
      <c r="D14" s="54" t="str">
        <f>'4. CC D'!A17</f>
        <v>1.2.1</v>
      </c>
      <c r="E14" s="70" t="s">
        <v>96</v>
      </c>
      <c r="F14" s="70"/>
      <c r="G14" s="71">
        <v>3</v>
      </c>
      <c r="H14" s="71">
        <f>'4. CC D'!J17</f>
        <v>764080</v>
      </c>
      <c r="I14" s="73">
        <v>1</v>
      </c>
      <c r="J14" s="73">
        <f>100%-I14</f>
        <v>0</v>
      </c>
      <c r="K14" s="70" t="s">
        <v>195</v>
      </c>
      <c r="L14" s="74" t="s">
        <v>87</v>
      </c>
      <c r="M14" s="403" t="str">
        <f>'3. PEP'!D34</f>
        <v>T1 - Año 1</v>
      </c>
      <c r="N14" s="403" t="str">
        <f>'3. PEP'!E34</f>
        <v>T4 - Año 1</v>
      </c>
      <c r="O14" s="67"/>
      <c r="P14" s="23"/>
      <c r="Q14" s="24"/>
      <c r="R14" s="27"/>
      <c r="S14" s="24"/>
      <c r="T14" s="24"/>
      <c r="U14" s="24"/>
    </row>
    <row r="15" spans="1:21" s="26" customFormat="1" ht="38.25" x14ac:dyDescent="0.2">
      <c r="A15" s="22"/>
      <c r="B15" s="40" t="s">
        <v>447</v>
      </c>
      <c r="C15" s="55" t="str">
        <f>'4. CC D'!B18</f>
        <v>Contratación de Firma Constructora para Obra de Mantenimiento. Contratos Grupo 2: 226.63 km</v>
      </c>
      <c r="D15" s="54" t="str">
        <f>'4. CC D'!A18</f>
        <v>1.2.2</v>
      </c>
      <c r="E15" s="70" t="s">
        <v>96</v>
      </c>
      <c r="F15" s="70"/>
      <c r="G15" s="71">
        <v>4</v>
      </c>
      <c r="H15" s="71">
        <f>'4. CC D'!J18</f>
        <v>1359780</v>
      </c>
      <c r="I15" s="73">
        <v>1</v>
      </c>
      <c r="J15" s="73">
        <f>100%-I15</f>
        <v>0</v>
      </c>
      <c r="K15" s="70" t="s">
        <v>195</v>
      </c>
      <c r="L15" s="74" t="s">
        <v>87</v>
      </c>
      <c r="M15" s="403" t="str">
        <f>'3. PEP'!D35</f>
        <v>T1 - Año 2</v>
      </c>
      <c r="N15" s="403" t="str">
        <f>'3. PEP'!E35</f>
        <v>T4 - Año 2</v>
      </c>
      <c r="O15" s="67"/>
      <c r="P15" s="23"/>
      <c r="Q15" s="24"/>
      <c r="R15" s="27"/>
      <c r="S15" s="24"/>
      <c r="T15" s="24"/>
      <c r="U15" s="24"/>
    </row>
    <row r="16" spans="1:21" s="26" customFormat="1" ht="38.25" x14ac:dyDescent="0.2">
      <c r="A16" s="22"/>
      <c r="B16" s="40" t="s">
        <v>447</v>
      </c>
      <c r="C16" s="55" t="str">
        <f>'4. CC D'!B24</f>
        <v>Contratación de Firma Constructora para reemplazo de puentes - Grupo 1: Paraguarí - Misiones - Cordillera y San Pedro (405 ml)</v>
      </c>
      <c r="D16" s="54" t="str">
        <f>'4. CC D'!A24</f>
        <v>1.3.1</v>
      </c>
      <c r="E16" s="70" t="s">
        <v>96</v>
      </c>
      <c r="F16" s="70"/>
      <c r="G16" s="71">
        <v>5</v>
      </c>
      <c r="H16" s="71">
        <f>'4. CC D'!J24</f>
        <v>6885000</v>
      </c>
      <c r="I16" s="73">
        <v>1</v>
      </c>
      <c r="J16" s="73">
        <f t="shared" si="0"/>
        <v>0</v>
      </c>
      <c r="K16" s="70" t="s">
        <v>195</v>
      </c>
      <c r="L16" s="74" t="s">
        <v>87</v>
      </c>
      <c r="M16" s="403" t="str">
        <f>'3. PEP'!D41</f>
        <v>T2 - Año 1</v>
      </c>
      <c r="N16" s="403" t="str">
        <f>'3. PEP'!E41</f>
        <v>T4 - Año 1</v>
      </c>
      <c r="O16" s="67"/>
      <c r="P16" s="23"/>
      <c r="Q16" s="24"/>
      <c r="R16" s="27"/>
      <c r="S16" s="24"/>
      <c r="T16" s="24"/>
      <c r="U16" s="24"/>
    </row>
    <row r="17" spans="1:207" s="26" customFormat="1" ht="38.25" x14ac:dyDescent="0.2">
      <c r="A17" s="22"/>
      <c r="B17" s="40" t="s">
        <v>447</v>
      </c>
      <c r="C17" s="55" t="str">
        <f>'4. CC D'!B25</f>
        <v>Contratación de Firma Constructora para reemplazo de puentes - Grupo 2:  Guaira - Alto Paraná y Amambay (195 ml)</v>
      </c>
      <c r="D17" s="54" t="str">
        <f>'4. CC D'!A25</f>
        <v>1.3.2</v>
      </c>
      <c r="E17" s="70" t="s">
        <v>96</v>
      </c>
      <c r="F17" s="70"/>
      <c r="G17" s="71">
        <v>6</v>
      </c>
      <c r="H17" s="71">
        <f>'4. CC D'!J25</f>
        <v>3315000</v>
      </c>
      <c r="I17" s="73">
        <v>1</v>
      </c>
      <c r="J17" s="73">
        <f t="shared" si="0"/>
        <v>0</v>
      </c>
      <c r="K17" s="70" t="s">
        <v>195</v>
      </c>
      <c r="L17" s="74" t="s">
        <v>87</v>
      </c>
      <c r="M17" s="403" t="str">
        <f>'3. PEP'!D42</f>
        <v>T3 - Año 2</v>
      </c>
      <c r="N17" s="403" t="str">
        <f>'3. PEP'!E42</f>
        <v>T2 - Año 3</v>
      </c>
      <c r="O17" s="67"/>
      <c r="P17" s="23"/>
      <c r="Q17" s="24"/>
      <c r="R17" s="27"/>
      <c r="S17" s="24"/>
      <c r="T17" s="24"/>
      <c r="U17" s="24"/>
    </row>
    <row r="18" spans="1:207" s="26" customFormat="1" x14ac:dyDescent="0.2">
      <c r="A18" s="22"/>
      <c r="B18" s="1042" t="s">
        <v>89</v>
      </c>
      <c r="C18" s="1042"/>
      <c r="D18" s="1042"/>
      <c r="E18" s="1042"/>
      <c r="F18" s="1042"/>
      <c r="G18" s="1042"/>
      <c r="H18" s="63">
        <f>SUM(H12:H17)</f>
        <v>50323860</v>
      </c>
      <c r="I18" s="64"/>
      <c r="J18" s="64"/>
      <c r="K18" s="64"/>
      <c r="L18" s="65"/>
      <c r="M18" s="65"/>
      <c r="N18" s="66"/>
      <c r="O18" s="64"/>
      <c r="P18" s="23"/>
      <c r="Q18" s="24"/>
      <c r="R18" s="27" t="s">
        <v>90</v>
      </c>
      <c r="S18" s="24"/>
      <c r="T18" s="24"/>
      <c r="U18" s="24"/>
    </row>
    <row r="19" spans="1:207" s="26" customFormat="1" x14ac:dyDescent="0.2">
      <c r="A19" s="22"/>
      <c r="B19" s="22"/>
      <c r="C19" s="29"/>
      <c r="D19" s="30"/>
      <c r="E19" s="22"/>
      <c r="F19" s="22"/>
      <c r="G19" s="31"/>
      <c r="H19" s="22"/>
      <c r="I19" s="22"/>
      <c r="J19" s="22"/>
      <c r="K19" s="22"/>
      <c r="L19" s="32"/>
      <c r="M19" s="32"/>
      <c r="N19" s="30"/>
      <c r="O19" s="22"/>
      <c r="P19" s="23"/>
      <c r="R19" s="27" t="s">
        <v>91</v>
      </c>
    </row>
    <row r="20" spans="1:207" s="26" customFormat="1" x14ac:dyDescent="0.2">
      <c r="A20" s="22"/>
      <c r="B20" s="1010" t="s">
        <v>92</v>
      </c>
      <c r="C20" s="1031"/>
      <c r="D20" s="1031"/>
      <c r="E20" s="1031"/>
      <c r="F20" s="1031"/>
      <c r="G20" s="1031"/>
      <c r="H20" s="1031"/>
      <c r="I20" s="1031"/>
      <c r="J20" s="1031"/>
      <c r="K20" s="1031"/>
      <c r="L20" s="1031"/>
      <c r="M20" s="1031"/>
      <c r="N20" s="1031"/>
      <c r="O20" s="1031"/>
      <c r="P20" s="23"/>
      <c r="Q20" s="24"/>
      <c r="R20" s="27" t="s">
        <v>93</v>
      </c>
      <c r="S20" s="24"/>
      <c r="T20" s="24"/>
      <c r="U20" s="24"/>
    </row>
    <row r="21" spans="1:207" s="26" customFormat="1" x14ac:dyDescent="0.2">
      <c r="A21" s="22"/>
      <c r="B21" s="1010" t="s">
        <v>70</v>
      </c>
      <c r="C21" s="1023" t="s">
        <v>71</v>
      </c>
      <c r="D21" s="1023" t="s">
        <v>72</v>
      </c>
      <c r="E21" s="1010" t="s">
        <v>94</v>
      </c>
      <c r="F21" s="1010" t="s">
        <v>74</v>
      </c>
      <c r="G21" s="1043" t="s">
        <v>75</v>
      </c>
      <c r="H21" s="1012" t="s">
        <v>76</v>
      </c>
      <c r="I21" s="1012"/>
      <c r="J21" s="1012"/>
      <c r="K21" s="1010" t="s">
        <v>77</v>
      </c>
      <c r="L21" s="1016" t="s">
        <v>78</v>
      </c>
      <c r="M21" s="1010" t="s">
        <v>79</v>
      </c>
      <c r="N21" s="1010"/>
      <c r="O21" s="1010" t="s">
        <v>80</v>
      </c>
      <c r="P21" s="23"/>
      <c r="Q21" s="24"/>
      <c r="R21" s="27" t="s">
        <v>95</v>
      </c>
      <c r="S21" s="24"/>
      <c r="T21" s="24"/>
      <c r="U21" s="24"/>
    </row>
    <row r="22" spans="1:207" s="26" customFormat="1" ht="38.25" x14ac:dyDescent="0.2">
      <c r="A22" s="22"/>
      <c r="B22" s="1010"/>
      <c r="C22" s="1023"/>
      <c r="D22" s="1023"/>
      <c r="E22" s="1012"/>
      <c r="F22" s="1010"/>
      <c r="G22" s="1031"/>
      <c r="H22" s="90" t="s">
        <v>82</v>
      </c>
      <c r="I22" s="90" t="s">
        <v>83</v>
      </c>
      <c r="J22" s="90" t="s">
        <v>84</v>
      </c>
      <c r="K22" s="1010"/>
      <c r="L22" s="1012"/>
      <c r="M22" s="76" t="s">
        <v>85</v>
      </c>
      <c r="N22" s="94" t="s">
        <v>86</v>
      </c>
      <c r="O22" s="1010"/>
      <c r="P22" s="23"/>
      <c r="Q22" s="24"/>
      <c r="R22" s="25"/>
      <c r="S22" s="24"/>
      <c r="T22" s="24"/>
      <c r="U22" s="24"/>
    </row>
    <row r="23" spans="1:207" s="84" customFormat="1" x14ac:dyDescent="0.2">
      <c r="B23" s="82"/>
      <c r="C23" s="87"/>
      <c r="D23" s="68"/>
      <c r="E23" s="40"/>
      <c r="F23" s="42"/>
      <c r="H23" s="72"/>
      <c r="I23" s="69"/>
      <c r="J23" s="69"/>
      <c r="K23" s="85"/>
      <c r="L23" s="96"/>
      <c r="M23" s="202"/>
      <c r="N23" s="202"/>
      <c r="O23" s="86"/>
      <c r="P23" s="26"/>
      <c r="Q23" s="26"/>
      <c r="R23" s="27"/>
      <c r="S23" s="27"/>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row>
    <row r="24" spans="1:207" s="26" customFormat="1" x14ac:dyDescent="0.2">
      <c r="A24" s="22"/>
      <c r="B24" s="1042" t="s">
        <v>97</v>
      </c>
      <c r="C24" s="1042"/>
      <c r="D24" s="1042"/>
      <c r="E24" s="1042"/>
      <c r="F24" s="1042"/>
      <c r="G24" s="1042"/>
      <c r="H24" s="63">
        <f>SUM(H23:H23)</f>
        <v>0</v>
      </c>
      <c r="I24" s="64"/>
      <c r="J24" s="64"/>
      <c r="K24" s="64"/>
      <c r="L24" s="65"/>
      <c r="M24" s="79"/>
      <c r="N24" s="80"/>
      <c r="O24" s="78"/>
      <c r="P24" s="23"/>
      <c r="Q24" s="24"/>
      <c r="R24" s="27" t="s">
        <v>90</v>
      </c>
      <c r="S24" s="24"/>
      <c r="T24" s="24"/>
      <c r="U24" s="24"/>
    </row>
    <row r="25" spans="1:207" s="26" customFormat="1" x14ac:dyDescent="0.2">
      <c r="A25" s="22"/>
      <c r="B25" s="22"/>
      <c r="C25" s="29"/>
      <c r="D25" s="30"/>
      <c r="E25" s="22"/>
      <c r="F25" s="22"/>
      <c r="G25" s="31"/>
      <c r="H25" s="22"/>
      <c r="I25" s="22"/>
      <c r="J25" s="22"/>
      <c r="K25" s="22"/>
      <c r="L25" s="32"/>
      <c r="M25" s="32"/>
      <c r="N25" s="30"/>
      <c r="O25" s="22"/>
      <c r="P25" s="22"/>
      <c r="R25" s="27" t="s">
        <v>96</v>
      </c>
    </row>
    <row r="26" spans="1:207" s="26" customFormat="1" x14ac:dyDescent="0.2">
      <c r="A26" s="22"/>
      <c r="B26" s="1010" t="s">
        <v>98</v>
      </c>
      <c r="C26" s="1031"/>
      <c r="D26" s="1031"/>
      <c r="E26" s="1031"/>
      <c r="F26" s="1031"/>
      <c r="G26" s="1031"/>
      <c r="H26" s="1031"/>
      <c r="I26" s="1031"/>
      <c r="J26" s="1031"/>
      <c r="K26" s="1031"/>
      <c r="L26" s="1031"/>
      <c r="M26" s="1031"/>
      <c r="N26" s="1031"/>
      <c r="O26" s="1031"/>
      <c r="P26" s="22"/>
      <c r="R26" s="27" t="s">
        <v>99</v>
      </c>
    </row>
    <row r="27" spans="1:207" s="26" customFormat="1" x14ac:dyDescent="0.2">
      <c r="A27" s="22"/>
      <c r="B27" s="1010" t="s">
        <v>70</v>
      </c>
      <c r="C27" s="1023" t="s">
        <v>71</v>
      </c>
      <c r="D27" s="1023" t="s">
        <v>72</v>
      </c>
      <c r="E27" s="1010" t="s">
        <v>94</v>
      </c>
      <c r="F27" s="1010" t="s">
        <v>74</v>
      </c>
      <c r="G27" s="1043" t="s">
        <v>75</v>
      </c>
      <c r="H27" s="1012" t="s">
        <v>76</v>
      </c>
      <c r="I27" s="1012"/>
      <c r="J27" s="1012"/>
      <c r="K27" s="1010" t="s">
        <v>77</v>
      </c>
      <c r="L27" s="1016" t="s">
        <v>78</v>
      </c>
      <c r="M27" s="1010" t="s">
        <v>79</v>
      </c>
      <c r="N27" s="1010"/>
      <c r="O27" s="1010" t="s">
        <v>80</v>
      </c>
      <c r="P27" s="22"/>
      <c r="R27" s="27" t="s">
        <v>100</v>
      </c>
    </row>
    <row r="28" spans="1:207" s="26" customFormat="1" ht="38.25" x14ac:dyDescent="0.2">
      <c r="A28" s="22"/>
      <c r="B28" s="1015"/>
      <c r="C28" s="1044"/>
      <c r="D28" s="1044"/>
      <c r="E28" s="1017"/>
      <c r="F28" s="1015"/>
      <c r="G28" s="1045"/>
      <c r="H28" s="93" t="s">
        <v>82</v>
      </c>
      <c r="I28" s="93" t="s">
        <v>83</v>
      </c>
      <c r="J28" s="93" t="s">
        <v>84</v>
      </c>
      <c r="K28" s="1015"/>
      <c r="L28" s="1017"/>
      <c r="M28" s="76" t="s">
        <v>101</v>
      </c>
      <c r="N28" s="94" t="s">
        <v>86</v>
      </c>
      <c r="O28" s="1015"/>
      <c r="P28" s="22"/>
      <c r="R28" s="27" t="s">
        <v>102</v>
      </c>
    </row>
    <row r="29" spans="1:207" s="26" customFormat="1" x14ac:dyDescent="0.2">
      <c r="A29" s="39"/>
      <c r="B29" s="82"/>
      <c r="C29" s="97"/>
      <c r="D29" s="41"/>
      <c r="E29" s="40"/>
      <c r="F29" s="42"/>
      <c r="G29" s="190"/>
      <c r="H29" s="43"/>
      <c r="I29" s="62"/>
      <c r="J29" s="62"/>
      <c r="K29" s="45"/>
      <c r="L29" s="96"/>
      <c r="M29" s="202"/>
      <c r="N29" s="202"/>
      <c r="O29" s="141"/>
      <c r="P29" s="61"/>
      <c r="R29" s="27"/>
      <c r="S29" s="27"/>
    </row>
    <row r="30" spans="1:207" s="26" customFormat="1" x14ac:dyDescent="0.2">
      <c r="A30" s="22"/>
      <c r="B30" s="1018" t="s">
        <v>103</v>
      </c>
      <c r="C30" s="1018"/>
      <c r="D30" s="1018"/>
      <c r="E30" s="1018"/>
      <c r="F30" s="1018"/>
      <c r="G30" s="1018"/>
      <c r="H30" s="77">
        <f>SUM(H29:H29)</f>
        <v>0</v>
      </c>
      <c r="I30" s="78"/>
      <c r="J30" s="78"/>
      <c r="K30" s="78"/>
      <c r="L30" s="79"/>
      <c r="M30" s="79"/>
      <c r="N30" s="80"/>
      <c r="O30" s="74"/>
      <c r="P30" s="140"/>
      <c r="Q30" s="24"/>
      <c r="R30" s="27" t="s">
        <v>90</v>
      </c>
      <c r="S30" s="24"/>
      <c r="T30" s="24"/>
      <c r="U30" s="24"/>
    </row>
    <row r="31" spans="1:207" s="26" customFormat="1" x14ac:dyDescent="0.2">
      <c r="A31" s="22"/>
      <c r="B31" s="33"/>
      <c r="C31" s="34"/>
      <c r="D31" s="34"/>
      <c r="E31" s="35"/>
      <c r="F31" s="35"/>
      <c r="G31" s="36"/>
      <c r="H31" s="35"/>
      <c r="I31" s="35"/>
      <c r="J31" s="35"/>
      <c r="K31" s="35"/>
      <c r="L31" s="37"/>
      <c r="M31" s="37"/>
      <c r="N31" s="34"/>
      <c r="O31" s="35"/>
      <c r="P31" s="22"/>
      <c r="R31" s="27"/>
    </row>
    <row r="32" spans="1:207" s="26" customFormat="1" x14ac:dyDescent="0.2">
      <c r="A32" s="22"/>
      <c r="B32" s="1029" t="s">
        <v>104</v>
      </c>
      <c r="C32" s="1030"/>
      <c r="D32" s="1030"/>
      <c r="E32" s="1030"/>
      <c r="F32" s="1030"/>
      <c r="G32" s="1030"/>
      <c r="H32" s="1030"/>
      <c r="I32" s="1030"/>
      <c r="J32" s="1030"/>
      <c r="K32" s="1030"/>
      <c r="L32" s="1030"/>
      <c r="M32" s="1030"/>
      <c r="N32" s="1030"/>
      <c r="O32" s="1030"/>
      <c r="P32" s="22"/>
      <c r="R32" s="27" t="s">
        <v>105</v>
      </c>
    </row>
    <row r="33" spans="1:21" s="26" customFormat="1" x14ac:dyDescent="0.2">
      <c r="A33" s="22"/>
      <c r="B33" s="1010" t="s">
        <v>70</v>
      </c>
      <c r="C33" s="1023" t="s">
        <v>71</v>
      </c>
      <c r="D33" s="1015" t="s">
        <v>106</v>
      </c>
      <c r="E33" s="1010" t="s">
        <v>94</v>
      </c>
      <c r="F33" s="1010" t="s">
        <v>75</v>
      </c>
      <c r="G33" s="1012" t="s">
        <v>76</v>
      </c>
      <c r="H33" s="1012"/>
      <c r="I33" s="1012"/>
      <c r="J33" s="1010" t="s">
        <v>77</v>
      </c>
      <c r="K33" s="1010" t="s">
        <v>78</v>
      </c>
      <c r="L33" s="1010" t="s">
        <v>79</v>
      </c>
      <c r="M33" s="1039"/>
      <c r="N33" s="1032" t="s">
        <v>80</v>
      </c>
      <c r="O33" s="1033"/>
      <c r="P33" s="22"/>
      <c r="R33" s="27" t="s">
        <v>107</v>
      </c>
    </row>
    <row r="34" spans="1:21" s="26" customFormat="1" ht="51" x14ac:dyDescent="0.2">
      <c r="A34" s="22"/>
      <c r="B34" s="1010"/>
      <c r="C34" s="1023"/>
      <c r="D34" s="1038"/>
      <c r="E34" s="1012"/>
      <c r="F34" s="1010"/>
      <c r="G34" s="95" t="s">
        <v>82</v>
      </c>
      <c r="H34" s="90" t="s">
        <v>83</v>
      </c>
      <c r="I34" s="90" t="s">
        <v>84</v>
      </c>
      <c r="J34" s="1010"/>
      <c r="K34" s="1031"/>
      <c r="L34" s="92" t="s">
        <v>108</v>
      </c>
      <c r="M34" s="151" t="s">
        <v>86</v>
      </c>
      <c r="N34" s="1034"/>
      <c r="O34" s="1035"/>
      <c r="P34" s="22"/>
      <c r="R34" s="27" t="s">
        <v>109</v>
      </c>
    </row>
    <row r="35" spans="1:21" s="26" customFormat="1" ht="25.5" x14ac:dyDescent="0.2">
      <c r="A35" s="39"/>
      <c r="B35" s="40" t="s">
        <v>447</v>
      </c>
      <c r="C35" s="188" t="str">
        <f>'[1]4. CC D'!B11</f>
        <v>Contratación de Firma Consultora para el desarrollo de diseños de caminos - Grupo 2</v>
      </c>
      <c r="D35" s="190" t="s">
        <v>783</v>
      </c>
      <c r="E35" s="40" t="s">
        <v>382</v>
      </c>
      <c r="F35" s="190">
        <v>7</v>
      </c>
      <c r="G35" s="43">
        <f>'[1]4. CC D'!I11</f>
        <v>1820000</v>
      </c>
      <c r="H35" s="69">
        <v>1</v>
      </c>
      <c r="I35" s="44">
        <v>0</v>
      </c>
      <c r="J35" s="45" t="s">
        <v>195</v>
      </c>
      <c r="K35" s="75" t="s">
        <v>221</v>
      </c>
      <c r="L35" s="202" t="str">
        <f>'[1]3. PEP'!D28</f>
        <v>T2 - Año 1</v>
      </c>
      <c r="M35" s="202" t="str">
        <f>'[1]3. PEP'!E28</f>
        <v>T4 - Año 1</v>
      </c>
      <c r="N35" s="1027"/>
      <c r="O35" s="1028"/>
      <c r="P35" s="22"/>
      <c r="R35" s="27"/>
      <c r="S35" s="27"/>
    </row>
    <row r="36" spans="1:21" s="26" customFormat="1" ht="25.5" x14ac:dyDescent="0.2">
      <c r="A36" s="39"/>
      <c r="B36" s="40" t="s">
        <v>447</v>
      </c>
      <c r="C36" s="188" t="str">
        <f>'[1]4. CC D'!B12</f>
        <v>Contratación de Firma Consultora para el desarrollo de diseños de puentes - Grupo 2</v>
      </c>
      <c r="D36" s="190" t="s">
        <v>776</v>
      </c>
      <c r="E36" s="40" t="s">
        <v>382</v>
      </c>
      <c r="F36" s="190">
        <v>8</v>
      </c>
      <c r="G36" s="43">
        <f>'[1]4. CC D'!I12</f>
        <v>780000</v>
      </c>
      <c r="H36" s="69">
        <v>1</v>
      </c>
      <c r="I36" s="44">
        <v>0</v>
      </c>
      <c r="J36" s="45" t="s">
        <v>195</v>
      </c>
      <c r="K36" s="75" t="s">
        <v>221</v>
      </c>
      <c r="L36" s="202" t="str">
        <f>'[1]3. PEP'!D29</f>
        <v>T3 - Año 1</v>
      </c>
      <c r="M36" s="202" t="str">
        <f>'[1]3. PEP'!E29</f>
        <v>T1 - Año 2</v>
      </c>
      <c r="N36" s="1008"/>
      <c r="O36" s="1009"/>
      <c r="P36" s="22"/>
      <c r="R36" s="27"/>
      <c r="S36" s="27"/>
    </row>
    <row r="37" spans="1:21" s="26" customFormat="1" ht="25.5" customHeight="1" x14ac:dyDescent="0.2">
      <c r="A37" s="39"/>
      <c r="B37" s="40" t="s">
        <v>447</v>
      </c>
      <c r="C37" s="188" t="str">
        <f>'[1]4. CC D'!B41</f>
        <v>Continuación de los servicios de la ECATEF para el Programa PR-L1092</v>
      </c>
      <c r="D37" s="190" t="str">
        <f>'[1]4. CC D'!A41</f>
        <v>2.1.1</v>
      </c>
      <c r="E37" s="40" t="s">
        <v>365</v>
      </c>
      <c r="F37" s="190">
        <v>9</v>
      </c>
      <c r="G37" s="43">
        <f>'[1]4. CC D'!J41</f>
        <v>3000000</v>
      </c>
      <c r="H37" s="69">
        <v>1</v>
      </c>
      <c r="I37" s="44">
        <v>0</v>
      </c>
      <c r="J37" s="45" t="s">
        <v>195</v>
      </c>
      <c r="K37" s="75" t="s">
        <v>221</v>
      </c>
      <c r="L37" s="202" t="str">
        <f>'[1]3. PEP'!D58</f>
        <v>T1 - Año 1</v>
      </c>
      <c r="M37" s="202" t="str">
        <f>'[1]3. PEP'!E58</f>
        <v>T1 - Año 1</v>
      </c>
      <c r="N37" s="1008" t="s">
        <v>666</v>
      </c>
      <c r="O37" s="1009"/>
      <c r="P37" s="22"/>
      <c r="R37" s="27"/>
      <c r="S37" s="27"/>
    </row>
    <row r="38" spans="1:21" s="26" customFormat="1" ht="25.5" x14ac:dyDescent="0.2">
      <c r="A38" s="39"/>
      <c r="B38" s="40" t="s">
        <v>447</v>
      </c>
      <c r="C38" s="188" t="str">
        <f>'[1]4. CC D'!B43</f>
        <v>Contratación de Firma Consultora para la Auditoria Externa del Programa PR-L1092</v>
      </c>
      <c r="D38" s="190" t="s">
        <v>723</v>
      </c>
      <c r="E38" s="40" t="s">
        <v>5</v>
      </c>
      <c r="F38" s="190">
        <v>10</v>
      </c>
      <c r="G38" s="43">
        <f>'[1]4. CC D'!J43</f>
        <v>100000</v>
      </c>
      <c r="H38" s="69">
        <v>1</v>
      </c>
      <c r="I38" s="44">
        <v>0</v>
      </c>
      <c r="J38" s="45" t="s">
        <v>195</v>
      </c>
      <c r="K38" s="75" t="s">
        <v>221</v>
      </c>
      <c r="L38" s="202" t="str">
        <f>'[1]3. PEP'!D60</f>
        <v>T2 - Año 1</v>
      </c>
      <c r="M38" s="202" t="str">
        <f>'[1]3. PEP'!E60</f>
        <v>T4 - Año 1</v>
      </c>
      <c r="N38" s="192"/>
      <c r="O38" s="193"/>
      <c r="P38" s="22"/>
      <c r="R38" s="27"/>
      <c r="S38" s="27"/>
    </row>
    <row r="39" spans="1:21" s="26" customFormat="1" ht="25.5" x14ac:dyDescent="0.2">
      <c r="A39" s="39"/>
      <c r="B39" s="40" t="s">
        <v>447</v>
      </c>
      <c r="C39" s="188" t="str">
        <f>'[1]4. CC D'!B44</f>
        <v>Contratación de Firma Consultora para la Evaluación Intermedia del Programa</v>
      </c>
      <c r="D39" s="190" t="s">
        <v>724</v>
      </c>
      <c r="E39" s="40" t="s">
        <v>402</v>
      </c>
      <c r="F39" s="190">
        <v>11</v>
      </c>
      <c r="G39" s="43">
        <f>'[1]4. CC D'!J44</f>
        <v>50000</v>
      </c>
      <c r="H39" s="69">
        <v>1</v>
      </c>
      <c r="I39" s="44">
        <v>0</v>
      </c>
      <c r="J39" s="45" t="s">
        <v>195</v>
      </c>
      <c r="K39" s="75" t="s">
        <v>221</v>
      </c>
      <c r="L39" s="202" t="str">
        <f>'[1]3. PEP'!D61</f>
        <v>T3 - Año 2</v>
      </c>
      <c r="M39" s="202" t="str">
        <f>'[1]3. PEP'!E61</f>
        <v>T1 - Año 3</v>
      </c>
      <c r="N39" s="192"/>
      <c r="O39" s="193"/>
      <c r="P39" s="22"/>
      <c r="R39" s="27"/>
      <c r="S39" s="27"/>
    </row>
    <row r="40" spans="1:21" s="26" customFormat="1" ht="25.5" x14ac:dyDescent="0.2">
      <c r="A40" s="39"/>
      <c r="B40" s="40" t="s">
        <v>447</v>
      </c>
      <c r="C40" s="188" t="str">
        <f>'[1]4. CC D'!B45</f>
        <v>Contratación de Firma Consultora para la Evaluación Final del Programa</v>
      </c>
      <c r="D40" s="190" t="str">
        <f>'[1]4. CC D'!A45</f>
        <v>2.2.3</v>
      </c>
      <c r="E40" s="40" t="s">
        <v>402</v>
      </c>
      <c r="F40" s="190">
        <v>12</v>
      </c>
      <c r="G40" s="43">
        <f>'[1]4. CC D'!J45</f>
        <v>50000</v>
      </c>
      <c r="H40" s="69">
        <v>1</v>
      </c>
      <c r="I40" s="44">
        <v>0</v>
      </c>
      <c r="J40" s="45" t="s">
        <v>195</v>
      </c>
      <c r="K40" s="75" t="s">
        <v>221</v>
      </c>
      <c r="L40" s="202" t="str">
        <f>'[1]3. PEP'!D62</f>
        <v>T4 - Año 4</v>
      </c>
      <c r="M40" s="202" t="str">
        <f>'[1]3. PEP'!E62</f>
        <v>T2- Año 5</v>
      </c>
      <c r="N40" s="192"/>
      <c r="O40" s="193"/>
      <c r="P40" s="22"/>
      <c r="R40" s="27"/>
      <c r="S40" s="27"/>
    </row>
    <row r="41" spans="1:21" s="26" customFormat="1" ht="38.25" x14ac:dyDescent="0.2">
      <c r="A41" s="39"/>
      <c r="B41" s="40" t="s">
        <v>447</v>
      </c>
      <c r="C41" s="188" t="str">
        <f>'[1]4. CC D'!B27</f>
        <v>Contratación de Firma Consultora para Fiscalización de rehabilitación de Caminos Grupo 1</v>
      </c>
      <c r="D41" s="190" t="s">
        <v>781</v>
      </c>
      <c r="E41" s="40" t="s">
        <v>382</v>
      </c>
      <c r="F41" s="190">
        <v>13</v>
      </c>
      <c r="G41" s="43">
        <f>'[1]4. CC D'!I27</f>
        <v>875000</v>
      </c>
      <c r="H41" s="69">
        <v>1</v>
      </c>
      <c r="I41" s="44">
        <v>0</v>
      </c>
      <c r="J41" s="45" t="s">
        <v>195</v>
      </c>
      <c r="K41" s="75" t="s">
        <v>221</v>
      </c>
      <c r="L41" s="202" t="str">
        <f>'[1]3. PEP'!D44</f>
        <v>T2 - Año 1</v>
      </c>
      <c r="M41" s="202" t="str">
        <f>'[1]3. PEP'!E44</f>
        <v>T4 - Año 1</v>
      </c>
      <c r="N41" s="1036"/>
      <c r="O41" s="1037"/>
      <c r="P41" s="22"/>
      <c r="R41" s="27"/>
      <c r="S41" s="27"/>
    </row>
    <row r="42" spans="1:21" s="26" customFormat="1" ht="38.25" x14ac:dyDescent="0.2">
      <c r="A42" s="39"/>
      <c r="B42" s="40" t="s">
        <v>447</v>
      </c>
      <c r="C42" s="188" t="str">
        <f>'[1]4. CC D'!B28</f>
        <v>Contratación de Firma Consultora para Fiscalización de rehabilitación de Caminos Grupo 2</v>
      </c>
      <c r="D42" s="190" t="s">
        <v>782</v>
      </c>
      <c r="E42" s="40" t="s">
        <v>382</v>
      </c>
      <c r="F42" s="190">
        <v>14</v>
      </c>
      <c r="G42" s="43">
        <f>'[1]4. CC D'!I28</f>
        <v>1645000</v>
      </c>
      <c r="H42" s="69">
        <v>1</v>
      </c>
      <c r="I42" s="44">
        <v>0</v>
      </c>
      <c r="J42" s="45" t="s">
        <v>195</v>
      </c>
      <c r="K42" s="75" t="s">
        <v>221</v>
      </c>
      <c r="L42" s="202" t="str">
        <f>'[1]3. PEP'!D45</f>
        <v>T2 - Año 2</v>
      </c>
      <c r="M42" s="202" t="str">
        <f>'[1]3. PEP'!E45</f>
        <v>T4 - Año 2</v>
      </c>
      <c r="N42" s="192"/>
      <c r="O42" s="193"/>
      <c r="P42" s="22"/>
      <c r="R42" s="27"/>
      <c r="S42" s="27"/>
    </row>
    <row r="43" spans="1:21" s="26" customFormat="1" ht="38.25" x14ac:dyDescent="0.2">
      <c r="A43" s="39"/>
      <c r="B43" s="40" t="s">
        <v>447</v>
      </c>
      <c r="C43" s="188" t="str">
        <f>'[1]4. CC D'!B29</f>
        <v>Contratación de Firma Consultora para Fiscalización de reemplazo de puentes Grupo 1</v>
      </c>
      <c r="D43" s="190" t="s">
        <v>671</v>
      </c>
      <c r="E43" s="40" t="s">
        <v>382</v>
      </c>
      <c r="F43" s="190">
        <v>15</v>
      </c>
      <c r="G43" s="43">
        <f>'[1]4. CC D'!I29</f>
        <v>460000</v>
      </c>
      <c r="H43" s="69">
        <v>1</v>
      </c>
      <c r="I43" s="44">
        <v>0</v>
      </c>
      <c r="J43" s="45" t="s">
        <v>195</v>
      </c>
      <c r="K43" s="75" t="s">
        <v>221</v>
      </c>
      <c r="L43" s="202" t="str">
        <f>'[1]3. PEP'!D46</f>
        <v>T1 - Año 1</v>
      </c>
      <c r="M43" s="202" t="str">
        <f>'[1]3. PEP'!E46</f>
        <v>T3 - Año 1</v>
      </c>
      <c r="N43" s="192"/>
      <c r="O43" s="193"/>
      <c r="P43" s="22"/>
      <c r="R43" s="27"/>
      <c r="S43" s="27"/>
    </row>
    <row r="44" spans="1:21" s="26" customFormat="1" ht="38.25" x14ac:dyDescent="0.2">
      <c r="A44" s="39"/>
      <c r="B44" s="40" t="s">
        <v>447</v>
      </c>
      <c r="C44" s="188" t="str">
        <f>'[1]4. CC D'!B30</f>
        <v>Contratación de Firma Consultora para Fiscalización de reemplazo de puentes Grupo 2</v>
      </c>
      <c r="D44" s="190" t="s">
        <v>717</v>
      </c>
      <c r="E44" s="40" t="s">
        <v>382</v>
      </c>
      <c r="F44" s="190">
        <v>16</v>
      </c>
      <c r="G44" s="43">
        <f>'[1]4. CC D'!I30</f>
        <v>220000</v>
      </c>
      <c r="H44" s="69">
        <v>1</v>
      </c>
      <c r="I44" s="44">
        <v>0</v>
      </c>
      <c r="J44" s="45" t="s">
        <v>195</v>
      </c>
      <c r="K44" s="75" t="s">
        <v>221</v>
      </c>
      <c r="L44" s="202" t="str">
        <f>'[1]3. PEP'!D47</f>
        <v>T2 - Año 2</v>
      </c>
      <c r="M44" s="202" t="str">
        <f>'[1]3. PEP'!E47</f>
        <v>T4 - Año 2</v>
      </c>
      <c r="N44" s="192"/>
      <c r="O44" s="193"/>
      <c r="P44" s="22"/>
      <c r="R44" s="27"/>
      <c r="S44" s="27"/>
    </row>
    <row r="45" spans="1:21" s="26" customFormat="1" ht="35.25" customHeight="1" x14ac:dyDescent="0.2">
      <c r="A45" s="39"/>
      <c r="B45" s="734" t="s">
        <v>447</v>
      </c>
      <c r="C45" s="735" t="str">
        <f>'[1]4. CC D'!B33</f>
        <v>Consultoría de Diseño y Capacitación para el Gerenciamiento Ambiental</v>
      </c>
      <c r="D45" s="190" t="s">
        <v>792</v>
      </c>
      <c r="E45" s="567" t="s">
        <v>402</v>
      </c>
      <c r="F45" s="190">
        <v>17</v>
      </c>
      <c r="G45" s="736">
        <f>'[1]4. CC D'!J33</f>
        <v>65000</v>
      </c>
      <c r="H45" s="69">
        <v>1</v>
      </c>
      <c r="I45" s="44">
        <v>0</v>
      </c>
      <c r="J45" s="45" t="s">
        <v>195</v>
      </c>
      <c r="K45" s="75" t="s">
        <v>221</v>
      </c>
      <c r="L45" s="566" t="str">
        <f>'[1]3. PEP'!D50</f>
        <v>T1 - Año 2</v>
      </c>
      <c r="M45" s="566" t="str">
        <f>'[1]3. PEP'!E50</f>
        <v>T4 - Año 2</v>
      </c>
      <c r="N45" s="192"/>
      <c r="O45" s="193"/>
      <c r="P45" s="22"/>
      <c r="R45" s="27"/>
      <c r="S45" s="27"/>
    </row>
    <row r="46" spans="1:21" s="26" customFormat="1" ht="35.25" customHeight="1" x14ac:dyDescent="0.2">
      <c r="A46" s="39"/>
      <c r="B46" s="734" t="s">
        <v>447</v>
      </c>
      <c r="C46" s="735" t="str">
        <f>'[1]4. CC D'!B35</f>
        <v>Consultoría para desarrollo de apoyo a pueblos indígenas</v>
      </c>
      <c r="D46" s="190" t="s">
        <v>793</v>
      </c>
      <c r="E46" s="567" t="s">
        <v>402</v>
      </c>
      <c r="F46" s="190">
        <v>18</v>
      </c>
      <c r="G46" s="736">
        <f>'[1]4. CC D'!J35</f>
        <v>130000</v>
      </c>
      <c r="H46" s="69">
        <v>1</v>
      </c>
      <c r="I46" s="44">
        <v>0</v>
      </c>
      <c r="J46" s="45" t="s">
        <v>195</v>
      </c>
      <c r="K46" s="75" t="s">
        <v>221</v>
      </c>
      <c r="L46" s="566" t="str">
        <f>'[1]3. PEP'!D52</f>
        <v>T1 - Año 2</v>
      </c>
      <c r="M46" s="566" t="str">
        <f>'[1]3. PEP'!E52</f>
        <v>T3 - Año 2</v>
      </c>
      <c r="N46" s="192"/>
      <c r="O46" s="193"/>
      <c r="P46" s="22"/>
      <c r="R46" s="27"/>
      <c r="S46" s="27"/>
    </row>
    <row r="47" spans="1:21" s="26" customFormat="1" ht="35.25" customHeight="1" x14ac:dyDescent="0.2">
      <c r="A47" s="39"/>
      <c r="B47" s="734" t="s">
        <v>447</v>
      </c>
      <c r="C47" s="735" t="str">
        <f>'[1]4. CC D'!B37</f>
        <v>Consultoría "Monitoreo y Gestión Social Ambiental"</v>
      </c>
      <c r="D47" s="190" t="s">
        <v>795</v>
      </c>
      <c r="E47" s="567" t="s">
        <v>402</v>
      </c>
      <c r="F47" s="190">
        <v>19</v>
      </c>
      <c r="G47" s="736">
        <f>'[1]4. CC D'!J37</f>
        <v>150000</v>
      </c>
      <c r="H47" s="69">
        <v>1</v>
      </c>
      <c r="I47" s="44">
        <v>0</v>
      </c>
      <c r="J47" s="45" t="s">
        <v>195</v>
      </c>
      <c r="K47" s="75" t="s">
        <v>221</v>
      </c>
      <c r="L47" s="566" t="str">
        <f>'[1]3. PEP'!D54</f>
        <v>T3 - Año 1</v>
      </c>
      <c r="M47" s="566" t="str">
        <f>'[1]3. PEP'!E54</f>
        <v>T2 - Año 2</v>
      </c>
      <c r="N47" s="192"/>
      <c r="O47" s="193"/>
      <c r="P47" s="22"/>
      <c r="R47" s="27"/>
      <c r="S47" s="27"/>
    </row>
    <row r="48" spans="1:21" s="26" customFormat="1" x14ac:dyDescent="0.2">
      <c r="A48" s="22"/>
      <c r="B48" s="1006" t="s">
        <v>113</v>
      </c>
      <c r="C48" s="1006"/>
      <c r="D48" s="1006"/>
      <c r="E48" s="1006"/>
      <c r="F48" s="1006"/>
      <c r="G48" s="46">
        <f>SUM(G35:G47)</f>
        <v>9345000</v>
      </c>
      <c r="H48" s="47"/>
      <c r="I48" s="47"/>
      <c r="J48" s="47"/>
      <c r="K48" s="47"/>
      <c r="L48" s="48"/>
      <c r="M48" s="150"/>
      <c r="N48" s="1013"/>
      <c r="O48" s="1014"/>
      <c r="P48" s="23"/>
      <c r="Q48" s="24"/>
      <c r="R48" s="27" t="s">
        <v>90</v>
      </c>
      <c r="S48" s="24"/>
      <c r="T48" s="24"/>
      <c r="U48" s="24"/>
    </row>
    <row r="49" spans="1:207" x14ac:dyDescent="0.2">
      <c r="A49" s="35"/>
      <c r="B49" s="33"/>
      <c r="C49" s="49"/>
      <c r="D49" s="50"/>
      <c r="E49" s="35"/>
      <c r="F49" s="35"/>
      <c r="G49" s="36"/>
      <c r="H49" s="51"/>
      <c r="I49" s="51"/>
      <c r="J49" s="35"/>
      <c r="K49" s="35"/>
      <c r="L49" s="37"/>
      <c r="M49" s="52"/>
      <c r="O49" s="38"/>
      <c r="R49" s="27"/>
      <c r="S49" s="27"/>
    </row>
    <row r="50" spans="1:207" x14ac:dyDescent="0.2">
      <c r="B50" s="1010" t="s">
        <v>114</v>
      </c>
      <c r="C50" s="1031"/>
      <c r="D50" s="1031"/>
      <c r="E50" s="1031"/>
      <c r="F50" s="1031"/>
      <c r="G50" s="1031"/>
      <c r="H50" s="1031"/>
      <c r="I50" s="1031"/>
      <c r="J50" s="1031"/>
      <c r="K50" s="1031"/>
      <c r="L50" s="1031"/>
      <c r="M50" s="1031"/>
      <c r="N50" s="1031"/>
      <c r="O50" s="1031"/>
      <c r="R50" s="27" t="s">
        <v>115</v>
      </c>
      <c r="S50" s="27" t="s">
        <v>111</v>
      </c>
    </row>
    <row r="51" spans="1:207" x14ac:dyDescent="0.2">
      <c r="B51" s="1010" t="s">
        <v>70</v>
      </c>
      <c r="C51" s="1023" t="s">
        <v>71</v>
      </c>
      <c r="D51" s="1023" t="s">
        <v>72</v>
      </c>
      <c r="E51" s="1010" t="s">
        <v>94</v>
      </c>
      <c r="F51" s="1010" t="s">
        <v>75</v>
      </c>
      <c r="G51" s="1012" t="s">
        <v>76</v>
      </c>
      <c r="H51" s="1012"/>
      <c r="I51" s="1012"/>
      <c r="J51" s="1010" t="s">
        <v>116</v>
      </c>
      <c r="K51" s="1010" t="s">
        <v>77</v>
      </c>
      <c r="L51" s="1016" t="s">
        <v>78</v>
      </c>
      <c r="M51" s="1010" t="s">
        <v>79</v>
      </c>
      <c r="N51" s="1010"/>
      <c r="O51" s="1010" t="s">
        <v>80</v>
      </c>
      <c r="R51" s="27" t="s">
        <v>110</v>
      </c>
      <c r="S51" s="27" t="s">
        <v>117</v>
      </c>
    </row>
    <row r="52" spans="1:207" ht="51" x14ac:dyDescent="0.2">
      <c r="B52" s="1010"/>
      <c r="C52" s="1023"/>
      <c r="D52" s="1023"/>
      <c r="E52" s="1012"/>
      <c r="F52" s="1010"/>
      <c r="G52" s="95" t="s">
        <v>82</v>
      </c>
      <c r="H52" s="90" t="s">
        <v>83</v>
      </c>
      <c r="I52" s="90" t="s">
        <v>84</v>
      </c>
      <c r="J52" s="1010"/>
      <c r="K52" s="1010"/>
      <c r="L52" s="1012"/>
      <c r="M52" s="195" t="s">
        <v>148</v>
      </c>
      <c r="N52" s="194" t="s">
        <v>118</v>
      </c>
      <c r="O52" s="1010"/>
      <c r="R52" s="27" t="s">
        <v>112</v>
      </c>
      <c r="S52" s="27" t="s">
        <v>117</v>
      </c>
    </row>
    <row r="53" spans="1:207" ht="42.75" customHeight="1" x14ac:dyDescent="0.2">
      <c r="B53" s="734" t="s">
        <v>447</v>
      </c>
      <c r="C53" s="735" t="str">
        <f>'4. CC D'!B30</f>
        <v>Consultoría para diseño y divulgación de Programa de Educación Ambiental y de Género</v>
      </c>
      <c r="D53" s="190" t="str">
        <f>'4. CC D'!A30</f>
        <v>1.4.1</v>
      </c>
      <c r="E53" s="567" t="s">
        <v>120</v>
      </c>
      <c r="F53" s="569">
        <v>20</v>
      </c>
      <c r="G53" s="736">
        <f>'4. CC D'!K30</f>
        <v>90000</v>
      </c>
      <c r="H53" s="563">
        <v>1</v>
      </c>
      <c r="I53" s="564">
        <v>0</v>
      </c>
      <c r="J53" s="565">
        <v>1</v>
      </c>
      <c r="K53" s="737" t="s">
        <v>195</v>
      </c>
      <c r="L53" s="738" t="s">
        <v>221</v>
      </c>
      <c r="M53" s="739" t="str">
        <f>'3. PEP'!D47</f>
        <v>T2 - Año 1</v>
      </c>
      <c r="N53" s="739" t="str">
        <f>'3. PEP'!E47</f>
        <v>T4 - Año 1</v>
      </c>
      <c r="O53" s="70"/>
      <c r="R53" s="27"/>
      <c r="S53" s="27"/>
    </row>
    <row r="54" spans="1:207" ht="39" customHeight="1" x14ac:dyDescent="0.2">
      <c r="B54" s="734" t="s">
        <v>447</v>
      </c>
      <c r="C54" s="735" t="str">
        <f>'4. CC D'!B31</f>
        <v>Consultoría para desarrollo de la generación de mano de obra local y genero en zona de emprendimiento</v>
      </c>
      <c r="D54" s="190" t="str">
        <f>'4. CC D'!A31</f>
        <v>1.4.2</v>
      </c>
      <c r="E54" s="567" t="s">
        <v>120</v>
      </c>
      <c r="F54" s="569">
        <v>21</v>
      </c>
      <c r="G54" s="736">
        <f>'4. CC D'!K31</f>
        <v>130000</v>
      </c>
      <c r="H54" s="563">
        <v>1</v>
      </c>
      <c r="I54" s="564">
        <v>0</v>
      </c>
      <c r="J54" s="565">
        <v>1</v>
      </c>
      <c r="K54" s="737" t="s">
        <v>195</v>
      </c>
      <c r="L54" s="566" t="s">
        <v>221</v>
      </c>
      <c r="M54" s="566" t="str">
        <f>'3. PEP'!D48</f>
        <v>T1 - Año 1</v>
      </c>
      <c r="N54" s="566" t="str">
        <f>'3. PEP'!E48</f>
        <v>T4 - Año 1</v>
      </c>
      <c r="O54" s="70"/>
      <c r="R54" s="27"/>
      <c r="S54" s="27"/>
    </row>
    <row r="55" spans="1:207" s="53" customFormat="1" ht="30" customHeight="1" x14ac:dyDescent="0.2">
      <c r="A55" s="22"/>
      <c r="B55" s="734" t="s">
        <v>447</v>
      </c>
      <c r="C55" s="735" t="str">
        <f>'4. CC D'!B44</f>
        <v>Consultoría de Apoyo a la Supervisión Ambiental</v>
      </c>
      <c r="D55" s="190" t="str">
        <f>'4. CC D'!A44</f>
        <v>2.3.5</v>
      </c>
      <c r="E55" s="567" t="s">
        <v>120</v>
      </c>
      <c r="F55" s="569">
        <v>22</v>
      </c>
      <c r="G55" s="736">
        <f>'4. CC D'!K44</f>
        <v>50000</v>
      </c>
      <c r="H55" s="563">
        <v>1</v>
      </c>
      <c r="I55" s="564">
        <v>0</v>
      </c>
      <c r="J55" s="565">
        <v>1</v>
      </c>
      <c r="K55" s="565" t="s">
        <v>195</v>
      </c>
      <c r="L55" s="740" t="s">
        <v>221</v>
      </c>
      <c r="M55" s="566" t="str">
        <f>'3. PEP'!D61</f>
        <v>T2 - Año 1</v>
      </c>
      <c r="N55" s="566" t="str">
        <f>'3. PEP'!E61</f>
        <v>T4 - Año 1</v>
      </c>
      <c r="O55" s="70"/>
      <c r="P55" s="22"/>
      <c r="Q55" s="26"/>
      <c r="R55" s="27"/>
      <c r="S55" s="27"/>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row>
    <row r="56" spans="1:207" x14ac:dyDescent="0.2">
      <c r="B56" s="1006" t="s">
        <v>121</v>
      </c>
      <c r="C56" s="1006"/>
      <c r="D56" s="1006"/>
      <c r="E56" s="1006"/>
      <c r="F56" s="1006"/>
      <c r="G56" s="46">
        <f>SUM(G53:G55)</f>
        <v>270000</v>
      </c>
      <c r="H56" s="47"/>
      <c r="I56" s="47"/>
      <c r="J56" s="47"/>
      <c r="K56" s="47"/>
      <c r="L56" s="48"/>
      <c r="M56" s="48"/>
      <c r="N56" s="48"/>
      <c r="O56" s="48"/>
      <c r="R56" s="27" t="s">
        <v>122</v>
      </c>
      <c r="S56" s="27" t="s">
        <v>119</v>
      </c>
    </row>
    <row r="57" spans="1:207" x14ac:dyDescent="0.2">
      <c r="B57" s="38"/>
      <c r="C57" s="56"/>
      <c r="D57" s="57"/>
      <c r="E57" s="38"/>
      <c r="F57" s="38"/>
      <c r="G57" s="58"/>
      <c r="H57" s="38"/>
      <c r="I57" s="38"/>
      <c r="J57" s="38"/>
      <c r="K57" s="38"/>
      <c r="L57" s="59"/>
      <c r="M57" s="59"/>
      <c r="N57" s="57"/>
      <c r="O57" s="38"/>
      <c r="R57" s="27" t="s">
        <v>123</v>
      </c>
      <c r="S57" s="27" t="s">
        <v>124</v>
      </c>
    </row>
    <row r="58" spans="1:207" x14ac:dyDescent="0.2">
      <c r="B58" s="1005" t="s">
        <v>125</v>
      </c>
      <c r="C58" s="1005"/>
      <c r="D58" s="1005"/>
      <c r="E58" s="1005"/>
      <c r="F58" s="1005"/>
      <c r="G58" s="1005"/>
      <c r="H58" s="1005"/>
      <c r="I58" s="1005"/>
      <c r="J58" s="1005"/>
      <c r="K58" s="1005"/>
      <c r="L58" s="1005"/>
      <c r="M58" s="1005"/>
      <c r="N58" s="1005"/>
      <c r="O58" s="1005"/>
      <c r="R58" s="27" t="s">
        <v>126</v>
      </c>
      <c r="S58" s="27" t="s">
        <v>124</v>
      </c>
    </row>
    <row r="59" spans="1:207" x14ac:dyDescent="0.2">
      <c r="B59" s="1005" t="s">
        <v>70</v>
      </c>
      <c r="C59" s="1024" t="s">
        <v>71</v>
      </c>
      <c r="D59" s="1024" t="s">
        <v>72</v>
      </c>
      <c r="E59" s="1005" t="s">
        <v>94</v>
      </c>
      <c r="F59" s="1005" t="s">
        <v>75</v>
      </c>
      <c r="G59" s="1007" t="s">
        <v>76</v>
      </c>
      <c r="H59" s="1007"/>
      <c r="I59" s="1007"/>
      <c r="J59" s="1005" t="s">
        <v>77</v>
      </c>
      <c r="K59" s="1005" t="s">
        <v>78</v>
      </c>
      <c r="L59" s="1005" t="s">
        <v>79</v>
      </c>
      <c r="M59" s="1005"/>
      <c r="N59" s="1005" t="s">
        <v>80</v>
      </c>
      <c r="O59" s="1005"/>
      <c r="R59" s="27"/>
      <c r="S59" s="27" t="s">
        <v>127</v>
      </c>
    </row>
    <row r="60" spans="1:207" ht="51" x14ac:dyDescent="0.2">
      <c r="B60" s="1005"/>
      <c r="C60" s="1024"/>
      <c r="D60" s="1024"/>
      <c r="E60" s="1007"/>
      <c r="F60" s="1005"/>
      <c r="G60" s="152" t="s">
        <v>82</v>
      </c>
      <c r="H60" s="153" t="s">
        <v>83</v>
      </c>
      <c r="I60" s="153" t="s">
        <v>84</v>
      </c>
      <c r="J60" s="1005"/>
      <c r="K60" s="1011"/>
      <c r="L60" s="154" t="s">
        <v>128</v>
      </c>
      <c r="M60" s="154" t="s">
        <v>129</v>
      </c>
      <c r="N60" s="1005"/>
      <c r="O60" s="1005"/>
      <c r="R60" s="27"/>
      <c r="S60" s="27" t="s">
        <v>127</v>
      </c>
    </row>
    <row r="61" spans="1:207" s="26" customFormat="1" x14ac:dyDescent="0.2">
      <c r="A61" s="83"/>
      <c r="B61" s="143"/>
      <c r="C61" s="87"/>
      <c r="D61" s="155"/>
      <c r="E61" s="156"/>
      <c r="F61" s="157"/>
      <c r="G61" s="158"/>
      <c r="H61" s="159"/>
      <c r="I61" s="160"/>
      <c r="J61" s="161"/>
      <c r="K61" s="143"/>
      <c r="L61" s="142"/>
      <c r="M61" s="142"/>
      <c r="N61" s="1020"/>
      <c r="O61" s="1021"/>
      <c r="P61" s="84"/>
      <c r="R61" s="27"/>
      <c r="S61" s="27"/>
    </row>
    <row r="62" spans="1:207" x14ac:dyDescent="0.2">
      <c r="A62" s="28"/>
      <c r="B62" s="1026" t="s">
        <v>130</v>
      </c>
      <c r="C62" s="1026"/>
      <c r="D62" s="1026"/>
      <c r="E62" s="1026"/>
      <c r="F62" s="1026"/>
      <c r="G62" s="162">
        <f>SUM(G61:G61)</f>
        <v>0</v>
      </c>
      <c r="H62" s="163"/>
      <c r="I62" s="163"/>
      <c r="J62" s="163"/>
      <c r="K62" s="163"/>
      <c r="L62" s="164"/>
      <c r="M62" s="164"/>
      <c r="N62" s="1025"/>
      <c r="O62" s="1025"/>
      <c r="R62" s="27" t="s">
        <v>131</v>
      </c>
      <c r="S62" s="27" t="s">
        <v>111</v>
      </c>
    </row>
    <row r="63" spans="1:207" x14ac:dyDescent="0.2">
      <c r="B63" s="38"/>
      <c r="C63" s="56"/>
      <c r="D63" s="57"/>
      <c r="E63" s="38"/>
      <c r="F63" s="38"/>
      <c r="G63" s="58"/>
      <c r="H63" s="38"/>
      <c r="I63" s="38"/>
      <c r="J63" s="38"/>
      <c r="K63" s="38"/>
      <c r="L63" s="59"/>
      <c r="M63" s="59"/>
      <c r="N63" s="57"/>
      <c r="O63" s="38"/>
      <c r="R63" s="27" t="s">
        <v>132</v>
      </c>
      <c r="S63" s="27" t="s">
        <v>111</v>
      </c>
    </row>
    <row r="64" spans="1:207" x14ac:dyDescent="0.2">
      <c r="B64" s="1005" t="s">
        <v>133</v>
      </c>
      <c r="C64" s="1005"/>
      <c r="D64" s="1005"/>
      <c r="E64" s="1005"/>
      <c r="F64" s="1005"/>
      <c r="G64" s="1005"/>
      <c r="H64" s="1005"/>
      <c r="I64" s="1005"/>
      <c r="J64" s="1005"/>
      <c r="K64" s="1005"/>
      <c r="L64" s="1005"/>
      <c r="M64" s="1005"/>
      <c r="N64" s="1005"/>
      <c r="O64" s="1005"/>
      <c r="R64" s="27" t="s">
        <v>134</v>
      </c>
      <c r="S64" s="27" t="s">
        <v>111</v>
      </c>
    </row>
    <row r="65" spans="1:207" ht="38.25" x14ac:dyDescent="0.2">
      <c r="B65" s="1005" t="s">
        <v>70</v>
      </c>
      <c r="C65" s="1024" t="s">
        <v>135</v>
      </c>
      <c r="D65" s="1024" t="s">
        <v>72</v>
      </c>
      <c r="E65" s="1005" t="s">
        <v>75</v>
      </c>
      <c r="F65" s="1005"/>
      <c r="G65" s="1007" t="s">
        <v>76</v>
      </c>
      <c r="H65" s="1007"/>
      <c r="I65" s="1007"/>
      <c r="J65" s="1005" t="s">
        <v>77</v>
      </c>
      <c r="K65" s="153" t="s">
        <v>136</v>
      </c>
      <c r="L65" s="1005" t="s">
        <v>79</v>
      </c>
      <c r="M65" s="1005"/>
      <c r="N65" s="1022" t="s">
        <v>80</v>
      </c>
      <c r="O65" s="1022"/>
      <c r="R65" s="27" t="s">
        <v>137</v>
      </c>
      <c r="S65" s="27" t="s">
        <v>111</v>
      </c>
    </row>
    <row r="66" spans="1:207" s="60" customFormat="1" ht="51" x14ac:dyDescent="0.2">
      <c r="A66" s="22"/>
      <c r="B66" s="1005"/>
      <c r="C66" s="1024"/>
      <c r="D66" s="1024"/>
      <c r="E66" s="1005"/>
      <c r="F66" s="1005"/>
      <c r="G66" s="153" t="s">
        <v>82</v>
      </c>
      <c r="H66" s="152" t="s">
        <v>83</v>
      </c>
      <c r="I66" s="153" t="s">
        <v>84</v>
      </c>
      <c r="J66" s="1005"/>
      <c r="K66" s="153"/>
      <c r="L66" s="153" t="s">
        <v>138</v>
      </c>
      <c r="M66" s="154" t="s">
        <v>139</v>
      </c>
      <c r="N66" s="1022"/>
      <c r="O66" s="1022"/>
      <c r="Q66" s="26"/>
      <c r="R66" s="25"/>
      <c r="S66" s="25"/>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row>
    <row r="67" spans="1:207" s="84" customFormat="1" ht="33.75" customHeight="1" x14ac:dyDescent="0.2">
      <c r="B67" s="741" t="s">
        <v>447</v>
      </c>
      <c r="C67" s="742" t="str">
        <f>'4. CC D'!B42</f>
        <v xml:space="preserve">Convenio con la DINAC para el desarrollo del Programa de Monitoreo Hidrológico </v>
      </c>
      <c r="D67" s="568" t="str">
        <f>'4. CC D'!A42</f>
        <v>2.3.3</v>
      </c>
      <c r="E67" s="743">
        <v>23</v>
      </c>
      <c r="F67" s="744"/>
      <c r="G67" s="745">
        <f>'4. CC D'!K42</f>
        <v>185000</v>
      </c>
      <c r="H67" s="746">
        <v>1</v>
      </c>
      <c r="I67" s="747">
        <v>0</v>
      </c>
      <c r="J67" s="748" t="s">
        <v>195</v>
      </c>
      <c r="K67" s="749">
        <v>1</v>
      </c>
      <c r="L67" s="788" t="str">
        <f>'3. PEP'!D59</f>
        <v>T4 - Año 2</v>
      </c>
      <c r="M67" s="788" t="str">
        <f>'3. PEP'!E59</f>
        <v>T2 - Año 3</v>
      </c>
      <c r="N67" s="750"/>
      <c r="O67" s="751"/>
      <c r="P67" s="26"/>
      <c r="Q67" s="26"/>
      <c r="R67" s="27"/>
      <c r="S67" s="27"/>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row>
    <row r="68" spans="1:207" x14ac:dyDescent="0.2">
      <c r="B68" s="1026" t="s">
        <v>140</v>
      </c>
      <c r="C68" s="1026"/>
      <c r="D68" s="1026"/>
      <c r="E68" s="1026"/>
      <c r="F68" s="1026"/>
      <c r="G68" s="165">
        <f>SUM(G67:G67)</f>
        <v>185000</v>
      </c>
      <c r="H68" s="163"/>
      <c r="I68" s="163"/>
      <c r="J68" s="163"/>
      <c r="K68" s="163"/>
      <c r="L68" s="164"/>
      <c r="M68" s="164"/>
      <c r="N68" s="1019"/>
      <c r="O68" s="1019"/>
      <c r="R68" s="25"/>
      <c r="S68" s="27"/>
    </row>
    <row r="69" spans="1:207" x14ac:dyDescent="0.2">
      <c r="R69" s="25"/>
      <c r="S69" s="25"/>
    </row>
    <row r="70" spans="1:207" x14ac:dyDescent="0.2">
      <c r="L70" s="22"/>
      <c r="M70" s="22"/>
      <c r="N70" s="22"/>
      <c r="Q70" s="22"/>
      <c r="R70" s="22"/>
      <c r="S70" s="22"/>
      <c r="T70" s="22"/>
      <c r="U70" s="22"/>
      <c r="V70" s="22"/>
      <c r="W70" s="22"/>
      <c r="X70" s="22"/>
      <c r="Y70" s="22"/>
    </row>
    <row r="71" spans="1:207" x14ac:dyDescent="0.2">
      <c r="L71" s="22"/>
      <c r="M71" s="22"/>
      <c r="N71" s="22"/>
      <c r="Q71" s="22"/>
      <c r="R71" s="22"/>
      <c r="S71" s="22"/>
      <c r="T71" s="22"/>
      <c r="U71" s="22"/>
      <c r="V71" s="22"/>
      <c r="W71" s="22"/>
      <c r="X71" s="22"/>
      <c r="Y71" s="22"/>
    </row>
    <row r="72" spans="1:207" s="26" customFormat="1" x14ac:dyDescent="0.2">
      <c r="A72" s="22"/>
      <c r="C72" s="29"/>
      <c r="D72" s="1040" t="s">
        <v>89</v>
      </c>
      <c r="E72" s="1040"/>
      <c r="F72" s="1040"/>
      <c r="G72" s="398">
        <f>H18</f>
        <v>50323860</v>
      </c>
      <c r="H72" s="399">
        <f t="shared" ref="H72:H78" si="1">G72/$G$79</f>
        <v>0.81167516129032258</v>
      </c>
      <c r="I72" s="22"/>
      <c r="J72" s="22"/>
      <c r="K72" s="22"/>
      <c r="L72" s="22"/>
      <c r="M72" s="22"/>
      <c r="N72" s="22"/>
      <c r="O72" s="22"/>
      <c r="P72" s="22"/>
      <c r="Q72" s="22"/>
      <c r="R72" s="22"/>
      <c r="S72" s="22"/>
      <c r="T72" s="22"/>
      <c r="U72" s="22"/>
      <c r="V72" s="22"/>
      <c r="W72" s="22"/>
      <c r="X72" s="22"/>
      <c r="Y72" s="22"/>
    </row>
    <row r="73" spans="1:207" s="26" customFormat="1" x14ac:dyDescent="0.2">
      <c r="A73" s="22"/>
      <c r="C73" s="29"/>
      <c r="D73" s="1040" t="s">
        <v>97</v>
      </c>
      <c r="E73" s="1040"/>
      <c r="F73" s="1040"/>
      <c r="G73" s="398">
        <f>H24</f>
        <v>0</v>
      </c>
      <c r="H73" s="399">
        <f t="shared" si="1"/>
        <v>0</v>
      </c>
      <c r="I73" s="22"/>
      <c r="J73" s="22"/>
      <c r="K73" s="22"/>
      <c r="L73" s="22"/>
      <c r="M73" s="22"/>
      <c r="N73" s="22"/>
      <c r="O73" s="22"/>
      <c r="P73" s="22"/>
      <c r="Q73" s="22"/>
      <c r="R73" s="22"/>
      <c r="S73" s="22"/>
      <c r="T73" s="22"/>
      <c r="U73" s="22"/>
      <c r="V73" s="22"/>
      <c r="W73" s="22"/>
      <c r="X73" s="22"/>
      <c r="Y73" s="22"/>
    </row>
    <row r="74" spans="1:207" s="26" customFormat="1" ht="12.75" customHeight="1" x14ac:dyDescent="0.2">
      <c r="A74" s="22"/>
      <c r="C74" s="29"/>
      <c r="D74" s="1040" t="s">
        <v>103</v>
      </c>
      <c r="E74" s="1040"/>
      <c r="F74" s="1040"/>
      <c r="G74" s="398">
        <f>H30</f>
        <v>0</v>
      </c>
      <c r="H74" s="399">
        <f t="shared" si="1"/>
        <v>0</v>
      </c>
      <c r="I74" s="22"/>
      <c r="J74" s="22"/>
      <c r="K74" s="22"/>
      <c r="L74" s="22"/>
      <c r="M74" s="22"/>
      <c r="N74" s="22"/>
      <c r="O74" s="22"/>
      <c r="P74" s="22"/>
      <c r="Q74" s="22"/>
      <c r="R74" s="22"/>
      <c r="S74" s="22"/>
      <c r="T74" s="22"/>
      <c r="U74" s="22"/>
      <c r="V74" s="22"/>
      <c r="W74" s="22"/>
      <c r="X74" s="22"/>
      <c r="Y74" s="22"/>
    </row>
    <row r="75" spans="1:207" s="26" customFormat="1" x14ac:dyDescent="0.2">
      <c r="A75" s="22"/>
      <c r="C75" s="29"/>
      <c r="D75" s="1040" t="s">
        <v>113</v>
      </c>
      <c r="E75" s="1040"/>
      <c r="F75" s="1040"/>
      <c r="G75" s="398">
        <f>G48</f>
        <v>9345000</v>
      </c>
      <c r="H75" s="399">
        <f t="shared" si="1"/>
        <v>0.1507258064516129</v>
      </c>
      <c r="I75" s="22"/>
      <c r="J75" s="22"/>
      <c r="K75" s="22"/>
      <c r="L75" s="22"/>
      <c r="M75" s="22"/>
      <c r="N75" s="22"/>
      <c r="O75" s="22"/>
      <c r="P75" s="22"/>
      <c r="Q75" s="22"/>
      <c r="R75" s="22"/>
      <c r="S75" s="22"/>
      <c r="T75" s="22"/>
      <c r="U75" s="22"/>
      <c r="V75" s="22"/>
      <c r="W75" s="22"/>
      <c r="X75" s="22"/>
      <c r="Y75" s="22"/>
    </row>
    <row r="76" spans="1:207" x14ac:dyDescent="0.2">
      <c r="D76" s="1040" t="s">
        <v>121</v>
      </c>
      <c r="E76" s="1040"/>
      <c r="F76" s="1040"/>
      <c r="G76" s="398">
        <f>G56</f>
        <v>270000</v>
      </c>
      <c r="H76" s="399">
        <f t="shared" si="1"/>
        <v>4.354838709677419E-3</v>
      </c>
      <c r="L76" s="22"/>
      <c r="M76" s="22"/>
      <c r="N76" s="22"/>
      <c r="Q76" s="22"/>
      <c r="R76" s="22"/>
      <c r="S76" s="22"/>
      <c r="T76" s="22"/>
      <c r="U76" s="22"/>
      <c r="V76" s="22"/>
      <c r="W76" s="22"/>
      <c r="X76" s="22"/>
      <c r="Y76" s="22"/>
    </row>
    <row r="77" spans="1:207" x14ac:dyDescent="0.2">
      <c r="A77" s="28"/>
      <c r="D77" s="1040" t="s">
        <v>130</v>
      </c>
      <c r="E77" s="1040"/>
      <c r="F77" s="1040"/>
      <c r="G77" s="398">
        <f>G62</f>
        <v>0</v>
      </c>
      <c r="H77" s="399">
        <f t="shared" si="1"/>
        <v>0</v>
      </c>
      <c r="L77" s="22"/>
      <c r="M77" s="22"/>
      <c r="N77" s="22"/>
      <c r="Q77" s="22"/>
      <c r="R77" s="22"/>
      <c r="S77" s="22"/>
      <c r="T77" s="22"/>
      <c r="U77" s="22"/>
      <c r="V77" s="22"/>
      <c r="W77" s="22"/>
      <c r="X77" s="22"/>
      <c r="Y77" s="22"/>
    </row>
    <row r="78" spans="1:207" x14ac:dyDescent="0.2">
      <c r="D78" s="1040" t="s">
        <v>545</v>
      </c>
      <c r="E78" s="1040"/>
      <c r="F78" s="1040"/>
      <c r="G78" s="398">
        <f>G67+'7. PF A BID'!C19+'7. PF A BID'!C20+'7. PF A BID'!C21+'7. PF A BID'!C22</f>
        <v>2061140</v>
      </c>
      <c r="H78" s="399">
        <f t="shared" si="1"/>
        <v>3.3244193548387098E-2</v>
      </c>
      <c r="L78" s="22"/>
      <c r="M78" s="22"/>
      <c r="N78" s="22"/>
      <c r="Q78" s="22"/>
      <c r="R78" s="22"/>
      <c r="S78" s="22"/>
      <c r="T78" s="22"/>
      <c r="U78" s="22"/>
      <c r="V78" s="22"/>
      <c r="W78" s="22"/>
      <c r="X78" s="22"/>
      <c r="Y78" s="22"/>
    </row>
    <row r="79" spans="1:207" x14ac:dyDescent="0.2">
      <c r="D79" s="1041"/>
      <c r="E79" s="1041"/>
      <c r="F79" s="1041"/>
      <c r="G79" s="396">
        <f>SUM(G72:G78)</f>
        <v>62000000</v>
      </c>
      <c r="H79" s="397">
        <f>SUM(H72:H78)</f>
        <v>1</v>
      </c>
      <c r="L79" s="22"/>
      <c r="M79" s="22"/>
      <c r="N79" s="22"/>
      <c r="Q79" s="22"/>
      <c r="R79" s="22"/>
      <c r="S79" s="22"/>
      <c r="T79" s="22"/>
      <c r="U79" s="22"/>
      <c r="V79" s="22"/>
      <c r="W79" s="22"/>
      <c r="X79" s="22"/>
      <c r="Y79" s="22"/>
    </row>
    <row r="80" spans="1:207" x14ac:dyDescent="0.2">
      <c r="G80" s="31">
        <f>62000000-G79</f>
        <v>0</v>
      </c>
    </row>
  </sheetData>
  <autoFilter ref="B10:O68">
    <filterColumn colId="6" showButton="0"/>
    <filterColumn colId="7" showButton="0"/>
    <filterColumn colId="11" showButton="0"/>
  </autoFilter>
  <sortState ref="A144:GY150">
    <sortCondition ref="J144:J150"/>
  </sortState>
  <mergeCells count="103">
    <mergeCell ref="B8:O8"/>
    <mergeCell ref="B9:O9"/>
    <mergeCell ref="B10:B11"/>
    <mergeCell ref="C10:C11"/>
    <mergeCell ref="D10:D11"/>
    <mergeCell ref="E10:E11"/>
    <mergeCell ref="F10:F11"/>
    <mergeCell ref="G10:G11"/>
    <mergeCell ref="H10:J10"/>
    <mergeCell ref="K10:K11"/>
    <mergeCell ref="L10:L11"/>
    <mergeCell ref="M10:N10"/>
    <mergeCell ref="O10:O11"/>
    <mergeCell ref="M27:N27"/>
    <mergeCell ref="B18:G18"/>
    <mergeCell ref="B20:O20"/>
    <mergeCell ref="B21:B22"/>
    <mergeCell ref="C21:C22"/>
    <mergeCell ref="D21:D22"/>
    <mergeCell ref="E21:E22"/>
    <mergeCell ref="H21:J21"/>
    <mergeCell ref="K21:K22"/>
    <mergeCell ref="L21:L22"/>
    <mergeCell ref="M21:N21"/>
    <mergeCell ref="O21:O22"/>
    <mergeCell ref="G21:G22"/>
    <mergeCell ref="B24:G24"/>
    <mergeCell ref="B26:O26"/>
    <mergeCell ref="B27:B28"/>
    <mergeCell ref="O27:O28"/>
    <mergeCell ref="F21:F22"/>
    <mergeCell ref="C27:C28"/>
    <mergeCell ref="D27:D28"/>
    <mergeCell ref="E27:E28"/>
    <mergeCell ref="F27:F28"/>
    <mergeCell ref="G27:G28"/>
    <mergeCell ref="H27:J27"/>
    <mergeCell ref="D77:F77"/>
    <mergeCell ref="D78:F78"/>
    <mergeCell ref="D79:F79"/>
    <mergeCell ref="D72:F72"/>
    <mergeCell ref="D73:F73"/>
    <mergeCell ref="D74:F74"/>
    <mergeCell ref="D75:F75"/>
    <mergeCell ref="D76:F76"/>
    <mergeCell ref="B62:F62"/>
    <mergeCell ref="D65:D66"/>
    <mergeCell ref="E65:F66"/>
    <mergeCell ref="B32:O32"/>
    <mergeCell ref="B48:F48"/>
    <mergeCell ref="B50:O50"/>
    <mergeCell ref="G33:I33"/>
    <mergeCell ref="J33:J34"/>
    <mergeCell ref="K33:K34"/>
    <mergeCell ref="N33:O34"/>
    <mergeCell ref="N41:O41"/>
    <mergeCell ref="C33:C34"/>
    <mergeCell ref="D33:D34"/>
    <mergeCell ref="E33:E34"/>
    <mergeCell ref="F33:F34"/>
    <mergeCell ref="L33:M33"/>
    <mergeCell ref="B33:B34"/>
    <mergeCell ref="K27:K28"/>
    <mergeCell ref="L27:L28"/>
    <mergeCell ref="B30:G30"/>
    <mergeCell ref="N68:O68"/>
    <mergeCell ref="N61:O61"/>
    <mergeCell ref="K51:K52"/>
    <mergeCell ref="N65:O66"/>
    <mergeCell ref="N59:O60"/>
    <mergeCell ref="M51:N51"/>
    <mergeCell ref="J51:J52"/>
    <mergeCell ref="C51:C52"/>
    <mergeCell ref="D51:D52"/>
    <mergeCell ref="C65:C66"/>
    <mergeCell ref="C59:C60"/>
    <mergeCell ref="D59:D60"/>
    <mergeCell ref="O51:O52"/>
    <mergeCell ref="L51:L52"/>
    <mergeCell ref="N62:O62"/>
    <mergeCell ref="L65:M65"/>
    <mergeCell ref="G65:I65"/>
    <mergeCell ref="B68:F68"/>
    <mergeCell ref="B64:O64"/>
    <mergeCell ref="N35:O35"/>
    <mergeCell ref="N36:O36"/>
    <mergeCell ref="J65:J66"/>
    <mergeCell ref="B56:F56"/>
    <mergeCell ref="G59:I59"/>
    <mergeCell ref="J59:J60"/>
    <mergeCell ref="B59:B60"/>
    <mergeCell ref="B65:B66"/>
    <mergeCell ref="N37:O37"/>
    <mergeCell ref="B51:B52"/>
    <mergeCell ref="E59:E60"/>
    <mergeCell ref="F59:F60"/>
    <mergeCell ref="B58:O58"/>
    <mergeCell ref="K59:K60"/>
    <mergeCell ref="L59:M59"/>
    <mergeCell ref="E51:E52"/>
    <mergeCell ref="F51:F52"/>
    <mergeCell ref="G51:I51"/>
    <mergeCell ref="N48:O48"/>
  </mergeCells>
  <dataValidations count="4">
    <dataValidation type="list" allowBlank="1" showInputMessage="1" showErrorMessage="1" sqref="L56 K62 K49 L48 L12:L18 L24 L30:L31">
      <formula1>$R$10:$R$11</formula1>
    </dataValidation>
    <dataValidation type="list" allowBlank="1" showInputMessage="1" showErrorMessage="1" sqref="E49">
      <formula1>$R$31:$R$34</formula1>
    </dataValidation>
    <dataValidation type="list" allowBlank="1" showInputMessage="1" showErrorMessage="1" sqref="E53:E55">
      <formula1>#REF!</formula1>
    </dataValidation>
    <dataValidation type="list" allowBlank="1" showInputMessage="1" showErrorMessage="1" sqref="E31 E12:E17">
      <formula1>$R$23:$R$28</formula1>
    </dataValidation>
  </dataValidations>
  <pageMargins left="0.70866141732283472" right="0.70866141732283472" top="0.74803149606299213" bottom="0.74803149606299213" header="0.31496062992125984" footer="0.31496062992125984"/>
  <pageSetup paperSize="9" scale="52" orientation="landscape" r:id="rId1"/>
  <rowBreaks count="1" manualBreakCount="1">
    <brk id="68" min="1" max="14" man="1"/>
  </rowBreaks>
  <colBreaks count="1" manualBreakCount="1">
    <brk id="15" min="7" max="1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8"/>
  <sheetViews>
    <sheetView showGridLines="0" topLeftCell="A4" zoomScale="90" zoomScaleNormal="90" zoomScaleSheetLayoutView="100" workbookViewId="0">
      <selection activeCell="D26" sqref="D26"/>
    </sheetView>
  </sheetViews>
  <sheetFormatPr defaultColWidth="9.140625" defaultRowHeight="12" x14ac:dyDescent="0.2"/>
  <cols>
    <col min="1" max="1" width="56.5703125" style="128" customWidth="1"/>
    <col min="2" max="2" width="16.42578125" style="129" customWidth="1"/>
    <col min="3" max="3" width="14.28515625" style="128" customWidth="1"/>
    <col min="4" max="4" width="14.28515625" style="130" customWidth="1"/>
    <col min="5" max="5" width="16.5703125" style="89" customWidth="1"/>
    <col min="6" max="6" width="12.85546875" style="89" bestFit="1" customWidth="1"/>
    <col min="7" max="7" width="14.42578125" style="89" bestFit="1" customWidth="1"/>
    <col min="8" max="16384" width="9.140625" style="89"/>
  </cols>
  <sheetData>
    <row r="1" spans="1:5" ht="12.75" x14ac:dyDescent="0.2">
      <c r="A1" s="166" t="s">
        <v>159</v>
      </c>
    </row>
    <row r="2" spans="1:5" ht="12.75" x14ac:dyDescent="0.2">
      <c r="A2" s="166" t="s">
        <v>46</v>
      </c>
    </row>
    <row r="3" spans="1:5" ht="12.75" x14ac:dyDescent="0.2">
      <c r="A3" s="167"/>
    </row>
    <row r="4" spans="1:5" ht="12.75" x14ac:dyDescent="0.2">
      <c r="A4" s="166" t="str">
        <f>'4. CC D'!A4</f>
        <v>Operación: Programa de Mejoramiento de Caminos Vecinales II (PMCV)</v>
      </c>
    </row>
    <row r="5" spans="1:5" ht="12.75" x14ac:dyDescent="0.2">
      <c r="A5" s="167"/>
    </row>
    <row r="6" spans="1:5" ht="12.75" x14ac:dyDescent="0.2">
      <c r="A6" s="166" t="s">
        <v>175</v>
      </c>
    </row>
    <row r="8" spans="1:5" s="81" customFormat="1" x14ac:dyDescent="0.2">
      <c r="A8" s="98" t="s">
        <v>11</v>
      </c>
      <c r="B8" s="98" t="s">
        <v>146</v>
      </c>
      <c r="C8" s="98" t="s">
        <v>141</v>
      </c>
      <c r="D8" s="99" t="s">
        <v>142</v>
      </c>
    </row>
    <row r="9" spans="1:5" x14ac:dyDescent="0.2">
      <c r="A9" s="109" t="s">
        <v>67</v>
      </c>
      <c r="B9" s="110"/>
      <c r="C9" s="111"/>
      <c r="D9" s="112">
        <f>SUM(D10:D10)</f>
        <v>0</v>
      </c>
      <c r="E9" s="113"/>
    </row>
    <row r="10" spans="1:5" x14ac:dyDescent="0.2">
      <c r="A10" s="103"/>
      <c r="B10" s="114"/>
      <c r="C10" s="101"/>
      <c r="D10" s="115"/>
      <c r="E10" s="113"/>
    </row>
    <row r="11" spans="1:5" s="81" customFormat="1" x14ac:dyDescent="0.2">
      <c r="A11" s="109" t="s">
        <v>66</v>
      </c>
      <c r="B11" s="109"/>
      <c r="C11" s="109"/>
      <c r="D11" s="117">
        <f>SUM(D12:D17)</f>
        <v>50323860</v>
      </c>
      <c r="E11" s="400"/>
    </row>
    <row r="12" spans="1:5" ht="36" x14ac:dyDescent="0.2">
      <c r="A12" s="116" t="str">
        <f>'10. PA'!C12</f>
        <v>Contratación de Firma Constructora para rehabilitación de Caminos Vecinales - Grupo 1: Itakyry - Arroyos y Esteros - Altos y Gral. Resquin. (65,51 Km)</v>
      </c>
      <c r="B12" s="114" t="str">
        <f>'10. PA'!E12</f>
        <v>Licitación Pública Internacional </v>
      </c>
      <c r="C12" s="101" t="str">
        <f>'10. PA'!M12</f>
        <v>T2 - Año 1</v>
      </c>
      <c r="D12" s="115">
        <f>'10. PA'!H12</f>
        <v>13200000</v>
      </c>
    </row>
    <row r="13" spans="1:5" ht="36" x14ac:dyDescent="0.2">
      <c r="A13" s="116" t="str">
        <f>'10. PA'!C13</f>
        <v>Contratación de Firma Constructora para rehabilitación de Caminos Vecinales - Grupo 2:  La Paz - Gral. Artigas Fram y illa Ygatimi Ype Jhu (99 Km)</v>
      </c>
      <c r="B13" s="114" t="str">
        <f>'10. PA'!E13</f>
        <v>Licitación Pública Internacional </v>
      </c>
      <c r="C13" s="101" t="str">
        <f>'10. PA'!M13</f>
        <v>T2 - Año 2</v>
      </c>
      <c r="D13" s="115">
        <f>'10. PA'!H13</f>
        <v>24800000</v>
      </c>
    </row>
    <row r="14" spans="1:5" ht="24" x14ac:dyDescent="0.2">
      <c r="A14" s="116" t="str">
        <f>'10. PA'!C14</f>
        <v>Contratación de Firma Constructora para Obra de Mantenimiento. Contratos Grupo 1: 102.79 km</v>
      </c>
      <c r="B14" s="114" t="str">
        <f>'10. PA'!E14</f>
        <v>Licitación Pública Internacional </v>
      </c>
      <c r="C14" s="101" t="str">
        <f>'10. PA'!M14</f>
        <v>T1 - Año 1</v>
      </c>
      <c r="D14" s="115">
        <f>'10. PA'!H14</f>
        <v>764080</v>
      </c>
    </row>
    <row r="15" spans="1:5" ht="24" x14ac:dyDescent="0.2">
      <c r="A15" s="116" t="str">
        <f>'10. PA'!C15</f>
        <v>Contratación de Firma Constructora para Obra de Mantenimiento. Contratos Grupo 2: 226.63 km</v>
      </c>
      <c r="B15" s="114" t="str">
        <f>'10. PA'!E15</f>
        <v>Licitación Pública Internacional </v>
      </c>
      <c r="C15" s="101" t="str">
        <f>'10. PA'!M15</f>
        <v>T1 - Año 2</v>
      </c>
      <c r="D15" s="115">
        <f>'10. PA'!H15</f>
        <v>1359780</v>
      </c>
    </row>
    <row r="16" spans="1:5" ht="24" x14ac:dyDescent="0.2">
      <c r="A16" s="116" t="str">
        <f>'10. PA'!C16</f>
        <v>Contratación de Firma Constructora para reemplazo de puentes - Grupo 1: Paraguarí - Misiones - Cordillera y San Pedro (405 ml)</v>
      </c>
      <c r="B16" s="114" t="str">
        <f>'10. PA'!E16</f>
        <v>Licitación Pública Internacional </v>
      </c>
      <c r="C16" s="101" t="str">
        <f>'10. PA'!M16</f>
        <v>T2 - Año 1</v>
      </c>
      <c r="D16" s="115">
        <f>'10. PA'!H16</f>
        <v>6885000</v>
      </c>
    </row>
    <row r="17" spans="1:5" ht="24" x14ac:dyDescent="0.2">
      <c r="A17" s="116" t="str">
        <f>'10. PA'!C17</f>
        <v>Contratación de Firma Constructora para reemplazo de puentes - Grupo 2:  Guaira - Alto Paraná y Amambay (195 ml)</v>
      </c>
      <c r="B17" s="114" t="str">
        <f>'10. PA'!E17</f>
        <v>Licitación Pública Internacional </v>
      </c>
      <c r="C17" s="101" t="str">
        <f>'10. PA'!M17</f>
        <v>T3 - Año 2</v>
      </c>
      <c r="D17" s="115">
        <f>'10. PA'!H17</f>
        <v>3315000</v>
      </c>
    </row>
    <row r="18" spans="1:5" x14ac:dyDescent="0.2">
      <c r="A18" s="116"/>
      <c r="B18" s="114"/>
      <c r="C18" s="101"/>
      <c r="D18" s="115"/>
    </row>
    <row r="19" spans="1:5" x14ac:dyDescent="0.2">
      <c r="A19" s="109" t="s">
        <v>143</v>
      </c>
      <c r="B19" s="110"/>
      <c r="C19" s="110"/>
      <c r="D19" s="117">
        <f>SUM(D20:D20)</f>
        <v>0</v>
      </c>
      <c r="E19" s="113"/>
    </row>
    <row r="20" spans="1:5" x14ac:dyDescent="0.2">
      <c r="A20" s="118"/>
      <c r="B20" s="101"/>
      <c r="C20" s="101"/>
      <c r="D20" s="115"/>
      <c r="E20" s="113"/>
    </row>
    <row r="21" spans="1:5" s="81" customFormat="1" x14ac:dyDescent="0.2">
      <c r="A21" s="109" t="s">
        <v>147</v>
      </c>
      <c r="B21" s="109"/>
      <c r="C21" s="121"/>
      <c r="D21" s="119">
        <f>SUM(D22:D35)</f>
        <v>9345000</v>
      </c>
      <c r="E21" s="400"/>
    </row>
    <row r="22" spans="1:5" s="81" customFormat="1" ht="24" x14ac:dyDescent="0.2">
      <c r="A22" s="103" t="str">
        <f>'10. PA'!C35</f>
        <v>Contratación de Firma Consultora para el desarrollo de diseños de caminos - Grupo 2</v>
      </c>
      <c r="B22" s="114" t="str">
        <f>'10. PA'!E35</f>
        <v>SBMC</v>
      </c>
      <c r="C22" s="114" t="str">
        <f>'10. PA'!L35</f>
        <v>T2 - Año 1</v>
      </c>
      <c r="D22" s="120">
        <f>'10. PA'!G35</f>
        <v>1820000</v>
      </c>
      <c r="E22" s="400"/>
    </row>
    <row r="23" spans="1:5" s="81" customFormat="1" ht="24" x14ac:dyDescent="0.2">
      <c r="A23" s="103" t="str">
        <f>'10. PA'!C36</f>
        <v>Contratación de Firma Consultora para el desarrollo de diseños de puentes - Grupo 2</v>
      </c>
      <c r="B23" s="114" t="str">
        <f>'10. PA'!E36</f>
        <v>SBMC</v>
      </c>
      <c r="C23" s="114" t="str">
        <f>'10. PA'!L36</f>
        <v>T3 - Año 1</v>
      </c>
      <c r="D23" s="120">
        <f>'10. PA'!G36</f>
        <v>780000</v>
      </c>
      <c r="E23" s="400"/>
    </row>
    <row r="24" spans="1:5" s="81" customFormat="1" ht="24" x14ac:dyDescent="0.2">
      <c r="A24" s="103" t="str">
        <f>'10. PA'!C37</f>
        <v>Continuación de los servicios de la ECATEF para el Programa PR-L1092</v>
      </c>
      <c r="B24" s="114" t="str">
        <f>'10. PA'!E37</f>
        <v>SD</v>
      </c>
      <c r="C24" s="114" t="str">
        <f>'10. PA'!L37</f>
        <v>T1 - Año 1</v>
      </c>
      <c r="D24" s="120">
        <f>'10. PA'!G37</f>
        <v>3000000</v>
      </c>
      <c r="E24" s="400"/>
    </row>
    <row r="25" spans="1:5" s="81" customFormat="1" ht="24" x14ac:dyDescent="0.2">
      <c r="A25" s="103" t="str">
        <f>'10. PA'!C38</f>
        <v>Contratación de Firma Consultora para la Auditoria Externa del Programa PR-L1092</v>
      </c>
      <c r="B25" s="114" t="str">
        <f>'10. PA'!E38</f>
        <v>SBCC</v>
      </c>
      <c r="C25" s="114" t="str">
        <f>'10. PA'!L38</f>
        <v>T2 - Año 1</v>
      </c>
      <c r="D25" s="120">
        <f>'10. PA'!G38</f>
        <v>100000</v>
      </c>
      <c r="E25" s="400"/>
    </row>
    <row r="26" spans="1:5" ht="24" x14ac:dyDescent="0.2">
      <c r="A26" s="103" t="str">
        <f>'10. PA'!C39</f>
        <v>Contratación de Firma Consultora para la Evaluación Intermedia del Programa</v>
      </c>
      <c r="B26" s="114" t="str">
        <f>'10. PA'!E39</f>
        <v>SCC</v>
      </c>
      <c r="C26" s="114" t="str">
        <f>'10. PA'!L39</f>
        <v>T3 - Año 2</v>
      </c>
      <c r="D26" s="120">
        <f>'10. PA'!G39</f>
        <v>50000</v>
      </c>
      <c r="E26" s="113"/>
    </row>
    <row r="27" spans="1:5" ht="24" x14ac:dyDescent="0.2">
      <c r="A27" s="103" t="str">
        <f>'10. PA'!C40</f>
        <v>Contratación de Firma Consultora para la Evaluación Final del Programa</v>
      </c>
      <c r="B27" s="114" t="str">
        <f>'10. PA'!E40</f>
        <v>SCC</v>
      </c>
      <c r="C27" s="114" t="str">
        <f>'10. PA'!L40</f>
        <v>T4 - Año 4</v>
      </c>
      <c r="D27" s="120">
        <f>'10. PA'!G40</f>
        <v>50000</v>
      </c>
      <c r="E27" s="113"/>
    </row>
    <row r="28" spans="1:5" ht="24" x14ac:dyDescent="0.2">
      <c r="A28" s="103" t="str">
        <f>'10. PA'!C41</f>
        <v>Contratación de Firma Consultora para Fiscalización de rehabilitación de Caminos Grupo 1</v>
      </c>
      <c r="B28" s="114" t="str">
        <f>'10. PA'!E41</f>
        <v>SBMC</v>
      </c>
      <c r="C28" s="114" t="str">
        <f>'10. PA'!L41</f>
        <v>T2 - Año 1</v>
      </c>
      <c r="D28" s="120">
        <f>'10. PA'!G41</f>
        <v>875000</v>
      </c>
      <c r="E28" s="113"/>
    </row>
    <row r="29" spans="1:5" ht="24" x14ac:dyDescent="0.2">
      <c r="A29" s="103" t="str">
        <f>'10. PA'!C42</f>
        <v>Contratación de Firma Consultora para Fiscalización de rehabilitación de Caminos Grupo 2</v>
      </c>
      <c r="B29" s="114" t="str">
        <f>'10. PA'!E42</f>
        <v>SBMC</v>
      </c>
      <c r="C29" s="114" t="str">
        <f>'10. PA'!L42</f>
        <v>T2 - Año 2</v>
      </c>
      <c r="D29" s="120">
        <f>'10. PA'!G42</f>
        <v>1645000</v>
      </c>
      <c r="E29" s="113"/>
    </row>
    <row r="30" spans="1:5" ht="24" x14ac:dyDescent="0.2">
      <c r="A30" s="103" t="str">
        <f>'10. PA'!C43</f>
        <v>Contratación de Firma Consultora para Fiscalización de reemplazo de puentes Grupo 1</v>
      </c>
      <c r="B30" s="114" t="str">
        <f>'10. PA'!E43</f>
        <v>SBMC</v>
      </c>
      <c r="C30" s="114" t="str">
        <f>'10. PA'!L43</f>
        <v>T1 - Año 1</v>
      </c>
      <c r="D30" s="120">
        <f>'10. PA'!G43</f>
        <v>460000</v>
      </c>
      <c r="E30" s="113"/>
    </row>
    <row r="31" spans="1:5" ht="24" x14ac:dyDescent="0.2">
      <c r="A31" s="103" t="str">
        <f>'10. PA'!C44</f>
        <v>Contratación de Firma Consultora para Fiscalización de reemplazo de puentes Grupo 2</v>
      </c>
      <c r="B31" s="114" t="str">
        <f>'10. PA'!E44</f>
        <v>SBMC</v>
      </c>
      <c r="C31" s="114" t="str">
        <f>'10. PA'!L44</f>
        <v>T2 - Año 2</v>
      </c>
      <c r="D31" s="120">
        <f>'10. PA'!G44</f>
        <v>220000</v>
      </c>
      <c r="E31" s="113"/>
    </row>
    <row r="32" spans="1:5" ht="24" x14ac:dyDescent="0.2">
      <c r="A32" s="103" t="str">
        <f>'10. PA'!C45</f>
        <v>Consultoría de Diseño y Capacitación para el Gerenciamiento Ambiental</v>
      </c>
      <c r="B32" s="114" t="str">
        <f>'10. PA'!E45</f>
        <v>SCC</v>
      </c>
      <c r="C32" s="114" t="str">
        <f>'10. PA'!L45</f>
        <v>T1 - Año 2</v>
      </c>
      <c r="D32" s="120">
        <f>'10. PA'!G45</f>
        <v>65000</v>
      </c>
      <c r="E32" s="113"/>
    </row>
    <row r="33" spans="1:5" x14ac:dyDescent="0.2">
      <c r="A33" s="103" t="str">
        <f>'10. PA'!C46</f>
        <v>Consultoría para desarrollo de apoyo a pueblos indígenas</v>
      </c>
      <c r="B33" s="114" t="str">
        <f>'10. PA'!E46</f>
        <v>SCC</v>
      </c>
      <c r="C33" s="114" t="str">
        <f>'10. PA'!L46</f>
        <v>T1 - Año 2</v>
      </c>
      <c r="D33" s="120">
        <f>'10. PA'!G46</f>
        <v>130000</v>
      </c>
      <c r="E33" s="113"/>
    </row>
    <row r="34" spans="1:5" x14ac:dyDescent="0.2">
      <c r="A34" s="103" t="str">
        <f>'10. PA'!C47</f>
        <v>Consultoría "Monitoreo y Gestión Social Ambiental"</v>
      </c>
      <c r="B34" s="114" t="str">
        <f>'10. PA'!E47</f>
        <v>SCC</v>
      </c>
      <c r="C34" s="114" t="str">
        <f>'10. PA'!L47</f>
        <v>T3 - Año 1</v>
      </c>
      <c r="D34" s="120">
        <f>'10. PA'!G47</f>
        <v>150000</v>
      </c>
      <c r="E34" s="113"/>
    </row>
    <row r="35" spans="1:5" x14ac:dyDescent="0.2">
      <c r="A35" s="103"/>
      <c r="B35" s="114"/>
      <c r="C35" s="114"/>
      <c r="D35" s="120"/>
      <c r="E35" s="113"/>
    </row>
    <row r="36" spans="1:5" x14ac:dyDescent="0.2">
      <c r="A36" s="121" t="s">
        <v>144</v>
      </c>
      <c r="B36" s="110"/>
      <c r="C36" s="111"/>
      <c r="D36" s="119">
        <f>SUM(D37:D39)</f>
        <v>270000</v>
      </c>
      <c r="E36" s="113"/>
    </row>
    <row r="37" spans="1:5" ht="24" x14ac:dyDescent="0.2">
      <c r="A37" s="123" t="str">
        <f>'10. PA'!C53</f>
        <v>Consultoría para diseño y divulgación de Programa de Educación Ambiental y de Género</v>
      </c>
      <c r="B37" s="101" t="str">
        <f>'10. PA'!E53</f>
        <v>3CV</v>
      </c>
      <c r="C37" s="114" t="str">
        <f>'10. PA'!M53</f>
        <v>T2 - Año 1</v>
      </c>
      <c r="D37" s="120">
        <f>'10. PA'!G53</f>
        <v>90000</v>
      </c>
    </row>
    <row r="38" spans="1:5" ht="24" x14ac:dyDescent="0.2">
      <c r="A38" s="123" t="str">
        <f>'10. PA'!C54</f>
        <v>Consultoría para desarrollo de la generación de mano de obra local y genero en zona de emprendimiento</v>
      </c>
      <c r="B38" s="101" t="str">
        <f>'10. PA'!E54</f>
        <v>3CV</v>
      </c>
      <c r="C38" s="114" t="str">
        <f>'10. PA'!M54</f>
        <v>T1 - Año 1</v>
      </c>
      <c r="D38" s="120">
        <f>'10. PA'!G54</f>
        <v>130000</v>
      </c>
    </row>
    <row r="39" spans="1:5" x14ac:dyDescent="0.2">
      <c r="A39" s="123" t="str">
        <f>'10. PA'!C55</f>
        <v>Consultoría de Apoyo a la Supervisión Ambiental</v>
      </c>
      <c r="B39" s="101" t="str">
        <f>'10. PA'!E55</f>
        <v>3CV</v>
      </c>
      <c r="C39" s="114" t="str">
        <f>'10. PA'!M55</f>
        <v>T2 - Año 1</v>
      </c>
      <c r="D39" s="120">
        <f>'10. PA'!G55</f>
        <v>50000</v>
      </c>
    </row>
    <row r="40" spans="1:5" x14ac:dyDescent="0.2">
      <c r="A40" s="123"/>
      <c r="B40" s="101"/>
      <c r="C40" s="124"/>
      <c r="D40" s="120"/>
    </row>
    <row r="41" spans="1:5" x14ac:dyDescent="0.2">
      <c r="A41" s="125" t="s">
        <v>9</v>
      </c>
      <c r="B41" s="126"/>
      <c r="C41" s="125"/>
      <c r="D41" s="127">
        <f>D42</f>
        <v>0</v>
      </c>
      <c r="E41" s="122"/>
    </row>
    <row r="42" spans="1:5" x14ac:dyDescent="0.2">
      <c r="A42" s="100"/>
      <c r="B42" s="101"/>
      <c r="C42" s="114"/>
      <c r="D42" s="102"/>
      <c r="E42" s="122"/>
    </row>
    <row r="43" spans="1:5" x14ac:dyDescent="0.2">
      <c r="A43" s="125" t="s">
        <v>145</v>
      </c>
      <c r="B43" s="126"/>
      <c r="C43" s="125"/>
      <c r="D43" s="127">
        <f>SUM(D44:D44)</f>
        <v>0</v>
      </c>
      <c r="E43" s="122"/>
    </row>
    <row r="44" spans="1:5" s="88" customFormat="1" x14ac:dyDescent="0.2">
      <c r="A44" s="103"/>
      <c r="B44" s="104"/>
      <c r="C44" s="104"/>
      <c r="D44" s="105"/>
      <c r="E44" s="122"/>
    </row>
    <row r="45" spans="1:5" x14ac:dyDescent="0.2">
      <c r="A45" s="106"/>
      <c r="B45" s="107"/>
      <c r="C45" s="107"/>
      <c r="D45" s="108"/>
      <c r="E45" s="122"/>
    </row>
    <row r="46" spans="1:5" x14ac:dyDescent="0.2">
      <c r="D46" s="250">
        <f>D43+D36+D21+D19+D11+D9+D41</f>
        <v>59938860</v>
      </c>
    </row>
    <row r="47" spans="1:5" ht="14.25" x14ac:dyDescent="0.2">
      <c r="A47" s="131"/>
      <c r="C47" s="128" t="s">
        <v>448</v>
      </c>
      <c r="D47" s="250">
        <f>'10. PA'!G78</f>
        <v>2061140</v>
      </c>
    </row>
    <row r="48" spans="1:5" x14ac:dyDescent="0.2">
      <c r="C48" s="89"/>
      <c r="D48" s="251">
        <f>SUM(D46:D47)</f>
        <v>62000000</v>
      </c>
    </row>
  </sheetData>
  <hyperlinks>
    <hyperlink ref="A21" location="_ftn1" display="_ftn1"/>
  </hyperlink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4"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6FF"/>
  </sheetPr>
  <dimension ref="A1:Z46"/>
  <sheetViews>
    <sheetView showGridLines="0" topLeftCell="A14" zoomScale="70" zoomScaleNormal="70" workbookViewId="0">
      <selection activeCell="B38" sqref="B38"/>
    </sheetView>
  </sheetViews>
  <sheetFormatPr defaultColWidth="11.42578125" defaultRowHeight="12.75" x14ac:dyDescent="0.2"/>
  <cols>
    <col min="1" max="1" width="7.85546875" style="132" customWidth="1"/>
    <col min="2" max="2" width="44.5703125" style="133" customWidth="1"/>
    <col min="3" max="4" width="10.42578125" style="135" hidden="1" customWidth="1"/>
    <col min="5" max="5" width="14.28515625" style="404" hidden="1" customWidth="1"/>
    <col min="6" max="6" width="15" style="135" hidden="1" customWidth="1"/>
    <col min="7" max="7" width="9.140625" style="137" hidden="1" customWidth="1"/>
    <col min="8" max="8" width="9.140625" style="136" hidden="1" customWidth="1"/>
    <col min="9" max="9" width="38.140625" style="255" customWidth="1"/>
    <col min="10" max="10" width="16.85546875" style="138" customWidth="1"/>
    <col min="11" max="11" width="17.42578125" style="139" customWidth="1"/>
    <col min="12" max="12" width="13.42578125" style="133" bestFit="1" customWidth="1"/>
    <col min="13" max="13" width="8.28515625" style="133" bestFit="1" customWidth="1"/>
    <col min="14" max="14" width="12.140625" style="133" customWidth="1"/>
    <col min="15" max="26" width="3.42578125" style="133" customWidth="1"/>
    <col min="27" max="71" width="2.140625" style="133" customWidth="1"/>
    <col min="72" max="206" width="11.42578125" style="133"/>
    <col min="207" max="207" width="44.42578125" style="133" customWidth="1"/>
    <col min="208" max="208" width="13" style="133" customWidth="1"/>
    <col min="209" max="214" width="2" style="133" customWidth="1"/>
    <col min="215" max="215" width="2.42578125" style="133" customWidth="1"/>
    <col min="216" max="216" width="3" style="133" customWidth="1"/>
    <col min="217" max="219" width="2" style="133" customWidth="1"/>
    <col min="220" max="220" width="2.85546875" style="133" customWidth="1"/>
    <col min="221" max="221" width="3" style="133" customWidth="1"/>
    <col min="222" max="222" width="2.7109375" style="133" customWidth="1"/>
    <col min="223" max="223" width="2.42578125" style="133" customWidth="1"/>
    <col min="224" max="224" width="3.28515625" style="133" customWidth="1"/>
    <col min="225" max="225" width="3.5703125" style="133" customWidth="1"/>
    <col min="226" max="226" width="4" style="133" customWidth="1"/>
    <col min="227" max="227" width="3.42578125" style="133" customWidth="1"/>
    <col min="228" max="228" width="3" style="133" customWidth="1"/>
    <col min="229" max="462" width="11.42578125" style="133"/>
    <col min="463" max="463" width="44.42578125" style="133" customWidth="1"/>
    <col min="464" max="464" width="13" style="133" customWidth="1"/>
    <col min="465" max="470" width="2" style="133" customWidth="1"/>
    <col min="471" max="471" width="2.42578125" style="133" customWidth="1"/>
    <col min="472" max="472" width="3" style="133" customWidth="1"/>
    <col min="473" max="475" width="2" style="133" customWidth="1"/>
    <col min="476" max="476" width="2.85546875" style="133" customWidth="1"/>
    <col min="477" max="477" width="3" style="133" customWidth="1"/>
    <col min="478" max="478" width="2.7109375" style="133" customWidth="1"/>
    <col min="479" max="479" width="2.42578125" style="133" customWidth="1"/>
    <col min="480" max="480" width="3.28515625" style="133" customWidth="1"/>
    <col min="481" max="481" width="3.5703125" style="133" customWidth="1"/>
    <col min="482" max="482" width="4" style="133" customWidth="1"/>
    <col min="483" max="483" width="3.42578125" style="133" customWidth="1"/>
    <col min="484" max="484" width="3" style="133" customWidth="1"/>
    <col min="485" max="718" width="11.42578125" style="133"/>
    <col min="719" max="719" width="44.42578125" style="133" customWidth="1"/>
    <col min="720" max="720" width="13" style="133" customWidth="1"/>
    <col min="721" max="726" width="2" style="133" customWidth="1"/>
    <col min="727" max="727" width="2.42578125" style="133" customWidth="1"/>
    <col min="728" max="728" width="3" style="133" customWidth="1"/>
    <col min="729" max="731" width="2" style="133" customWidth="1"/>
    <col min="732" max="732" width="2.85546875" style="133" customWidth="1"/>
    <col min="733" max="733" width="3" style="133" customWidth="1"/>
    <col min="734" max="734" width="2.7109375" style="133" customWidth="1"/>
    <col min="735" max="735" width="2.42578125" style="133" customWidth="1"/>
    <col min="736" max="736" width="3.28515625" style="133" customWidth="1"/>
    <col min="737" max="737" width="3.5703125" style="133" customWidth="1"/>
    <col min="738" max="738" width="4" style="133" customWidth="1"/>
    <col min="739" max="739" width="3.42578125" style="133" customWidth="1"/>
    <col min="740" max="740" width="3" style="133" customWidth="1"/>
    <col min="741" max="974" width="11.42578125" style="133"/>
    <col min="975" max="975" width="44.42578125" style="133" customWidth="1"/>
    <col min="976" max="976" width="13" style="133" customWidth="1"/>
    <col min="977" max="982" width="2" style="133" customWidth="1"/>
    <col min="983" max="983" width="2.42578125" style="133" customWidth="1"/>
    <col min="984" max="984" width="3" style="133" customWidth="1"/>
    <col min="985" max="987" width="2" style="133" customWidth="1"/>
    <col min="988" max="988" width="2.85546875" style="133" customWidth="1"/>
    <col min="989" max="989" width="3" style="133" customWidth="1"/>
    <col min="990" max="990" width="2.7109375" style="133" customWidth="1"/>
    <col min="991" max="991" width="2.42578125" style="133" customWidth="1"/>
    <col min="992" max="992" width="3.28515625" style="133" customWidth="1"/>
    <col min="993" max="993" width="3.5703125" style="133" customWidth="1"/>
    <col min="994" max="994" width="4" style="133" customWidth="1"/>
    <col min="995" max="995" width="3.42578125" style="133" customWidth="1"/>
    <col min="996" max="996" width="3" style="133" customWidth="1"/>
    <col min="997" max="1230" width="11.42578125" style="133"/>
    <col min="1231" max="1231" width="44.42578125" style="133" customWidth="1"/>
    <col min="1232" max="1232" width="13" style="133" customWidth="1"/>
    <col min="1233" max="1238" width="2" style="133" customWidth="1"/>
    <col min="1239" max="1239" width="2.42578125" style="133" customWidth="1"/>
    <col min="1240" max="1240" width="3" style="133" customWidth="1"/>
    <col min="1241" max="1243" width="2" style="133" customWidth="1"/>
    <col min="1244" max="1244" width="2.85546875" style="133" customWidth="1"/>
    <col min="1245" max="1245" width="3" style="133" customWidth="1"/>
    <col min="1246" max="1246" width="2.7109375" style="133" customWidth="1"/>
    <col min="1247" max="1247" width="2.42578125" style="133" customWidth="1"/>
    <col min="1248" max="1248" width="3.28515625" style="133" customWidth="1"/>
    <col min="1249" max="1249" width="3.5703125" style="133" customWidth="1"/>
    <col min="1250" max="1250" width="4" style="133" customWidth="1"/>
    <col min="1251" max="1251" width="3.42578125" style="133" customWidth="1"/>
    <col min="1252" max="1252" width="3" style="133" customWidth="1"/>
    <col min="1253" max="1486" width="11.42578125" style="133"/>
    <col min="1487" max="1487" width="44.42578125" style="133" customWidth="1"/>
    <col min="1488" max="1488" width="13" style="133" customWidth="1"/>
    <col min="1489" max="1494" width="2" style="133" customWidth="1"/>
    <col min="1495" max="1495" width="2.42578125" style="133" customWidth="1"/>
    <col min="1496" max="1496" width="3" style="133" customWidth="1"/>
    <col min="1497" max="1499" width="2" style="133" customWidth="1"/>
    <col min="1500" max="1500" width="2.85546875" style="133" customWidth="1"/>
    <col min="1501" max="1501" width="3" style="133" customWidth="1"/>
    <col min="1502" max="1502" width="2.7109375" style="133" customWidth="1"/>
    <col min="1503" max="1503" width="2.42578125" style="133" customWidth="1"/>
    <col min="1504" max="1504" width="3.28515625" style="133" customWidth="1"/>
    <col min="1505" max="1505" width="3.5703125" style="133" customWidth="1"/>
    <col min="1506" max="1506" width="4" style="133" customWidth="1"/>
    <col min="1507" max="1507" width="3.42578125" style="133" customWidth="1"/>
    <col min="1508" max="1508" width="3" style="133" customWidth="1"/>
    <col min="1509" max="1742" width="11.42578125" style="133"/>
    <col min="1743" max="1743" width="44.42578125" style="133" customWidth="1"/>
    <col min="1744" max="1744" width="13" style="133" customWidth="1"/>
    <col min="1745" max="1750" width="2" style="133" customWidth="1"/>
    <col min="1751" max="1751" width="2.42578125" style="133" customWidth="1"/>
    <col min="1752" max="1752" width="3" style="133" customWidth="1"/>
    <col min="1753" max="1755" width="2" style="133" customWidth="1"/>
    <col min="1756" max="1756" width="2.85546875" style="133" customWidth="1"/>
    <col min="1757" max="1757" width="3" style="133" customWidth="1"/>
    <col min="1758" max="1758" width="2.7109375" style="133" customWidth="1"/>
    <col min="1759" max="1759" width="2.42578125" style="133" customWidth="1"/>
    <col min="1760" max="1760" width="3.28515625" style="133" customWidth="1"/>
    <col min="1761" max="1761" width="3.5703125" style="133" customWidth="1"/>
    <col min="1762" max="1762" width="4" style="133" customWidth="1"/>
    <col min="1763" max="1763" width="3.42578125" style="133" customWidth="1"/>
    <col min="1764" max="1764" width="3" style="133" customWidth="1"/>
    <col min="1765" max="1998" width="11.42578125" style="133"/>
    <col min="1999" max="1999" width="44.42578125" style="133" customWidth="1"/>
    <col min="2000" max="2000" width="13" style="133" customWidth="1"/>
    <col min="2001" max="2006" width="2" style="133" customWidth="1"/>
    <col min="2007" max="2007" width="2.42578125" style="133" customWidth="1"/>
    <col min="2008" max="2008" width="3" style="133" customWidth="1"/>
    <col min="2009" max="2011" width="2" style="133" customWidth="1"/>
    <col min="2012" max="2012" width="2.85546875" style="133" customWidth="1"/>
    <col min="2013" max="2013" width="3" style="133" customWidth="1"/>
    <col min="2014" max="2014" width="2.7109375" style="133" customWidth="1"/>
    <col min="2015" max="2015" width="2.42578125" style="133" customWidth="1"/>
    <col min="2016" max="2016" width="3.28515625" style="133" customWidth="1"/>
    <col min="2017" max="2017" width="3.5703125" style="133" customWidth="1"/>
    <col min="2018" max="2018" width="4" style="133" customWidth="1"/>
    <col min="2019" max="2019" width="3.42578125" style="133" customWidth="1"/>
    <col min="2020" max="2020" width="3" style="133" customWidth="1"/>
    <col min="2021" max="2254" width="11.42578125" style="133"/>
    <col min="2255" max="2255" width="44.42578125" style="133" customWidth="1"/>
    <col min="2256" max="2256" width="13" style="133" customWidth="1"/>
    <col min="2257" max="2262" width="2" style="133" customWidth="1"/>
    <col min="2263" max="2263" width="2.42578125" style="133" customWidth="1"/>
    <col min="2264" max="2264" width="3" style="133" customWidth="1"/>
    <col min="2265" max="2267" width="2" style="133" customWidth="1"/>
    <col min="2268" max="2268" width="2.85546875" style="133" customWidth="1"/>
    <col min="2269" max="2269" width="3" style="133" customWidth="1"/>
    <col min="2270" max="2270" width="2.7109375" style="133" customWidth="1"/>
    <col min="2271" max="2271" width="2.42578125" style="133" customWidth="1"/>
    <col min="2272" max="2272" width="3.28515625" style="133" customWidth="1"/>
    <col min="2273" max="2273" width="3.5703125" style="133" customWidth="1"/>
    <col min="2274" max="2274" width="4" style="133" customWidth="1"/>
    <col min="2275" max="2275" width="3.42578125" style="133" customWidth="1"/>
    <col min="2276" max="2276" width="3" style="133" customWidth="1"/>
    <col min="2277" max="2510" width="11.42578125" style="133"/>
    <col min="2511" max="2511" width="44.42578125" style="133" customWidth="1"/>
    <col min="2512" max="2512" width="13" style="133" customWidth="1"/>
    <col min="2513" max="2518" width="2" style="133" customWidth="1"/>
    <col min="2519" max="2519" width="2.42578125" style="133" customWidth="1"/>
    <col min="2520" max="2520" width="3" style="133" customWidth="1"/>
    <col min="2521" max="2523" width="2" style="133" customWidth="1"/>
    <col min="2524" max="2524" width="2.85546875" style="133" customWidth="1"/>
    <col min="2525" max="2525" width="3" style="133" customWidth="1"/>
    <col min="2526" max="2526" width="2.7109375" style="133" customWidth="1"/>
    <col min="2527" max="2527" width="2.42578125" style="133" customWidth="1"/>
    <col min="2528" max="2528" width="3.28515625" style="133" customWidth="1"/>
    <col min="2529" max="2529" width="3.5703125" style="133" customWidth="1"/>
    <col min="2530" max="2530" width="4" style="133" customWidth="1"/>
    <col min="2531" max="2531" width="3.42578125" style="133" customWidth="1"/>
    <col min="2532" max="2532" width="3" style="133" customWidth="1"/>
    <col min="2533" max="2766" width="11.42578125" style="133"/>
    <col min="2767" max="2767" width="44.42578125" style="133" customWidth="1"/>
    <col min="2768" max="2768" width="13" style="133" customWidth="1"/>
    <col min="2769" max="2774" width="2" style="133" customWidth="1"/>
    <col min="2775" max="2775" width="2.42578125" style="133" customWidth="1"/>
    <col min="2776" max="2776" width="3" style="133" customWidth="1"/>
    <col min="2777" max="2779" width="2" style="133" customWidth="1"/>
    <col min="2780" max="2780" width="2.85546875" style="133" customWidth="1"/>
    <col min="2781" max="2781" width="3" style="133" customWidth="1"/>
    <col min="2782" max="2782" width="2.7109375" style="133" customWidth="1"/>
    <col min="2783" max="2783" width="2.42578125" style="133" customWidth="1"/>
    <col min="2784" max="2784" width="3.28515625" style="133" customWidth="1"/>
    <col min="2785" max="2785" width="3.5703125" style="133" customWidth="1"/>
    <col min="2786" max="2786" width="4" style="133" customWidth="1"/>
    <col min="2787" max="2787" width="3.42578125" style="133" customWidth="1"/>
    <col min="2788" max="2788" width="3" style="133" customWidth="1"/>
    <col min="2789" max="3022" width="11.42578125" style="133"/>
    <col min="3023" max="3023" width="44.42578125" style="133" customWidth="1"/>
    <col min="3024" max="3024" width="13" style="133" customWidth="1"/>
    <col min="3025" max="3030" width="2" style="133" customWidth="1"/>
    <col min="3031" max="3031" width="2.42578125" style="133" customWidth="1"/>
    <col min="3032" max="3032" width="3" style="133" customWidth="1"/>
    <col min="3033" max="3035" width="2" style="133" customWidth="1"/>
    <col min="3036" max="3036" width="2.85546875" style="133" customWidth="1"/>
    <col min="3037" max="3037" width="3" style="133" customWidth="1"/>
    <col min="3038" max="3038" width="2.7109375" style="133" customWidth="1"/>
    <col min="3039" max="3039" width="2.42578125" style="133" customWidth="1"/>
    <col min="3040" max="3040" width="3.28515625" style="133" customWidth="1"/>
    <col min="3041" max="3041" width="3.5703125" style="133" customWidth="1"/>
    <col min="3042" max="3042" width="4" style="133" customWidth="1"/>
    <col min="3043" max="3043" width="3.42578125" style="133" customWidth="1"/>
    <col min="3044" max="3044" width="3" style="133" customWidth="1"/>
    <col min="3045" max="3278" width="11.42578125" style="133"/>
    <col min="3279" max="3279" width="44.42578125" style="133" customWidth="1"/>
    <col min="3280" max="3280" width="13" style="133" customWidth="1"/>
    <col min="3281" max="3286" width="2" style="133" customWidth="1"/>
    <col min="3287" max="3287" width="2.42578125" style="133" customWidth="1"/>
    <col min="3288" max="3288" width="3" style="133" customWidth="1"/>
    <col min="3289" max="3291" width="2" style="133" customWidth="1"/>
    <col min="3292" max="3292" width="2.85546875" style="133" customWidth="1"/>
    <col min="3293" max="3293" width="3" style="133" customWidth="1"/>
    <col min="3294" max="3294" width="2.7109375" style="133" customWidth="1"/>
    <col min="3295" max="3295" width="2.42578125" style="133" customWidth="1"/>
    <col min="3296" max="3296" width="3.28515625" style="133" customWidth="1"/>
    <col min="3297" max="3297" width="3.5703125" style="133" customWidth="1"/>
    <col min="3298" max="3298" width="4" style="133" customWidth="1"/>
    <col min="3299" max="3299" width="3.42578125" style="133" customWidth="1"/>
    <col min="3300" max="3300" width="3" style="133" customWidth="1"/>
    <col min="3301" max="3534" width="11.42578125" style="133"/>
    <col min="3535" max="3535" width="44.42578125" style="133" customWidth="1"/>
    <col min="3536" max="3536" width="13" style="133" customWidth="1"/>
    <col min="3537" max="3542" width="2" style="133" customWidth="1"/>
    <col min="3543" max="3543" width="2.42578125" style="133" customWidth="1"/>
    <col min="3544" max="3544" width="3" style="133" customWidth="1"/>
    <col min="3545" max="3547" width="2" style="133" customWidth="1"/>
    <col min="3548" max="3548" width="2.85546875" style="133" customWidth="1"/>
    <col min="3549" max="3549" width="3" style="133" customWidth="1"/>
    <col min="3550" max="3550" width="2.7109375" style="133" customWidth="1"/>
    <col min="3551" max="3551" width="2.42578125" style="133" customWidth="1"/>
    <col min="3552" max="3552" width="3.28515625" style="133" customWidth="1"/>
    <col min="3553" max="3553" width="3.5703125" style="133" customWidth="1"/>
    <col min="3554" max="3554" width="4" style="133" customWidth="1"/>
    <col min="3555" max="3555" width="3.42578125" style="133" customWidth="1"/>
    <col min="3556" max="3556" width="3" style="133" customWidth="1"/>
    <col min="3557" max="3790" width="11.42578125" style="133"/>
    <col min="3791" max="3791" width="44.42578125" style="133" customWidth="1"/>
    <col min="3792" max="3792" width="13" style="133" customWidth="1"/>
    <col min="3793" max="3798" width="2" style="133" customWidth="1"/>
    <col min="3799" max="3799" width="2.42578125" style="133" customWidth="1"/>
    <col min="3800" max="3800" width="3" style="133" customWidth="1"/>
    <col min="3801" max="3803" width="2" style="133" customWidth="1"/>
    <col min="3804" max="3804" width="2.85546875" style="133" customWidth="1"/>
    <col min="3805" max="3805" width="3" style="133" customWidth="1"/>
    <col min="3806" max="3806" width="2.7109375" style="133" customWidth="1"/>
    <col min="3807" max="3807" width="2.42578125" style="133" customWidth="1"/>
    <col min="3808" max="3808" width="3.28515625" style="133" customWidth="1"/>
    <col min="3809" max="3809" width="3.5703125" style="133" customWidth="1"/>
    <col min="3810" max="3810" width="4" style="133" customWidth="1"/>
    <col min="3811" max="3811" width="3.42578125" style="133" customWidth="1"/>
    <col min="3812" max="3812" width="3" style="133" customWidth="1"/>
    <col min="3813" max="4046" width="11.42578125" style="133"/>
    <col min="4047" max="4047" width="44.42578125" style="133" customWidth="1"/>
    <col min="4048" max="4048" width="13" style="133" customWidth="1"/>
    <col min="4049" max="4054" width="2" style="133" customWidth="1"/>
    <col min="4055" max="4055" width="2.42578125" style="133" customWidth="1"/>
    <col min="4056" max="4056" width="3" style="133" customWidth="1"/>
    <col min="4057" max="4059" width="2" style="133" customWidth="1"/>
    <col min="4060" max="4060" width="2.85546875" style="133" customWidth="1"/>
    <col min="4061" max="4061" width="3" style="133" customWidth="1"/>
    <col min="4062" max="4062" width="2.7109375" style="133" customWidth="1"/>
    <col min="4063" max="4063" width="2.42578125" style="133" customWidth="1"/>
    <col min="4064" max="4064" width="3.28515625" style="133" customWidth="1"/>
    <col min="4065" max="4065" width="3.5703125" style="133" customWidth="1"/>
    <col min="4066" max="4066" width="4" style="133" customWidth="1"/>
    <col min="4067" max="4067" width="3.42578125" style="133" customWidth="1"/>
    <col min="4068" max="4068" width="3" style="133" customWidth="1"/>
    <col min="4069" max="4302" width="11.42578125" style="133"/>
    <col min="4303" max="4303" width="44.42578125" style="133" customWidth="1"/>
    <col min="4304" max="4304" width="13" style="133" customWidth="1"/>
    <col min="4305" max="4310" width="2" style="133" customWidth="1"/>
    <col min="4311" max="4311" width="2.42578125" style="133" customWidth="1"/>
    <col min="4312" max="4312" width="3" style="133" customWidth="1"/>
    <col min="4313" max="4315" width="2" style="133" customWidth="1"/>
    <col min="4316" max="4316" width="2.85546875" style="133" customWidth="1"/>
    <col min="4317" max="4317" width="3" style="133" customWidth="1"/>
    <col min="4318" max="4318" width="2.7109375" style="133" customWidth="1"/>
    <col min="4319" max="4319" width="2.42578125" style="133" customWidth="1"/>
    <col min="4320" max="4320" width="3.28515625" style="133" customWidth="1"/>
    <col min="4321" max="4321" width="3.5703125" style="133" customWidth="1"/>
    <col min="4322" max="4322" width="4" style="133" customWidth="1"/>
    <col min="4323" max="4323" width="3.42578125" style="133" customWidth="1"/>
    <col min="4324" max="4324" width="3" style="133" customWidth="1"/>
    <col min="4325" max="4558" width="11.42578125" style="133"/>
    <col min="4559" max="4559" width="44.42578125" style="133" customWidth="1"/>
    <col min="4560" max="4560" width="13" style="133" customWidth="1"/>
    <col min="4561" max="4566" width="2" style="133" customWidth="1"/>
    <col min="4567" max="4567" width="2.42578125" style="133" customWidth="1"/>
    <col min="4568" max="4568" width="3" style="133" customWidth="1"/>
    <col min="4569" max="4571" width="2" style="133" customWidth="1"/>
    <col min="4572" max="4572" width="2.85546875" style="133" customWidth="1"/>
    <col min="4573" max="4573" width="3" style="133" customWidth="1"/>
    <col min="4574" max="4574" width="2.7109375" style="133" customWidth="1"/>
    <col min="4575" max="4575" width="2.42578125" style="133" customWidth="1"/>
    <col min="4576" max="4576" width="3.28515625" style="133" customWidth="1"/>
    <col min="4577" max="4577" width="3.5703125" style="133" customWidth="1"/>
    <col min="4578" max="4578" width="4" style="133" customWidth="1"/>
    <col min="4579" max="4579" width="3.42578125" style="133" customWidth="1"/>
    <col min="4580" max="4580" width="3" style="133" customWidth="1"/>
    <col min="4581" max="4814" width="11.42578125" style="133"/>
    <col min="4815" max="4815" width="44.42578125" style="133" customWidth="1"/>
    <col min="4816" max="4816" width="13" style="133" customWidth="1"/>
    <col min="4817" max="4822" width="2" style="133" customWidth="1"/>
    <col min="4823" max="4823" width="2.42578125" style="133" customWidth="1"/>
    <col min="4824" max="4824" width="3" style="133" customWidth="1"/>
    <col min="4825" max="4827" width="2" style="133" customWidth="1"/>
    <col min="4828" max="4828" width="2.85546875" style="133" customWidth="1"/>
    <col min="4829" max="4829" width="3" style="133" customWidth="1"/>
    <col min="4830" max="4830" width="2.7109375" style="133" customWidth="1"/>
    <col min="4831" max="4831" width="2.42578125" style="133" customWidth="1"/>
    <col min="4832" max="4832" width="3.28515625" style="133" customWidth="1"/>
    <col min="4833" max="4833" width="3.5703125" style="133" customWidth="1"/>
    <col min="4834" max="4834" width="4" style="133" customWidth="1"/>
    <col min="4835" max="4835" width="3.42578125" style="133" customWidth="1"/>
    <col min="4836" max="4836" width="3" style="133" customWidth="1"/>
    <col min="4837" max="5070" width="11.42578125" style="133"/>
    <col min="5071" max="5071" width="44.42578125" style="133" customWidth="1"/>
    <col min="5072" max="5072" width="13" style="133" customWidth="1"/>
    <col min="5073" max="5078" width="2" style="133" customWidth="1"/>
    <col min="5079" max="5079" width="2.42578125" style="133" customWidth="1"/>
    <col min="5080" max="5080" width="3" style="133" customWidth="1"/>
    <col min="5081" max="5083" width="2" style="133" customWidth="1"/>
    <col min="5084" max="5084" width="2.85546875" style="133" customWidth="1"/>
    <col min="5085" max="5085" width="3" style="133" customWidth="1"/>
    <col min="5086" max="5086" width="2.7109375" style="133" customWidth="1"/>
    <col min="5087" max="5087" width="2.42578125" style="133" customWidth="1"/>
    <col min="5088" max="5088" width="3.28515625" style="133" customWidth="1"/>
    <col min="5089" max="5089" width="3.5703125" style="133" customWidth="1"/>
    <col min="5090" max="5090" width="4" style="133" customWidth="1"/>
    <col min="5091" max="5091" width="3.42578125" style="133" customWidth="1"/>
    <col min="5092" max="5092" width="3" style="133" customWidth="1"/>
    <col min="5093" max="5326" width="11.42578125" style="133"/>
    <col min="5327" max="5327" width="44.42578125" style="133" customWidth="1"/>
    <col min="5328" max="5328" width="13" style="133" customWidth="1"/>
    <col min="5329" max="5334" width="2" style="133" customWidth="1"/>
    <col min="5335" max="5335" width="2.42578125" style="133" customWidth="1"/>
    <col min="5336" max="5336" width="3" style="133" customWidth="1"/>
    <col min="5337" max="5339" width="2" style="133" customWidth="1"/>
    <col min="5340" max="5340" width="2.85546875" style="133" customWidth="1"/>
    <col min="5341" max="5341" width="3" style="133" customWidth="1"/>
    <col min="5342" max="5342" width="2.7109375" style="133" customWidth="1"/>
    <col min="5343" max="5343" width="2.42578125" style="133" customWidth="1"/>
    <col min="5344" max="5344" width="3.28515625" style="133" customWidth="1"/>
    <col min="5345" max="5345" width="3.5703125" style="133" customWidth="1"/>
    <col min="5346" max="5346" width="4" style="133" customWidth="1"/>
    <col min="5347" max="5347" width="3.42578125" style="133" customWidth="1"/>
    <col min="5348" max="5348" width="3" style="133" customWidth="1"/>
    <col min="5349" max="5582" width="11.42578125" style="133"/>
    <col min="5583" max="5583" width="44.42578125" style="133" customWidth="1"/>
    <col min="5584" max="5584" width="13" style="133" customWidth="1"/>
    <col min="5585" max="5590" width="2" style="133" customWidth="1"/>
    <col min="5591" max="5591" width="2.42578125" style="133" customWidth="1"/>
    <col min="5592" max="5592" width="3" style="133" customWidth="1"/>
    <col min="5593" max="5595" width="2" style="133" customWidth="1"/>
    <col min="5596" max="5596" width="2.85546875" style="133" customWidth="1"/>
    <col min="5597" max="5597" width="3" style="133" customWidth="1"/>
    <col min="5598" max="5598" width="2.7109375" style="133" customWidth="1"/>
    <col min="5599" max="5599" width="2.42578125" style="133" customWidth="1"/>
    <col min="5600" max="5600" width="3.28515625" style="133" customWidth="1"/>
    <col min="5601" max="5601" width="3.5703125" style="133" customWidth="1"/>
    <col min="5602" max="5602" width="4" style="133" customWidth="1"/>
    <col min="5603" max="5603" width="3.42578125" style="133" customWidth="1"/>
    <col min="5604" max="5604" width="3" style="133" customWidth="1"/>
    <col min="5605" max="5838" width="11.42578125" style="133"/>
    <col min="5839" max="5839" width="44.42578125" style="133" customWidth="1"/>
    <col min="5840" max="5840" width="13" style="133" customWidth="1"/>
    <col min="5841" max="5846" width="2" style="133" customWidth="1"/>
    <col min="5847" max="5847" width="2.42578125" style="133" customWidth="1"/>
    <col min="5848" max="5848" width="3" style="133" customWidth="1"/>
    <col min="5849" max="5851" width="2" style="133" customWidth="1"/>
    <col min="5852" max="5852" width="2.85546875" style="133" customWidth="1"/>
    <col min="5853" max="5853" width="3" style="133" customWidth="1"/>
    <col min="5854" max="5854" width="2.7109375" style="133" customWidth="1"/>
    <col min="5855" max="5855" width="2.42578125" style="133" customWidth="1"/>
    <col min="5856" max="5856" width="3.28515625" style="133" customWidth="1"/>
    <col min="5857" max="5857" width="3.5703125" style="133" customWidth="1"/>
    <col min="5858" max="5858" width="4" style="133" customWidth="1"/>
    <col min="5859" max="5859" width="3.42578125" style="133" customWidth="1"/>
    <col min="5860" max="5860" width="3" style="133" customWidth="1"/>
    <col min="5861" max="6094" width="11.42578125" style="133"/>
    <col min="6095" max="6095" width="44.42578125" style="133" customWidth="1"/>
    <col min="6096" max="6096" width="13" style="133" customWidth="1"/>
    <col min="6097" max="6102" width="2" style="133" customWidth="1"/>
    <col min="6103" max="6103" width="2.42578125" style="133" customWidth="1"/>
    <col min="6104" max="6104" width="3" style="133" customWidth="1"/>
    <col min="6105" max="6107" width="2" style="133" customWidth="1"/>
    <col min="6108" max="6108" width="2.85546875" style="133" customWidth="1"/>
    <col min="6109" max="6109" width="3" style="133" customWidth="1"/>
    <col min="6110" max="6110" width="2.7109375" style="133" customWidth="1"/>
    <col min="6111" max="6111" width="2.42578125" style="133" customWidth="1"/>
    <col min="6112" max="6112" width="3.28515625" style="133" customWidth="1"/>
    <col min="6113" max="6113" width="3.5703125" style="133" customWidth="1"/>
    <col min="6114" max="6114" width="4" style="133" customWidth="1"/>
    <col min="6115" max="6115" width="3.42578125" style="133" customWidth="1"/>
    <col min="6116" max="6116" width="3" style="133" customWidth="1"/>
    <col min="6117" max="6350" width="11.42578125" style="133"/>
    <col min="6351" max="6351" width="44.42578125" style="133" customWidth="1"/>
    <col min="6352" max="6352" width="13" style="133" customWidth="1"/>
    <col min="6353" max="6358" width="2" style="133" customWidth="1"/>
    <col min="6359" max="6359" width="2.42578125" style="133" customWidth="1"/>
    <col min="6360" max="6360" width="3" style="133" customWidth="1"/>
    <col min="6361" max="6363" width="2" style="133" customWidth="1"/>
    <col min="6364" max="6364" width="2.85546875" style="133" customWidth="1"/>
    <col min="6365" max="6365" width="3" style="133" customWidth="1"/>
    <col min="6366" max="6366" width="2.7109375" style="133" customWidth="1"/>
    <col min="6367" max="6367" width="2.42578125" style="133" customWidth="1"/>
    <col min="6368" max="6368" width="3.28515625" style="133" customWidth="1"/>
    <col min="6369" max="6369" width="3.5703125" style="133" customWidth="1"/>
    <col min="6370" max="6370" width="4" style="133" customWidth="1"/>
    <col min="6371" max="6371" width="3.42578125" style="133" customWidth="1"/>
    <col min="6372" max="6372" width="3" style="133" customWidth="1"/>
    <col min="6373" max="6606" width="11.42578125" style="133"/>
    <col min="6607" max="6607" width="44.42578125" style="133" customWidth="1"/>
    <col min="6608" max="6608" width="13" style="133" customWidth="1"/>
    <col min="6609" max="6614" width="2" style="133" customWidth="1"/>
    <col min="6615" max="6615" width="2.42578125" style="133" customWidth="1"/>
    <col min="6616" max="6616" width="3" style="133" customWidth="1"/>
    <col min="6617" max="6619" width="2" style="133" customWidth="1"/>
    <col min="6620" max="6620" width="2.85546875" style="133" customWidth="1"/>
    <col min="6621" max="6621" width="3" style="133" customWidth="1"/>
    <col min="6622" max="6622" width="2.7109375" style="133" customWidth="1"/>
    <col min="6623" max="6623" width="2.42578125" style="133" customWidth="1"/>
    <col min="6624" max="6624" width="3.28515625" style="133" customWidth="1"/>
    <col min="6625" max="6625" width="3.5703125" style="133" customWidth="1"/>
    <col min="6626" max="6626" width="4" style="133" customWidth="1"/>
    <col min="6627" max="6627" width="3.42578125" style="133" customWidth="1"/>
    <col min="6628" max="6628" width="3" style="133" customWidth="1"/>
    <col min="6629" max="6862" width="11.42578125" style="133"/>
    <col min="6863" max="6863" width="44.42578125" style="133" customWidth="1"/>
    <col min="6864" max="6864" width="13" style="133" customWidth="1"/>
    <col min="6865" max="6870" width="2" style="133" customWidth="1"/>
    <col min="6871" max="6871" width="2.42578125" style="133" customWidth="1"/>
    <col min="6872" max="6872" width="3" style="133" customWidth="1"/>
    <col min="6873" max="6875" width="2" style="133" customWidth="1"/>
    <col min="6876" max="6876" width="2.85546875" style="133" customWidth="1"/>
    <col min="6877" max="6877" width="3" style="133" customWidth="1"/>
    <col min="6878" max="6878" width="2.7109375" style="133" customWidth="1"/>
    <col min="6879" max="6879" width="2.42578125" style="133" customWidth="1"/>
    <col min="6880" max="6880" width="3.28515625" style="133" customWidth="1"/>
    <col min="6881" max="6881" width="3.5703125" style="133" customWidth="1"/>
    <col min="6882" max="6882" width="4" style="133" customWidth="1"/>
    <col min="6883" max="6883" width="3.42578125" style="133" customWidth="1"/>
    <col min="6884" max="6884" width="3" style="133" customWidth="1"/>
    <col min="6885" max="7118" width="11.42578125" style="133"/>
    <col min="7119" max="7119" width="44.42578125" style="133" customWidth="1"/>
    <col min="7120" max="7120" width="13" style="133" customWidth="1"/>
    <col min="7121" max="7126" width="2" style="133" customWidth="1"/>
    <col min="7127" max="7127" width="2.42578125" style="133" customWidth="1"/>
    <col min="7128" max="7128" width="3" style="133" customWidth="1"/>
    <col min="7129" max="7131" width="2" style="133" customWidth="1"/>
    <col min="7132" max="7132" width="2.85546875" style="133" customWidth="1"/>
    <col min="7133" max="7133" width="3" style="133" customWidth="1"/>
    <col min="7134" max="7134" width="2.7109375" style="133" customWidth="1"/>
    <col min="7135" max="7135" width="2.42578125" style="133" customWidth="1"/>
    <col min="7136" max="7136" width="3.28515625" style="133" customWidth="1"/>
    <col min="7137" max="7137" width="3.5703125" style="133" customWidth="1"/>
    <col min="7138" max="7138" width="4" style="133" customWidth="1"/>
    <col min="7139" max="7139" width="3.42578125" style="133" customWidth="1"/>
    <col min="7140" max="7140" width="3" style="133" customWidth="1"/>
    <col min="7141" max="7374" width="11.42578125" style="133"/>
    <col min="7375" max="7375" width="44.42578125" style="133" customWidth="1"/>
    <col min="7376" max="7376" width="13" style="133" customWidth="1"/>
    <col min="7377" max="7382" width="2" style="133" customWidth="1"/>
    <col min="7383" max="7383" width="2.42578125" style="133" customWidth="1"/>
    <col min="7384" max="7384" width="3" style="133" customWidth="1"/>
    <col min="7385" max="7387" width="2" style="133" customWidth="1"/>
    <col min="7388" max="7388" width="2.85546875" style="133" customWidth="1"/>
    <col min="7389" max="7389" width="3" style="133" customWidth="1"/>
    <col min="7390" max="7390" width="2.7109375" style="133" customWidth="1"/>
    <col min="7391" max="7391" width="2.42578125" style="133" customWidth="1"/>
    <col min="7392" max="7392" width="3.28515625" style="133" customWidth="1"/>
    <col min="7393" max="7393" width="3.5703125" style="133" customWidth="1"/>
    <col min="7394" max="7394" width="4" style="133" customWidth="1"/>
    <col min="7395" max="7395" width="3.42578125" style="133" customWidth="1"/>
    <col min="7396" max="7396" width="3" style="133" customWidth="1"/>
    <col min="7397" max="7630" width="11.42578125" style="133"/>
    <col min="7631" max="7631" width="44.42578125" style="133" customWidth="1"/>
    <col min="7632" max="7632" width="13" style="133" customWidth="1"/>
    <col min="7633" max="7638" width="2" style="133" customWidth="1"/>
    <col min="7639" max="7639" width="2.42578125" style="133" customWidth="1"/>
    <col min="7640" max="7640" width="3" style="133" customWidth="1"/>
    <col min="7641" max="7643" width="2" style="133" customWidth="1"/>
    <col min="7644" max="7644" width="2.85546875" style="133" customWidth="1"/>
    <col min="7645" max="7645" width="3" style="133" customWidth="1"/>
    <col min="7646" max="7646" width="2.7109375" style="133" customWidth="1"/>
    <col min="7647" max="7647" width="2.42578125" style="133" customWidth="1"/>
    <col min="7648" max="7648" width="3.28515625" style="133" customWidth="1"/>
    <col min="7649" max="7649" width="3.5703125" style="133" customWidth="1"/>
    <col min="7650" max="7650" width="4" style="133" customWidth="1"/>
    <col min="7651" max="7651" width="3.42578125" style="133" customWidth="1"/>
    <col min="7652" max="7652" width="3" style="133" customWidth="1"/>
    <col min="7653" max="7886" width="11.42578125" style="133"/>
    <col min="7887" max="7887" width="44.42578125" style="133" customWidth="1"/>
    <col min="7888" max="7888" width="13" style="133" customWidth="1"/>
    <col min="7889" max="7894" width="2" style="133" customWidth="1"/>
    <col min="7895" max="7895" width="2.42578125" style="133" customWidth="1"/>
    <col min="7896" max="7896" width="3" style="133" customWidth="1"/>
    <col min="7897" max="7899" width="2" style="133" customWidth="1"/>
    <col min="7900" max="7900" width="2.85546875" style="133" customWidth="1"/>
    <col min="7901" max="7901" width="3" style="133" customWidth="1"/>
    <col min="7902" max="7902" width="2.7109375" style="133" customWidth="1"/>
    <col min="7903" max="7903" width="2.42578125" style="133" customWidth="1"/>
    <col min="7904" max="7904" width="3.28515625" style="133" customWidth="1"/>
    <col min="7905" max="7905" width="3.5703125" style="133" customWidth="1"/>
    <col min="7906" max="7906" width="4" style="133" customWidth="1"/>
    <col min="7907" max="7907" width="3.42578125" style="133" customWidth="1"/>
    <col min="7908" max="7908" width="3" style="133" customWidth="1"/>
    <col min="7909" max="8142" width="11.42578125" style="133"/>
    <col min="8143" max="8143" width="44.42578125" style="133" customWidth="1"/>
    <col min="8144" max="8144" width="13" style="133" customWidth="1"/>
    <col min="8145" max="8150" width="2" style="133" customWidth="1"/>
    <col min="8151" max="8151" width="2.42578125" style="133" customWidth="1"/>
    <col min="8152" max="8152" width="3" style="133" customWidth="1"/>
    <col min="8153" max="8155" width="2" style="133" customWidth="1"/>
    <col min="8156" max="8156" width="2.85546875" style="133" customWidth="1"/>
    <col min="8157" max="8157" width="3" style="133" customWidth="1"/>
    <col min="8158" max="8158" width="2.7109375" style="133" customWidth="1"/>
    <col min="8159" max="8159" width="2.42578125" style="133" customWidth="1"/>
    <col min="8160" max="8160" width="3.28515625" style="133" customWidth="1"/>
    <col min="8161" max="8161" width="3.5703125" style="133" customWidth="1"/>
    <col min="8162" max="8162" width="4" style="133" customWidth="1"/>
    <col min="8163" max="8163" width="3.42578125" style="133" customWidth="1"/>
    <col min="8164" max="8164" width="3" style="133" customWidth="1"/>
    <col min="8165" max="8398" width="11.42578125" style="133"/>
    <col min="8399" max="8399" width="44.42578125" style="133" customWidth="1"/>
    <col min="8400" max="8400" width="13" style="133" customWidth="1"/>
    <col min="8401" max="8406" width="2" style="133" customWidth="1"/>
    <col min="8407" max="8407" width="2.42578125" style="133" customWidth="1"/>
    <col min="8408" max="8408" width="3" style="133" customWidth="1"/>
    <col min="8409" max="8411" width="2" style="133" customWidth="1"/>
    <col min="8412" max="8412" width="2.85546875" style="133" customWidth="1"/>
    <col min="8413" max="8413" width="3" style="133" customWidth="1"/>
    <col min="8414" max="8414" width="2.7109375" style="133" customWidth="1"/>
    <col min="8415" max="8415" width="2.42578125" style="133" customWidth="1"/>
    <col min="8416" max="8416" width="3.28515625" style="133" customWidth="1"/>
    <col min="8417" max="8417" width="3.5703125" style="133" customWidth="1"/>
    <col min="8418" max="8418" width="4" style="133" customWidth="1"/>
    <col min="8419" max="8419" width="3.42578125" style="133" customWidth="1"/>
    <col min="8420" max="8420" width="3" style="133" customWidth="1"/>
    <col min="8421" max="8654" width="11.42578125" style="133"/>
    <col min="8655" max="8655" width="44.42578125" style="133" customWidth="1"/>
    <col min="8656" max="8656" width="13" style="133" customWidth="1"/>
    <col min="8657" max="8662" width="2" style="133" customWidth="1"/>
    <col min="8663" max="8663" width="2.42578125" style="133" customWidth="1"/>
    <col min="8664" max="8664" width="3" style="133" customWidth="1"/>
    <col min="8665" max="8667" width="2" style="133" customWidth="1"/>
    <col min="8668" max="8668" width="2.85546875" style="133" customWidth="1"/>
    <col min="8669" max="8669" width="3" style="133" customWidth="1"/>
    <col min="8670" max="8670" width="2.7109375" style="133" customWidth="1"/>
    <col min="8671" max="8671" width="2.42578125" style="133" customWidth="1"/>
    <col min="8672" max="8672" width="3.28515625" style="133" customWidth="1"/>
    <col min="8673" max="8673" width="3.5703125" style="133" customWidth="1"/>
    <col min="8674" max="8674" width="4" style="133" customWidth="1"/>
    <col min="8675" max="8675" width="3.42578125" style="133" customWidth="1"/>
    <col min="8676" max="8676" width="3" style="133" customWidth="1"/>
    <col min="8677" max="8910" width="11.42578125" style="133"/>
    <col min="8911" max="8911" width="44.42578125" style="133" customWidth="1"/>
    <col min="8912" max="8912" width="13" style="133" customWidth="1"/>
    <col min="8913" max="8918" width="2" style="133" customWidth="1"/>
    <col min="8919" max="8919" width="2.42578125" style="133" customWidth="1"/>
    <col min="8920" max="8920" width="3" style="133" customWidth="1"/>
    <col min="8921" max="8923" width="2" style="133" customWidth="1"/>
    <col min="8924" max="8924" width="2.85546875" style="133" customWidth="1"/>
    <col min="8925" max="8925" width="3" style="133" customWidth="1"/>
    <col min="8926" max="8926" width="2.7109375" style="133" customWidth="1"/>
    <col min="8927" max="8927" width="2.42578125" style="133" customWidth="1"/>
    <col min="8928" max="8928" width="3.28515625" style="133" customWidth="1"/>
    <col min="8929" max="8929" width="3.5703125" style="133" customWidth="1"/>
    <col min="8930" max="8930" width="4" style="133" customWidth="1"/>
    <col min="8931" max="8931" width="3.42578125" style="133" customWidth="1"/>
    <col min="8932" max="8932" width="3" style="133" customWidth="1"/>
    <col min="8933" max="9166" width="11.42578125" style="133"/>
    <col min="9167" max="9167" width="44.42578125" style="133" customWidth="1"/>
    <col min="9168" max="9168" width="13" style="133" customWidth="1"/>
    <col min="9169" max="9174" width="2" style="133" customWidth="1"/>
    <col min="9175" max="9175" width="2.42578125" style="133" customWidth="1"/>
    <col min="9176" max="9176" width="3" style="133" customWidth="1"/>
    <col min="9177" max="9179" width="2" style="133" customWidth="1"/>
    <col min="9180" max="9180" width="2.85546875" style="133" customWidth="1"/>
    <col min="9181" max="9181" width="3" style="133" customWidth="1"/>
    <col min="9182" max="9182" width="2.7109375" style="133" customWidth="1"/>
    <col min="9183" max="9183" width="2.42578125" style="133" customWidth="1"/>
    <col min="9184" max="9184" width="3.28515625" style="133" customWidth="1"/>
    <col min="9185" max="9185" width="3.5703125" style="133" customWidth="1"/>
    <col min="9186" max="9186" width="4" style="133" customWidth="1"/>
    <col min="9187" max="9187" width="3.42578125" style="133" customWidth="1"/>
    <col min="9188" max="9188" width="3" style="133" customWidth="1"/>
    <col min="9189" max="9422" width="11.42578125" style="133"/>
    <col min="9423" max="9423" width="44.42578125" style="133" customWidth="1"/>
    <col min="9424" max="9424" width="13" style="133" customWidth="1"/>
    <col min="9425" max="9430" width="2" style="133" customWidth="1"/>
    <col min="9431" max="9431" width="2.42578125" style="133" customWidth="1"/>
    <col min="9432" max="9432" width="3" style="133" customWidth="1"/>
    <col min="9433" max="9435" width="2" style="133" customWidth="1"/>
    <col min="9436" max="9436" width="2.85546875" style="133" customWidth="1"/>
    <col min="9437" max="9437" width="3" style="133" customWidth="1"/>
    <col min="9438" max="9438" width="2.7109375" style="133" customWidth="1"/>
    <col min="9439" max="9439" width="2.42578125" style="133" customWidth="1"/>
    <col min="9440" max="9440" width="3.28515625" style="133" customWidth="1"/>
    <col min="9441" max="9441" width="3.5703125" style="133" customWidth="1"/>
    <col min="9442" max="9442" width="4" style="133" customWidth="1"/>
    <col min="9443" max="9443" width="3.42578125" style="133" customWidth="1"/>
    <col min="9444" max="9444" width="3" style="133" customWidth="1"/>
    <col min="9445" max="9678" width="11.42578125" style="133"/>
    <col min="9679" max="9679" width="44.42578125" style="133" customWidth="1"/>
    <col min="9680" max="9680" width="13" style="133" customWidth="1"/>
    <col min="9681" max="9686" width="2" style="133" customWidth="1"/>
    <col min="9687" max="9687" width="2.42578125" style="133" customWidth="1"/>
    <col min="9688" max="9688" width="3" style="133" customWidth="1"/>
    <col min="9689" max="9691" width="2" style="133" customWidth="1"/>
    <col min="9692" max="9692" width="2.85546875" style="133" customWidth="1"/>
    <col min="9693" max="9693" width="3" style="133" customWidth="1"/>
    <col min="9694" max="9694" width="2.7109375" style="133" customWidth="1"/>
    <col min="9695" max="9695" width="2.42578125" style="133" customWidth="1"/>
    <col min="9696" max="9696" width="3.28515625" style="133" customWidth="1"/>
    <col min="9697" max="9697" width="3.5703125" style="133" customWidth="1"/>
    <col min="9698" max="9698" width="4" style="133" customWidth="1"/>
    <col min="9699" max="9699" width="3.42578125" style="133" customWidth="1"/>
    <col min="9700" max="9700" width="3" style="133" customWidth="1"/>
    <col min="9701" max="9934" width="11.42578125" style="133"/>
    <col min="9935" max="9935" width="44.42578125" style="133" customWidth="1"/>
    <col min="9936" max="9936" width="13" style="133" customWidth="1"/>
    <col min="9937" max="9942" width="2" style="133" customWidth="1"/>
    <col min="9943" max="9943" width="2.42578125" style="133" customWidth="1"/>
    <col min="9944" max="9944" width="3" style="133" customWidth="1"/>
    <col min="9945" max="9947" width="2" style="133" customWidth="1"/>
    <col min="9948" max="9948" width="2.85546875" style="133" customWidth="1"/>
    <col min="9949" max="9949" width="3" style="133" customWidth="1"/>
    <col min="9950" max="9950" width="2.7109375" style="133" customWidth="1"/>
    <col min="9951" max="9951" width="2.42578125" style="133" customWidth="1"/>
    <col min="9952" max="9952" width="3.28515625" style="133" customWidth="1"/>
    <col min="9953" max="9953" width="3.5703125" style="133" customWidth="1"/>
    <col min="9954" max="9954" width="4" style="133" customWidth="1"/>
    <col min="9955" max="9955" width="3.42578125" style="133" customWidth="1"/>
    <col min="9956" max="9956" width="3" style="133" customWidth="1"/>
    <col min="9957" max="10190" width="11.42578125" style="133"/>
    <col min="10191" max="10191" width="44.42578125" style="133" customWidth="1"/>
    <col min="10192" max="10192" width="13" style="133" customWidth="1"/>
    <col min="10193" max="10198" width="2" style="133" customWidth="1"/>
    <col min="10199" max="10199" width="2.42578125" style="133" customWidth="1"/>
    <col min="10200" max="10200" width="3" style="133" customWidth="1"/>
    <col min="10201" max="10203" width="2" style="133" customWidth="1"/>
    <col min="10204" max="10204" width="2.85546875" style="133" customWidth="1"/>
    <col min="10205" max="10205" width="3" style="133" customWidth="1"/>
    <col min="10206" max="10206" width="2.7109375" style="133" customWidth="1"/>
    <col min="10207" max="10207" width="2.42578125" style="133" customWidth="1"/>
    <col min="10208" max="10208" width="3.28515625" style="133" customWidth="1"/>
    <col min="10209" max="10209" width="3.5703125" style="133" customWidth="1"/>
    <col min="10210" max="10210" width="4" style="133" customWidth="1"/>
    <col min="10211" max="10211" width="3.42578125" style="133" customWidth="1"/>
    <col min="10212" max="10212" width="3" style="133" customWidth="1"/>
    <col min="10213" max="10446" width="11.42578125" style="133"/>
    <col min="10447" max="10447" width="44.42578125" style="133" customWidth="1"/>
    <col min="10448" max="10448" width="13" style="133" customWidth="1"/>
    <col min="10449" max="10454" width="2" style="133" customWidth="1"/>
    <col min="10455" max="10455" width="2.42578125" style="133" customWidth="1"/>
    <col min="10456" max="10456" width="3" style="133" customWidth="1"/>
    <col min="10457" max="10459" width="2" style="133" customWidth="1"/>
    <col min="10460" max="10460" width="2.85546875" style="133" customWidth="1"/>
    <col min="10461" max="10461" width="3" style="133" customWidth="1"/>
    <col min="10462" max="10462" width="2.7109375" style="133" customWidth="1"/>
    <col min="10463" max="10463" width="2.42578125" style="133" customWidth="1"/>
    <col min="10464" max="10464" width="3.28515625" style="133" customWidth="1"/>
    <col min="10465" max="10465" width="3.5703125" style="133" customWidth="1"/>
    <col min="10466" max="10466" width="4" style="133" customWidth="1"/>
    <col min="10467" max="10467" width="3.42578125" style="133" customWidth="1"/>
    <col min="10468" max="10468" width="3" style="133" customWidth="1"/>
    <col min="10469" max="10702" width="11.42578125" style="133"/>
    <col min="10703" max="10703" width="44.42578125" style="133" customWidth="1"/>
    <col min="10704" max="10704" width="13" style="133" customWidth="1"/>
    <col min="10705" max="10710" width="2" style="133" customWidth="1"/>
    <col min="10711" max="10711" width="2.42578125" style="133" customWidth="1"/>
    <col min="10712" max="10712" width="3" style="133" customWidth="1"/>
    <col min="10713" max="10715" width="2" style="133" customWidth="1"/>
    <col min="10716" max="10716" width="2.85546875" style="133" customWidth="1"/>
    <col min="10717" max="10717" width="3" style="133" customWidth="1"/>
    <col min="10718" max="10718" width="2.7109375" style="133" customWidth="1"/>
    <col min="10719" max="10719" width="2.42578125" style="133" customWidth="1"/>
    <col min="10720" max="10720" width="3.28515625" style="133" customWidth="1"/>
    <col min="10721" max="10721" width="3.5703125" style="133" customWidth="1"/>
    <col min="10722" max="10722" width="4" style="133" customWidth="1"/>
    <col min="10723" max="10723" width="3.42578125" style="133" customWidth="1"/>
    <col min="10724" max="10724" width="3" style="133" customWidth="1"/>
    <col min="10725" max="10958" width="11.42578125" style="133"/>
    <col min="10959" max="10959" width="44.42578125" style="133" customWidth="1"/>
    <col min="10960" max="10960" width="13" style="133" customWidth="1"/>
    <col min="10961" max="10966" width="2" style="133" customWidth="1"/>
    <col min="10967" max="10967" width="2.42578125" style="133" customWidth="1"/>
    <col min="10968" max="10968" width="3" style="133" customWidth="1"/>
    <col min="10969" max="10971" width="2" style="133" customWidth="1"/>
    <col min="10972" max="10972" width="2.85546875" style="133" customWidth="1"/>
    <col min="10973" max="10973" width="3" style="133" customWidth="1"/>
    <col min="10974" max="10974" width="2.7109375" style="133" customWidth="1"/>
    <col min="10975" max="10975" width="2.42578125" style="133" customWidth="1"/>
    <col min="10976" max="10976" width="3.28515625" style="133" customWidth="1"/>
    <col min="10977" max="10977" width="3.5703125" style="133" customWidth="1"/>
    <col min="10978" max="10978" width="4" style="133" customWidth="1"/>
    <col min="10979" max="10979" width="3.42578125" style="133" customWidth="1"/>
    <col min="10980" max="10980" width="3" style="133" customWidth="1"/>
    <col min="10981" max="11214" width="11.42578125" style="133"/>
    <col min="11215" max="11215" width="44.42578125" style="133" customWidth="1"/>
    <col min="11216" max="11216" width="13" style="133" customWidth="1"/>
    <col min="11217" max="11222" width="2" style="133" customWidth="1"/>
    <col min="11223" max="11223" width="2.42578125" style="133" customWidth="1"/>
    <col min="11224" max="11224" width="3" style="133" customWidth="1"/>
    <col min="11225" max="11227" width="2" style="133" customWidth="1"/>
    <col min="11228" max="11228" width="2.85546875" style="133" customWidth="1"/>
    <col min="11229" max="11229" width="3" style="133" customWidth="1"/>
    <col min="11230" max="11230" width="2.7109375" style="133" customWidth="1"/>
    <col min="11231" max="11231" width="2.42578125" style="133" customWidth="1"/>
    <col min="11232" max="11232" width="3.28515625" style="133" customWidth="1"/>
    <col min="11233" max="11233" width="3.5703125" style="133" customWidth="1"/>
    <col min="11234" max="11234" width="4" style="133" customWidth="1"/>
    <col min="11235" max="11235" width="3.42578125" style="133" customWidth="1"/>
    <col min="11236" max="11236" width="3" style="133" customWidth="1"/>
    <col min="11237" max="11470" width="11.42578125" style="133"/>
    <col min="11471" max="11471" width="44.42578125" style="133" customWidth="1"/>
    <col min="11472" max="11472" width="13" style="133" customWidth="1"/>
    <col min="11473" max="11478" width="2" style="133" customWidth="1"/>
    <col min="11479" max="11479" width="2.42578125" style="133" customWidth="1"/>
    <col min="11480" max="11480" width="3" style="133" customWidth="1"/>
    <col min="11481" max="11483" width="2" style="133" customWidth="1"/>
    <col min="11484" max="11484" width="2.85546875" style="133" customWidth="1"/>
    <col min="11485" max="11485" width="3" style="133" customWidth="1"/>
    <col min="11486" max="11486" width="2.7109375" style="133" customWidth="1"/>
    <col min="11487" max="11487" width="2.42578125" style="133" customWidth="1"/>
    <col min="11488" max="11488" width="3.28515625" style="133" customWidth="1"/>
    <col min="11489" max="11489" width="3.5703125" style="133" customWidth="1"/>
    <col min="11490" max="11490" width="4" style="133" customWidth="1"/>
    <col min="11491" max="11491" width="3.42578125" style="133" customWidth="1"/>
    <col min="11492" max="11492" width="3" style="133" customWidth="1"/>
    <col min="11493" max="11726" width="11.42578125" style="133"/>
    <col min="11727" max="11727" width="44.42578125" style="133" customWidth="1"/>
    <col min="11728" max="11728" width="13" style="133" customWidth="1"/>
    <col min="11729" max="11734" width="2" style="133" customWidth="1"/>
    <col min="11735" max="11735" width="2.42578125" style="133" customWidth="1"/>
    <col min="11736" max="11736" width="3" style="133" customWidth="1"/>
    <col min="11737" max="11739" width="2" style="133" customWidth="1"/>
    <col min="11740" max="11740" width="2.85546875" style="133" customWidth="1"/>
    <col min="11741" max="11741" width="3" style="133" customWidth="1"/>
    <col min="11742" max="11742" width="2.7109375" style="133" customWidth="1"/>
    <col min="11743" max="11743" width="2.42578125" style="133" customWidth="1"/>
    <col min="11744" max="11744" width="3.28515625" style="133" customWidth="1"/>
    <col min="11745" max="11745" width="3.5703125" style="133" customWidth="1"/>
    <col min="11746" max="11746" width="4" style="133" customWidth="1"/>
    <col min="11747" max="11747" width="3.42578125" style="133" customWidth="1"/>
    <col min="11748" max="11748" width="3" style="133" customWidth="1"/>
    <col min="11749" max="11982" width="11.42578125" style="133"/>
    <col min="11983" max="11983" width="44.42578125" style="133" customWidth="1"/>
    <col min="11984" max="11984" width="13" style="133" customWidth="1"/>
    <col min="11985" max="11990" width="2" style="133" customWidth="1"/>
    <col min="11991" max="11991" width="2.42578125" style="133" customWidth="1"/>
    <col min="11992" max="11992" width="3" style="133" customWidth="1"/>
    <col min="11993" max="11995" width="2" style="133" customWidth="1"/>
    <col min="11996" max="11996" width="2.85546875" style="133" customWidth="1"/>
    <col min="11997" max="11997" width="3" style="133" customWidth="1"/>
    <col min="11998" max="11998" width="2.7109375" style="133" customWidth="1"/>
    <col min="11999" max="11999" width="2.42578125" style="133" customWidth="1"/>
    <col min="12000" max="12000" width="3.28515625" style="133" customWidth="1"/>
    <col min="12001" max="12001" width="3.5703125" style="133" customWidth="1"/>
    <col min="12002" max="12002" width="4" style="133" customWidth="1"/>
    <col min="12003" max="12003" width="3.42578125" style="133" customWidth="1"/>
    <col min="12004" max="12004" width="3" style="133" customWidth="1"/>
    <col min="12005" max="12238" width="11.42578125" style="133"/>
    <col min="12239" max="12239" width="44.42578125" style="133" customWidth="1"/>
    <col min="12240" max="12240" width="13" style="133" customWidth="1"/>
    <col min="12241" max="12246" width="2" style="133" customWidth="1"/>
    <col min="12247" max="12247" width="2.42578125" style="133" customWidth="1"/>
    <col min="12248" max="12248" width="3" style="133" customWidth="1"/>
    <col min="12249" max="12251" width="2" style="133" customWidth="1"/>
    <col min="12252" max="12252" width="2.85546875" style="133" customWidth="1"/>
    <col min="12253" max="12253" width="3" style="133" customWidth="1"/>
    <col min="12254" max="12254" width="2.7109375" style="133" customWidth="1"/>
    <col min="12255" max="12255" width="2.42578125" style="133" customWidth="1"/>
    <col min="12256" max="12256" width="3.28515625" style="133" customWidth="1"/>
    <col min="12257" max="12257" width="3.5703125" style="133" customWidth="1"/>
    <col min="12258" max="12258" width="4" style="133" customWidth="1"/>
    <col min="12259" max="12259" width="3.42578125" style="133" customWidth="1"/>
    <col min="12260" max="12260" width="3" style="133" customWidth="1"/>
    <col min="12261" max="12494" width="11.42578125" style="133"/>
    <col min="12495" max="12495" width="44.42578125" style="133" customWidth="1"/>
    <col min="12496" max="12496" width="13" style="133" customWidth="1"/>
    <col min="12497" max="12502" width="2" style="133" customWidth="1"/>
    <col min="12503" max="12503" width="2.42578125" style="133" customWidth="1"/>
    <col min="12504" max="12504" width="3" style="133" customWidth="1"/>
    <col min="12505" max="12507" width="2" style="133" customWidth="1"/>
    <col min="12508" max="12508" width="2.85546875" style="133" customWidth="1"/>
    <col min="12509" max="12509" width="3" style="133" customWidth="1"/>
    <col min="12510" max="12510" width="2.7109375" style="133" customWidth="1"/>
    <col min="12511" max="12511" width="2.42578125" style="133" customWidth="1"/>
    <col min="12512" max="12512" width="3.28515625" style="133" customWidth="1"/>
    <col min="12513" max="12513" width="3.5703125" style="133" customWidth="1"/>
    <col min="12514" max="12514" width="4" style="133" customWidth="1"/>
    <col min="12515" max="12515" width="3.42578125" style="133" customWidth="1"/>
    <col min="12516" max="12516" width="3" style="133" customWidth="1"/>
    <col min="12517" max="12750" width="11.42578125" style="133"/>
    <col min="12751" max="12751" width="44.42578125" style="133" customWidth="1"/>
    <col min="12752" max="12752" width="13" style="133" customWidth="1"/>
    <col min="12753" max="12758" width="2" style="133" customWidth="1"/>
    <col min="12759" max="12759" width="2.42578125" style="133" customWidth="1"/>
    <col min="12760" max="12760" width="3" style="133" customWidth="1"/>
    <col min="12761" max="12763" width="2" style="133" customWidth="1"/>
    <col min="12764" max="12764" width="2.85546875" style="133" customWidth="1"/>
    <col min="12765" max="12765" width="3" style="133" customWidth="1"/>
    <col min="12766" max="12766" width="2.7109375" style="133" customWidth="1"/>
    <col min="12767" max="12767" width="2.42578125" style="133" customWidth="1"/>
    <col min="12768" max="12768" width="3.28515625" style="133" customWidth="1"/>
    <col min="12769" max="12769" width="3.5703125" style="133" customWidth="1"/>
    <col min="12770" max="12770" width="4" style="133" customWidth="1"/>
    <col min="12771" max="12771" width="3.42578125" style="133" customWidth="1"/>
    <col min="12772" max="12772" width="3" style="133" customWidth="1"/>
    <col min="12773" max="13006" width="11.42578125" style="133"/>
    <col min="13007" max="13007" width="44.42578125" style="133" customWidth="1"/>
    <col min="13008" max="13008" width="13" style="133" customWidth="1"/>
    <col min="13009" max="13014" width="2" style="133" customWidth="1"/>
    <col min="13015" max="13015" width="2.42578125" style="133" customWidth="1"/>
    <col min="13016" max="13016" width="3" style="133" customWidth="1"/>
    <col min="13017" max="13019" width="2" style="133" customWidth="1"/>
    <col min="13020" max="13020" width="2.85546875" style="133" customWidth="1"/>
    <col min="13021" max="13021" width="3" style="133" customWidth="1"/>
    <col min="13022" max="13022" width="2.7109375" style="133" customWidth="1"/>
    <col min="13023" max="13023" width="2.42578125" style="133" customWidth="1"/>
    <col min="13024" max="13024" width="3.28515625" style="133" customWidth="1"/>
    <col min="13025" max="13025" width="3.5703125" style="133" customWidth="1"/>
    <col min="13026" max="13026" width="4" style="133" customWidth="1"/>
    <col min="13027" max="13027" width="3.42578125" style="133" customWidth="1"/>
    <col min="13028" max="13028" width="3" style="133" customWidth="1"/>
    <col min="13029" max="13262" width="11.42578125" style="133"/>
    <col min="13263" max="13263" width="44.42578125" style="133" customWidth="1"/>
    <col min="13264" max="13264" width="13" style="133" customWidth="1"/>
    <col min="13265" max="13270" width="2" style="133" customWidth="1"/>
    <col min="13271" max="13271" width="2.42578125" style="133" customWidth="1"/>
    <col min="13272" max="13272" width="3" style="133" customWidth="1"/>
    <col min="13273" max="13275" width="2" style="133" customWidth="1"/>
    <col min="13276" max="13276" width="2.85546875" style="133" customWidth="1"/>
    <col min="13277" max="13277" width="3" style="133" customWidth="1"/>
    <col min="13278" max="13278" width="2.7109375" style="133" customWidth="1"/>
    <col min="13279" max="13279" width="2.42578125" style="133" customWidth="1"/>
    <col min="13280" max="13280" width="3.28515625" style="133" customWidth="1"/>
    <col min="13281" max="13281" width="3.5703125" style="133" customWidth="1"/>
    <col min="13282" max="13282" width="4" style="133" customWidth="1"/>
    <col min="13283" max="13283" width="3.42578125" style="133" customWidth="1"/>
    <col min="13284" max="13284" width="3" style="133" customWidth="1"/>
    <col min="13285" max="13518" width="11.42578125" style="133"/>
    <col min="13519" max="13519" width="44.42578125" style="133" customWidth="1"/>
    <col min="13520" max="13520" width="13" style="133" customWidth="1"/>
    <col min="13521" max="13526" width="2" style="133" customWidth="1"/>
    <col min="13527" max="13527" width="2.42578125" style="133" customWidth="1"/>
    <col min="13528" max="13528" width="3" style="133" customWidth="1"/>
    <col min="13529" max="13531" width="2" style="133" customWidth="1"/>
    <col min="13532" max="13532" width="2.85546875" style="133" customWidth="1"/>
    <col min="13533" max="13533" width="3" style="133" customWidth="1"/>
    <col min="13534" max="13534" width="2.7109375" style="133" customWidth="1"/>
    <col min="13535" max="13535" width="2.42578125" style="133" customWidth="1"/>
    <col min="13536" max="13536" width="3.28515625" style="133" customWidth="1"/>
    <col min="13537" max="13537" width="3.5703125" style="133" customWidth="1"/>
    <col min="13538" max="13538" width="4" style="133" customWidth="1"/>
    <col min="13539" max="13539" width="3.42578125" style="133" customWidth="1"/>
    <col min="13540" max="13540" width="3" style="133" customWidth="1"/>
    <col min="13541" max="13774" width="11.42578125" style="133"/>
    <col min="13775" max="13775" width="44.42578125" style="133" customWidth="1"/>
    <col min="13776" max="13776" width="13" style="133" customWidth="1"/>
    <col min="13777" max="13782" width="2" style="133" customWidth="1"/>
    <col min="13783" max="13783" width="2.42578125" style="133" customWidth="1"/>
    <col min="13784" max="13784" width="3" style="133" customWidth="1"/>
    <col min="13785" max="13787" width="2" style="133" customWidth="1"/>
    <col min="13788" max="13788" width="2.85546875" style="133" customWidth="1"/>
    <col min="13789" max="13789" width="3" style="133" customWidth="1"/>
    <col min="13790" max="13790" width="2.7109375" style="133" customWidth="1"/>
    <col min="13791" max="13791" width="2.42578125" style="133" customWidth="1"/>
    <col min="13792" max="13792" width="3.28515625" style="133" customWidth="1"/>
    <col min="13793" max="13793" width="3.5703125" style="133" customWidth="1"/>
    <col min="13794" max="13794" width="4" style="133" customWidth="1"/>
    <col min="13795" max="13795" width="3.42578125" style="133" customWidth="1"/>
    <col min="13796" max="13796" width="3" style="133" customWidth="1"/>
    <col min="13797" max="14030" width="11.42578125" style="133"/>
    <col min="14031" max="14031" width="44.42578125" style="133" customWidth="1"/>
    <col min="14032" max="14032" width="13" style="133" customWidth="1"/>
    <col min="14033" max="14038" width="2" style="133" customWidth="1"/>
    <col min="14039" max="14039" width="2.42578125" style="133" customWidth="1"/>
    <col min="14040" max="14040" width="3" style="133" customWidth="1"/>
    <col min="14041" max="14043" width="2" style="133" customWidth="1"/>
    <col min="14044" max="14044" width="2.85546875" style="133" customWidth="1"/>
    <col min="14045" max="14045" width="3" style="133" customWidth="1"/>
    <col min="14046" max="14046" width="2.7109375" style="133" customWidth="1"/>
    <col min="14047" max="14047" width="2.42578125" style="133" customWidth="1"/>
    <col min="14048" max="14048" width="3.28515625" style="133" customWidth="1"/>
    <col min="14049" max="14049" width="3.5703125" style="133" customWidth="1"/>
    <col min="14050" max="14050" width="4" style="133" customWidth="1"/>
    <col min="14051" max="14051" width="3.42578125" style="133" customWidth="1"/>
    <col min="14052" max="14052" width="3" style="133" customWidth="1"/>
    <col min="14053" max="14286" width="11.42578125" style="133"/>
    <col min="14287" max="14287" width="44.42578125" style="133" customWidth="1"/>
    <col min="14288" max="14288" width="13" style="133" customWidth="1"/>
    <col min="14289" max="14294" width="2" style="133" customWidth="1"/>
    <col min="14295" max="14295" width="2.42578125" style="133" customWidth="1"/>
    <col min="14296" max="14296" width="3" style="133" customWidth="1"/>
    <col min="14297" max="14299" width="2" style="133" customWidth="1"/>
    <col min="14300" max="14300" width="2.85546875" style="133" customWidth="1"/>
    <col min="14301" max="14301" width="3" style="133" customWidth="1"/>
    <col min="14302" max="14302" width="2.7109375" style="133" customWidth="1"/>
    <col min="14303" max="14303" width="2.42578125" style="133" customWidth="1"/>
    <col min="14304" max="14304" width="3.28515625" style="133" customWidth="1"/>
    <col min="14305" max="14305" width="3.5703125" style="133" customWidth="1"/>
    <col min="14306" max="14306" width="4" style="133" customWidth="1"/>
    <col min="14307" max="14307" width="3.42578125" style="133" customWidth="1"/>
    <col min="14308" max="14308" width="3" style="133" customWidth="1"/>
    <col min="14309" max="14542" width="11.42578125" style="133"/>
    <col min="14543" max="14543" width="44.42578125" style="133" customWidth="1"/>
    <col min="14544" max="14544" width="13" style="133" customWidth="1"/>
    <col min="14545" max="14550" width="2" style="133" customWidth="1"/>
    <col min="14551" max="14551" width="2.42578125" style="133" customWidth="1"/>
    <col min="14552" max="14552" width="3" style="133" customWidth="1"/>
    <col min="14553" max="14555" width="2" style="133" customWidth="1"/>
    <col min="14556" max="14556" width="2.85546875" style="133" customWidth="1"/>
    <col min="14557" max="14557" width="3" style="133" customWidth="1"/>
    <col min="14558" max="14558" width="2.7109375" style="133" customWidth="1"/>
    <col min="14559" max="14559" width="2.42578125" style="133" customWidth="1"/>
    <col min="14560" max="14560" width="3.28515625" style="133" customWidth="1"/>
    <col min="14561" max="14561" width="3.5703125" style="133" customWidth="1"/>
    <col min="14562" max="14562" width="4" style="133" customWidth="1"/>
    <col min="14563" max="14563" width="3.42578125" style="133" customWidth="1"/>
    <col min="14564" max="14564" width="3" style="133" customWidth="1"/>
    <col min="14565" max="14798" width="11.42578125" style="133"/>
    <col min="14799" max="14799" width="44.42578125" style="133" customWidth="1"/>
    <col min="14800" max="14800" width="13" style="133" customWidth="1"/>
    <col min="14801" max="14806" width="2" style="133" customWidth="1"/>
    <col min="14807" max="14807" width="2.42578125" style="133" customWidth="1"/>
    <col min="14808" max="14808" width="3" style="133" customWidth="1"/>
    <col min="14809" max="14811" width="2" style="133" customWidth="1"/>
    <col min="14812" max="14812" width="2.85546875" style="133" customWidth="1"/>
    <col min="14813" max="14813" width="3" style="133" customWidth="1"/>
    <col min="14814" max="14814" width="2.7109375" style="133" customWidth="1"/>
    <col min="14815" max="14815" width="2.42578125" style="133" customWidth="1"/>
    <col min="14816" max="14816" width="3.28515625" style="133" customWidth="1"/>
    <col min="14817" max="14817" width="3.5703125" style="133" customWidth="1"/>
    <col min="14818" max="14818" width="4" style="133" customWidth="1"/>
    <col min="14819" max="14819" width="3.42578125" style="133" customWidth="1"/>
    <col min="14820" max="14820" width="3" style="133" customWidth="1"/>
    <col min="14821" max="15054" width="11.42578125" style="133"/>
    <col min="15055" max="15055" width="44.42578125" style="133" customWidth="1"/>
    <col min="15056" max="15056" width="13" style="133" customWidth="1"/>
    <col min="15057" max="15062" width="2" style="133" customWidth="1"/>
    <col min="15063" max="15063" width="2.42578125" style="133" customWidth="1"/>
    <col min="15064" max="15064" width="3" style="133" customWidth="1"/>
    <col min="15065" max="15067" width="2" style="133" customWidth="1"/>
    <col min="15068" max="15068" width="2.85546875" style="133" customWidth="1"/>
    <col min="15069" max="15069" width="3" style="133" customWidth="1"/>
    <col min="15070" max="15070" width="2.7109375" style="133" customWidth="1"/>
    <col min="15071" max="15071" width="2.42578125" style="133" customWidth="1"/>
    <col min="15072" max="15072" width="3.28515625" style="133" customWidth="1"/>
    <col min="15073" max="15073" width="3.5703125" style="133" customWidth="1"/>
    <col min="15074" max="15074" width="4" style="133" customWidth="1"/>
    <col min="15075" max="15075" width="3.42578125" style="133" customWidth="1"/>
    <col min="15076" max="15076" width="3" style="133" customWidth="1"/>
    <col min="15077" max="15310" width="11.42578125" style="133"/>
    <col min="15311" max="15311" width="44.42578125" style="133" customWidth="1"/>
    <col min="15312" max="15312" width="13" style="133" customWidth="1"/>
    <col min="15313" max="15318" width="2" style="133" customWidth="1"/>
    <col min="15319" max="15319" width="2.42578125" style="133" customWidth="1"/>
    <col min="15320" max="15320" width="3" style="133" customWidth="1"/>
    <col min="15321" max="15323" width="2" style="133" customWidth="1"/>
    <col min="15324" max="15324" width="2.85546875" style="133" customWidth="1"/>
    <col min="15325" max="15325" width="3" style="133" customWidth="1"/>
    <col min="15326" max="15326" width="2.7109375" style="133" customWidth="1"/>
    <col min="15327" max="15327" width="2.42578125" style="133" customWidth="1"/>
    <col min="15328" max="15328" width="3.28515625" style="133" customWidth="1"/>
    <col min="15329" max="15329" width="3.5703125" style="133" customWidth="1"/>
    <col min="15330" max="15330" width="4" style="133" customWidth="1"/>
    <col min="15331" max="15331" width="3.42578125" style="133" customWidth="1"/>
    <col min="15332" max="15332" width="3" style="133" customWidth="1"/>
    <col min="15333" max="15566" width="11.42578125" style="133"/>
    <col min="15567" max="15567" width="44.42578125" style="133" customWidth="1"/>
    <col min="15568" max="15568" width="13" style="133" customWidth="1"/>
    <col min="15569" max="15574" width="2" style="133" customWidth="1"/>
    <col min="15575" max="15575" width="2.42578125" style="133" customWidth="1"/>
    <col min="15576" max="15576" width="3" style="133" customWidth="1"/>
    <col min="15577" max="15579" width="2" style="133" customWidth="1"/>
    <col min="15580" max="15580" width="2.85546875" style="133" customWidth="1"/>
    <col min="15581" max="15581" width="3" style="133" customWidth="1"/>
    <col min="15582" max="15582" width="2.7109375" style="133" customWidth="1"/>
    <col min="15583" max="15583" width="2.42578125" style="133" customWidth="1"/>
    <col min="15584" max="15584" width="3.28515625" style="133" customWidth="1"/>
    <col min="15585" max="15585" width="3.5703125" style="133" customWidth="1"/>
    <col min="15586" max="15586" width="4" style="133" customWidth="1"/>
    <col min="15587" max="15587" width="3.42578125" style="133" customWidth="1"/>
    <col min="15588" max="15588" width="3" style="133" customWidth="1"/>
    <col min="15589" max="15822" width="11.42578125" style="133"/>
    <col min="15823" max="15823" width="44.42578125" style="133" customWidth="1"/>
    <col min="15824" max="15824" width="13" style="133" customWidth="1"/>
    <col min="15825" max="15830" width="2" style="133" customWidth="1"/>
    <col min="15831" max="15831" width="2.42578125" style="133" customWidth="1"/>
    <col min="15832" max="15832" width="3" style="133" customWidth="1"/>
    <col min="15833" max="15835" width="2" style="133" customWidth="1"/>
    <col min="15836" max="15836" width="2.85546875" style="133" customWidth="1"/>
    <col min="15837" max="15837" width="3" style="133" customWidth="1"/>
    <col min="15838" max="15838" width="2.7109375" style="133" customWidth="1"/>
    <col min="15839" max="15839" width="2.42578125" style="133" customWidth="1"/>
    <col min="15840" max="15840" width="3.28515625" style="133" customWidth="1"/>
    <col min="15841" max="15841" width="3.5703125" style="133" customWidth="1"/>
    <col min="15842" max="15842" width="4" style="133" customWidth="1"/>
    <col min="15843" max="15843" width="3.42578125" style="133" customWidth="1"/>
    <col min="15844" max="15844" width="3" style="133" customWidth="1"/>
    <col min="15845" max="16078" width="11.42578125" style="133"/>
    <col min="16079" max="16079" width="44.42578125" style="133" customWidth="1"/>
    <col min="16080" max="16080" width="13" style="133" customWidth="1"/>
    <col min="16081" max="16086" width="2" style="133" customWidth="1"/>
    <col min="16087" max="16087" width="2.42578125" style="133" customWidth="1"/>
    <col min="16088" max="16088" width="3" style="133" customWidth="1"/>
    <col min="16089" max="16091" width="2" style="133" customWidth="1"/>
    <col min="16092" max="16092" width="2.85546875" style="133" customWidth="1"/>
    <col min="16093" max="16093" width="3" style="133" customWidth="1"/>
    <col min="16094" max="16094" width="2.7109375" style="133" customWidth="1"/>
    <col min="16095" max="16095" width="2.42578125" style="133" customWidth="1"/>
    <col min="16096" max="16096" width="3.28515625" style="133" customWidth="1"/>
    <col min="16097" max="16097" width="3.5703125" style="133" customWidth="1"/>
    <col min="16098" max="16098" width="4" style="133" customWidth="1"/>
    <col min="16099" max="16099" width="3.42578125" style="133" customWidth="1"/>
    <col min="16100" max="16100" width="3" style="133" customWidth="1"/>
    <col min="16101" max="16384" width="11.42578125" style="133"/>
  </cols>
  <sheetData>
    <row r="1" spans="1:26" ht="15" x14ac:dyDescent="0.25">
      <c r="A1" s="12" t="s">
        <v>194</v>
      </c>
    </row>
    <row r="2" spans="1:26" ht="15" x14ac:dyDescent="0.25">
      <c r="A2" s="12" t="s">
        <v>46</v>
      </c>
    </row>
    <row r="3" spans="1:26" ht="15" x14ac:dyDescent="0.25">
      <c r="A3" s="12"/>
    </row>
    <row r="4" spans="1:26" ht="15" x14ac:dyDescent="0.25">
      <c r="A4" s="12" t="str">
        <f>'4. CC D'!A4</f>
        <v>Operación: Programa de Mejoramiento de Caminos Vecinales II (PMCV)</v>
      </c>
    </row>
    <row r="5" spans="1:26" ht="15" x14ac:dyDescent="0.25">
      <c r="A5" s="12"/>
    </row>
    <row r="6" spans="1:26" ht="15" x14ac:dyDescent="0.25">
      <c r="A6" s="12" t="s">
        <v>175</v>
      </c>
    </row>
    <row r="7" spans="1:26" ht="15" x14ac:dyDescent="0.25">
      <c r="A7" s="765"/>
    </row>
    <row r="8" spans="1:26" s="134" customFormat="1" x14ac:dyDescent="0.2">
      <c r="A8" s="766" t="s">
        <v>176</v>
      </c>
      <c r="B8" s="401" t="s">
        <v>160</v>
      </c>
      <c r="C8" s="1051" t="s">
        <v>52</v>
      </c>
      <c r="D8" s="1051"/>
      <c r="E8" s="1051"/>
      <c r="F8" s="1051"/>
      <c r="G8" s="1051" t="s">
        <v>222</v>
      </c>
      <c r="H8" s="1051"/>
      <c r="I8" s="1051"/>
      <c r="J8" s="1051"/>
      <c r="K8" s="1051"/>
      <c r="L8" s="1051" t="s">
        <v>161</v>
      </c>
      <c r="M8" s="1051"/>
      <c r="N8" s="1052" t="s">
        <v>2</v>
      </c>
      <c r="O8" s="1050" t="s">
        <v>16</v>
      </c>
      <c r="P8" s="1050"/>
      <c r="Q8" s="1050"/>
      <c r="R8" s="1050" t="s">
        <v>17</v>
      </c>
      <c r="S8" s="1050"/>
      <c r="T8" s="1050"/>
      <c r="U8" s="1050" t="s">
        <v>18</v>
      </c>
      <c r="V8" s="1050"/>
      <c r="W8" s="1050"/>
      <c r="X8" s="1050" t="s">
        <v>19</v>
      </c>
      <c r="Y8" s="1050"/>
      <c r="Z8" s="1050"/>
    </row>
    <row r="9" spans="1:26" s="134" customFormat="1" ht="25.5" x14ac:dyDescent="0.2">
      <c r="A9" s="766" t="s">
        <v>52</v>
      </c>
      <c r="B9" s="241" t="str">
        <f>'3. PEP'!B25</f>
        <v xml:space="preserve">Programa de Mejoramiento de Caminos Vecinales II (PMCV) </v>
      </c>
      <c r="C9" s="252" t="s">
        <v>14</v>
      </c>
      <c r="D9" s="252" t="s">
        <v>15</v>
      </c>
      <c r="E9" s="405" t="s">
        <v>177</v>
      </c>
      <c r="F9" s="252" t="s">
        <v>223</v>
      </c>
      <c r="G9" s="252" t="s">
        <v>162</v>
      </c>
      <c r="H9" s="252" t="s">
        <v>15</v>
      </c>
      <c r="I9" s="252" t="s">
        <v>224</v>
      </c>
      <c r="J9" s="252" t="s">
        <v>225</v>
      </c>
      <c r="K9" s="253" t="s">
        <v>45</v>
      </c>
      <c r="L9" s="252" t="s">
        <v>163</v>
      </c>
      <c r="M9" s="252" t="s">
        <v>164</v>
      </c>
      <c r="N9" s="1053"/>
      <c r="O9" s="254">
        <v>1</v>
      </c>
      <c r="P9" s="254">
        <v>2</v>
      </c>
      <c r="Q9" s="254">
        <v>3</v>
      </c>
      <c r="R9" s="254">
        <v>4</v>
      </c>
      <c r="S9" s="254">
        <v>5</v>
      </c>
      <c r="T9" s="254">
        <v>6</v>
      </c>
      <c r="U9" s="254">
        <v>7</v>
      </c>
      <c r="V9" s="254">
        <v>8</v>
      </c>
      <c r="W9" s="254">
        <v>9</v>
      </c>
      <c r="X9" s="254">
        <v>10</v>
      </c>
      <c r="Y9" s="254">
        <v>11</v>
      </c>
      <c r="Z9" s="254">
        <v>12</v>
      </c>
    </row>
    <row r="10" spans="1:26" x14ac:dyDescent="0.2">
      <c r="A10" s="314" t="str">
        <f>+'3. PEP'!A26</f>
        <v>1.</v>
      </c>
      <c r="B10" s="224" t="str">
        <f>'3. PEP'!B26</f>
        <v>Componente I. Obras Civiles y Supervisión</v>
      </c>
      <c r="C10" s="225"/>
      <c r="D10" s="225"/>
      <c r="E10" s="757">
        <f>'3. PEP'!G26</f>
        <v>58220000</v>
      </c>
      <c r="F10" s="225"/>
      <c r="G10" s="225"/>
      <c r="H10" s="225"/>
      <c r="I10" s="756"/>
      <c r="J10" s="225"/>
      <c r="K10" s="757">
        <f>'7. PF A BID'!D9</f>
        <v>2873610</v>
      </c>
      <c r="L10" s="225"/>
      <c r="M10" s="225"/>
      <c r="N10" s="225"/>
      <c r="O10" s="757"/>
      <c r="P10" s="757"/>
      <c r="Q10" s="757"/>
      <c r="R10" s="757"/>
      <c r="S10" s="757"/>
      <c r="T10" s="757"/>
      <c r="U10" s="757"/>
      <c r="V10" s="757"/>
      <c r="W10" s="757"/>
      <c r="X10" s="757"/>
      <c r="Y10" s="757"/>
      <c r="Z10" s="757"/>
    </row>
    <row r="11" spans="1:26" x14ac:dyDescent="0.2">
      <c r="A11" s="888">
        <f>+'3. PEP'!A27</f>
        <v>1.1000000000000001</v>
      </c>
      <c r="B11" s="219" t="str">
        <f>'3. PEP'!B27</f>
        <v xml:space="preserve">Producto 1: 165 Km de Caminos Vecinales mejorados </v>
      </c>
      <c r="C11" s="297"/>
      <c r="D11" s="297"/>
      <c r="E11" s="758">
        <f>'3. PEP'!G27</f>
        <v>42340000</v>
      </c>
      <c r="F11" s="297"/>
      <c r="G11" s="297"/>
      <c r="H11" s="297"/>
      <c r="I11" s="768"/>
      <c r="J11" s="297"/>
      <c r="K11" s="758">
        <f>+K12+K14+K15</f>
        <v>364000</v>
      </c>
      <c r="L11" s="297"/>
      <c r="M11" s="297"/>
      <c r="N11" s="297"/>
      <c r="O11" s="758"/>
      <c r="P11" s="758"/>
      <c r="Q11" s="758"/>
      <c r="R11" s="758"/>
      <c r="S11" s="758"/>
      <c r="T11" s="758"/>
      <c r="U11" s="758"/>
      <c r="V11" s="758"/>
      <c r="W11" s="758"/>
      <c r="X11" s="758"/>
      <c r="Y11" s="758"/>
      <c r="Z11" s="758"/>
    </row>
    <row r="12" spans="1:26" ht="51" x14ac:dyDescent="0.2">
      <c r="A12" s="887" t="str">
        <f>+'3. PEP'!A28</f>
        <v>1.1.1</v>
      </c>
      <c r="B12" s="214" t="str">
        <f>'3. PEP'!B28</f>
        <v>Contratación de Firma Constructora para rehabilitación de Caminos Vecinales - Grupo 1: Itakyry - Arroyos y Esteros - Altos y Gral. Resquin. (65,51 Km)</v>
      </c>
      <c r="C12" s="726" t="str">
        <f>'3. PEP'!D28</f>
        <v>T2 - Año 1</v>
      </c>
      <c r="D12" s="726" t="str">
        <f>'3. PEP'!F28</f>
        <v>T3 - Año 3</v>
      </c>
      <c r="E12" s="759">
        <f>'3. PEP'!G28</f>
        <v>13200000</v>
      </c>
      <c r="F12" s="726"/>
      <c r="G12" s="726" t="str">
        <f t="shared" ref="G12:G34" si="0">C12</f>
        <v>T2 - Año 1</v>
      </c>
      <c r="H12" s="726" t="str">
        <f t="shared" ref="H12:H34" si="1">D12</f>
        <v>T3 - Año 3</v>
      </c>
      <c r="I12" s="769" t="s">
        <v>533</v>
      </c>
      <c r="J12" s="726" t="s">
        <v>679</v>
      </c>
      <c r="K12" s="759">
        <f>'7. PF A BID'!D11</f>
        <v>0</v>
      </c>
      <c r="L12" s="726"/>
      <c r="M12" s="726"/>
      <c r="N12" s="726"/>
      <c r="O12" s="759"/>
      <c r="P12" s="759"/>
      <c r="Q12" s="759"/>
      <c r="R12" s="759"/>
      <c r="S12" s="772"/>
      <c r="T12" s="773"/>
      <c r="U12" s="773"/>
      <c r="V12" s="773"/>
      <c r="W12" s="773"/>
      <c r="X12" s="773"/>
      <c r="Y12" s="773"/>
      <c r="Z12" s="773"/>
    </row>
    <row r="13" spans="1:26" ht="38.25" hidden="1" x14ac:dyDescent="0.2">
      <c r="A13" s="887" t="str">
        <f>+'3. PEP'!A29</f>
        <v>1.1.2</v>
      </c>
      <c r="B13" s="214" t="str">
        <f>'3. PEP'!B29</f>
        <v>Contratación de Firma Constructora para rehabilitación de Caminos Vecinales - Grupo 2:  La Paz - Gral. Artigas Fram y illa Ygatimi Ype Jhu (99 Km)</v>
      </c>
      <c r="C13" s="726" t="str">
        <f>'3. PEP'!D29</f>
        <v>T2 - Año 2</v>
      </c>
      <c r="D13" s="726" t="str">
        <f>'3. PEP'!F29</f>
        <v>T3 - Año 4</v>
      </c>
      <c r="E13" s="759">
        <f>'3. PEP'!G29</f>
        <v>24800000</v>
      </c>
      <c r="F13" s="726"/>
      <c r="G13" s="726" t="str">
        <f t="shared" si="0"/>
        <v>T2 - Año 2</v>
      </c>
      <c r="H13" s="726" t="str">
        <f t="shared" si="1"/>
        <v>T3 - Año 4</v>
      </c>
      <c r="I13" s="769"/>
      <c r="J13" s="726"/>
      <c r="K13" s="759">
        <f>'7. PF A BID'!D12</f>
        <v>0</v>
      </c>
      <c r="L13" s="726"/>
      <c r="M13" s="726"/>
      <c r="N13" s="726"/>
      <c r="O13" s="759"/>
      <c r="P13" s="759"/>
      <c r="Q13" s="759"/>
      <c r="R13" s="759"/>
      <c r="S13" s="759"/>
      <c r="T13" s="759"/>
      <c r="U13" s="759"/>
      <c r="V13" s="759"/>
      <c r="W13" s="759"/>
      <c r="X13" s="759"/>
      <c r="Y13" s="759"/>
      <c r="Z13" s="759"/>
    </row>
    <row r="14" spans="1:26" ht="25.5" x14ac:dyDescent="0.2">
      <c r="A14" s="887" t="str">
        <f>+'3. PEP'!A30</f>
        <v>1.1.3</v>
      </c>
      <c r="B14" s="218" t="str">
        <f>'3. PEP'!B30</f>
        <v>Contratación de Firma Consultora para Fiscalización de rehabilitación de Caminos Grupo 1</v>
      </c>
      <c r="C14" s="726" t="str">
        <f>'3. PEP'!D30</f>
        <v>T2 - Año 1</v>
      </c>
      <c r="D14" s="726" t="str">
        <f>'3. PEP'!F30</f>
        <v>T3 - Año 3</v>
      </c>
      <c r="E14" s="759">
        <f>'3. PEP'!G30</f>
        <v>875000</v>
      </c>
      <c r="F14" s="726"/>
      <c r="G14" s="726" t="str">
        <f>C14</f>
        <v>T2 - Año 1</v>
      </c>
      <c r="H14" s="726" t="str">
        <f>D14</f>
        <v>T3 - Año 3</v>
      </c>
      <c r="I14" s="769" t="s">
        <v>768</v>
      </c>
      <c r="J14" s="216" t="s">
        <v>489</v>
      </c>
      <c r="K14" s="759">
        <f>+'7. PF A BID'!D13</f>
        <v>0</v>
      </c>
      <c r="L14" s="726"/>
      <c r="M14" s="726"/>
      <c r="N14" s="726"/>
      <c r="O14" s="772"/>
      <c r="P14" s="772"/>
      <c r="Q14" s="772"/>
      <c r="R14" s="773"/>
      <c r="S14" s="773"/>
      <c r="T14" s="773"/>
      <c r="U14" s="773"/>
      <c r="V14" s="773"/>
      <c r="W14" s="773"/>
      <c r="X14" s="773"/>
      <c r="Y14" s="774"/>
      <c r="Z14" s="774"/>
    </row>
    <row r="15" spans="1:26" ht="25.5" x14ac:dyDescent="0.2">
      <c r="A15" s="887" t="s">
        <v>783</v>
      </c>
      <c r="B15" s="218" t="str">
        <f>'3. PEP'!B32</f>
        <v>Contratación de Firma Consultora para el desarrollo de diseños de caminos - Grupo 2</v>
      </c>
      <c r="C15" s="726" t="str">
        <f>'3. PEP'!D32</f>
        <v>T2 - Año 1</v>
      </c>
      <c r="D15" s="726" t="str">
        <f>'3. PEP'!F32</f>
        <v>T3 - Año 2</v>
      </c>
      <c r="E15" s="759">
        <f>'3. PEP'!G32</f>
        <v>1820000</v>
      </c>
      <c r="F15" s="726"/>
      <c r="G15" s="726" t="str">
        <f>C15</f>
        <v>T2 - Año 1</v>
      </c>
      <c r="H15" s="726" t="str">
        <f t="shared" ref="H15" si="2">D15</f>
        <v>T3 - Año 2</v>
      </c>
      <c r="I15" s="769" t="s">
        <v>768</v>
      </c>
      <c r="J15" s="726" t="s">
        <v>489</v>
      </c>
      <c r="K15" s="759">
        <f>+'7. PF A BID'!D15</f>
        <v>364000</v>
      </c>
      <c r="L15" s="726"/>
      <c r="M15" s="726"/>
      <c r="N15" s="726"/>
      <c r="O15" s="772"/>
      <c r="P15" s="772"/>
      <c r="Q15" s="772"/>
      <c r="R15" s="773"/>
      <c r="S15" s="773"/>
      <c r="T15" s="773"/>
      <c r="U15" s="773"/>
      <c r="V15" s="773"/>
      <c r="W15" s="773"/>
      <c r="X15" s="773"/>
      <c r="Y15" s="774"/>
      <c r="Z15" s="774"/>
    </row>
    <row r="16" spans="1:26" ht="25.5" x14ac:dyDescent="0.2">
      <c r="A16" s="888">
        <f>+'3. PEP'!A33</f>
        <v>1.2</v>
      </c>
      <c r="B16" s="219" t="str">
        <f>'3. PEP'!B33</f>
        <v xml:space="preserve">Producto 2: 713 Km de Caminos incorporados en un esquema de mantenimiento </v>
      </c>
      <c r="C16" s="297"/>
      <c r="D16" s="297"/>
      <c r="E16" s="760">
        <f>'3. PEP'!G33</f>
        <v>4000000</v>
      </c>
      <c r="F16" s="297"/>
      <c r="G16" s="297"/>
      <c r="H16" s="297"/>
      <c r="I16" s="768"/>
      <c r="J16" s="297"/>
      <c r="K16" s="760">
        <f>'7. PF A BID'!D16</f>
        <v>214645</v>
      </c>
      <c r="L16" s="297"/>
      <c r="M16" s="297"/>
      <c r="N16" s="297"/>
      <c r="O16" s="760"/>
      <c r="P16" s="760"/>
      <c r="Q16" s="760"/>
      <c r="R16" s="760"/>
      <c r="S16" s="760"/>
      <c r="T16" s="760"/>
      <c r="U16" s="760"/>
      <c r="V16" s="760"/>
      <c r="W16" s="760"/>
      <c r="X16" s="760"/>
      <c r="Y16" s="760"/>
      <c r="Z16" s="760"/>
    </row>
    <row r="17" spans="1:26" ht="25.5" x14ac:dyDescent="0.2">
      <c r="A17" s="887" t="str">
        <f>+'3. PEP'!A34</f>
        <v>1.2.1</v>
      </c>
      <c r="B17" s="218" t="str">
        <f>'3. PEP'!B34</f>
        <v>Contratación de Firma Constructora para Obra de Mantenimiento. Contratos Grupo 1: 102.79 km</v>
      </c>
      <c r="C17" s="726" t="str">
        <f>'3. PEP'!D34</f>
        <v>T1 - Año 1</v>
      </c>
      <c r="D17" s="726" t="str">
        <f>'3. PEP'!F34</f>
        <v>T4 - Año 5</v>
      </c>
      <c r="E17" s="759">
        <f>'3. PEP'!G34</f>
        <v>764080</v>
      </c>
      <c r="F17" s="726"/>
      <c r="G17" s="726" t="str">
        <f t="shared" si="0"/>
        <v>T1 - Año 1</v>
      </c>
      <c r="H17" s="726" t="str">
        <f t="shared" si="1"/>
        <v>T4 - Año 5</v>
      </c>
      <c r="I17" s="769" t="s">
        <v>768</v>
      </c>
      <c r="J17" s="726" t="s">
        <v>489</v>
      </c>
      <c r="K17" s="759">
        <f>'7. PF A BID'!D17</f>
        <v>191020</v>
      </c>
      <c r="L17" s="726"/>
      <c r="M17" s="726"/>
      <c r="N17" s="726"/>
      <c r="O17" s="773"/>
      <c r="P17" s="773"/>
      <c r="Q17" s="773"/>
      <c r="R17" s="773"/>
      <c r="S17" s="773"/>
      <c r="T17" s="774"/>
      <c r="U17" s="774"/>
      <c r="V17" s="774"/>
      <c r="W17" s="774"/>
      <c r="X17" s="774"/>
      <c r="Y17" s="774"/>
      <c r="Z17" s="774"/>
    </row>
    <row r="18" spans="1:26" ht="25.5" x14ac:dyDescent="0.2">
      <c r="A18" s="887" t="str">
        <f>+'3. PEP'!A35</f>
        <v>1.2.2</v>
      </c>
      <c r="B18" s="825" t="str">
        <f>'3. PEP'!B35</f>
        <v>Contratación de Firma Constructora para Obra de Mantenimiento. Contratos Grupo 2: 226.63 km</v>
      </c>
      <c r="C18" s="726" t="e">
        <f>'3. PEP'!#REF!</f>
        <v>#REF!</v>
      </c>
      <c r="D18" s="726" t="e">
        <f>'3. PEP'!#REF!</f>
        <v>#REF!</v>
      </c>
      <c r="E18" s="759" t="e">
        <f>'3. PEP'!#REF!</f>
        <v>#REF!</v>
      </c>
      <c r="F18" s="726"/>
      <c r="G18" s="726" t="e">
        <f t="shared" si="0"/>
        <v>#REF!</v>
      </c>
      <c r="H18" s="726" t="e">
        <f t="shared" si="1"/>
        <v>#REF!</v>
      </c>
      <c r="I18" s="769" t="s">
        <v>768</v>
      </c>
      <c r="J18" s="726" t="s">
        <v>489</v>
      </c>
      <c r="K18" s="759">
        <f>'7. PF A BID'!D18</f>
        <v>0</v>
      </c>
      <c r="L18" s="726"/>
      <c r="M18" s="726"/>
      <c r="N18" s="726"/>
      <c r="O18" s="830"/>
      <c r="P18" s="830"/>
      <c r="Q18" s="830"/>
      <c r="R18" s="830"/>
      <c r="S18" s="772"/>
      <c r="T18" s="773"/>
      <c r="U18" s="773"/>
      <c r="V18" s="773"/>
      <c r="W18" s="773"/>
      <c r="X18" s="773"/>
      <c r="Y18" s="773"/>
      <c r="Z18" s="773"/>
    </row>
    <row r="19" spans="1:26" ht="25.5" x14ac:dyDescent="0.2">
      <c r="A19" s="887" t="str">
        <f>+'3. PEP'!A36</f>
        <v>1.2.3</v>
      </c>
      <c r="B19" s="825" t="str">
        <f>+'3. PEP'!B36</f>
        <v>Suscripción de Convenio con Municipios para Obras de Mantenimiento. Convenio Grupo 1: 28.35 km</v>
      </c>
      <c r="C19" s="726"/>
      <c r="D19" s="726"/>
      <c r="E19" s="759"/>
      <c r="F19" s="726"/>
      <c r="G19" s="726"/>
      <c r="H19" s="726"/>
      <c r="I19" s="769" t="s">
        <v>770</v>
      </c>
      <c r="J19" s="726" t="s">
        <v>812</v>
      </c>
      <c r="K19" s="759">
        <f>+'7. PF A BID'!D19</f>
        <v>23625</v>
      </c>
      <c r="L19" s="726"/>
      <c r="M19" s="726"/>
      <c r="N19" s="726"/>
      <c r="O19" s="830"/>
      <c r="P19" s="830"/>
      <c r="Q19" s="773"/>
      <c r="R19" s="773"/>
      <c r="S19" s="773"/>
      <c r="T19" s="774"/>
      <c r="U19" s="774"/>
      <c r="V19" s="774"/>
      <c r="W19" s="774"/>
      <c r="X19" s="774"/>
      <c r="Y19" s="774"/>
      <c r="Z19" s="774"/>
    </row>
    <row r="20" spans="1:26" ht="25.5" x14ac:dyDescent="0.2">
      <c r="A20" s="887" t="str">
        <f>+'3. PEP'!A37</f>
        <v>1.2.4</v>
      </c>
      <c r="B20" s="825" t="str">
        <f>+'3. PEP'!B37</f>
        <v>Suscripción de Convenio con Municipios para Obras de Mantenimiento. Convenio Grupo 2: 70.04 km</v>
      </c>
      <c r="C20" s="726"/>
      <c r="D20" s="726"/>
      <c r="E20" s="759"/>
      <c r="F20" s="726"/>
      <c r="G20" s="726"/>
      <c r="H20" s="726"/>
      <c r="I20" s="769" t="s">
        <v>769</v>
      </c>
      <c r="J20" s="726" t="s">
        <v>813</v>
      </c>
      <c r="K20" s="759">
        <f>'7. PF A BID'!D20</f>
        <v>0</v>
      </c>
      <c r="L20" s="726"/>
      <c r="M20" s="726"/>
      <c r="N20" s="726"/>
      <c r="O20" s="830"/>
      <c r="P20" s="830"/>
      <c r="Q20" s="830"/>
      <c r="R20" s="830"/>
      <c r="S20" s="830"/>
      <c r="T20" s="830"/>
      <c r="U20" s="830"/>
      <c r="V20" s="830"/>
      <c r="W20" s="830"/>
      <c r="X20" s="889"/>
      <c r="Y20" s="773"/>
      <c r="Z20" s="773"/>
    </row>
    <row r="21" spans="1:26" ht="25.5" hidden="1" x14ac:dyDescent="0.2">
      <c r="A21" s="887" t="str">
        <f>+'3. PEP'!A38</f>
        <v>1.2.5</v>
      </c>
      <c r="B21" s="825" t="str">
        <f>+'3. PEP'!B38</f>
        <v>Suscripción de Convenio con Municipios para Obras de Mantenimiento. Convenio Grupo 3: 256.75 km</v>
      </c>
      <c r="C21" s="726"/>
      <c r="D21" s="726"/>
      <c r="E21" s="759"/>
      <c r="F21" s="726"/>
      <c r="G21" s="726"/>
      <c r="H21" s="726"/>
      <c r="I21" s="769" t="s">
        <v>769</v>
      </c>
      <c r="J21" s="726"/>
      <c r="K21" s="759"/>
      <c r="L21" s="726"/>
      <c r="M21" s="726"/>
      <c r="N21" s="726"/>
      <c r="O21" s="830"/>
      <c r="P21" s="830"/>
      <c r="Q21" s="830"/>
      <c r="R21" s="830"/>
      <c r="S21" s="830"/>
      <c r="T21" s="830"/>
      <c r="U21" s="830"/>
      <c r="V21" s="830"/>
      <c r="W21" s="830"/>
      <c r="X21" s="830"/>
      <c r="Y21" s="830"/>
      <c r="Z21" s="830"/>
    </row>
    <row r="22" spans="1:26" ht="25.5" hidden="1" x14ac:dyDescent="0.2">
      <c r="A22" s="887" t="str">
        <f>+'3. PEP'!A39</f>
        <v>1.2.6</v>
      </c>
      <c r="B22" s="825" t="str">
        <f>+'3. PEP'!B39</f>
        <v>Suscripción de Convenio con Municipios para Obras de Mantenimiento. Convenio Grupo 4: 29.30 km</v>
      </c>
      <c r="C22" s="726"/>
      <c r="D22" s="726"/>
      <c r="E22" s="759"/>
      <c r="F22" s="726"/>
      <c r="G22" s="726"/>
      <c r="H22" s="726"/>
      <c r="I22" s="769" t="s">
        <v>769</v>
      </c>
      <c r="J22" s="726"/>
      <c r="K22" s="759"/>
      <c r="L22" s="726"/>
      <c r="M22" s="726"/>
      <c r="N22" s="726"/>
      <c r="O22" s="830"/>
      <c r="P22" s="830"/>
      <c r="Q22" s="830"/>
      <c r="R22" s="830"/>
      <c r="S22" s="830"/>
      <c r="T22" s="830"/>
      <c r="U22" s="830"/>
      <c r="V22" s="830"/>
      <c r="W22" s="830"/>
      <c r="X22" s="830"/>
      <c r="Y22" s="830"/>
      <c r="Z22" s="830"/>
    </row>
    <row r="23" spans="1:26" ht="25.5" x14ac:dyDescent="0.2">
      <c r="A23" s="888">
        <f>+'3. PEP'!A40</f>
        <v>1.3</v>
      </c>
      <c r="B23" s="219" t="str">
        <f>'3. PEP'!B40</f>
        <v>Producto 3: 600 ml de Puentes de madera reemplazados por puentes de HoAo</v>
      </c>
      <c r="C23" s="297"/>
      <c r="D23" s="297"/>
      <c r="E23" s="760">
        <f>'3. PEP'!G40</f>
        <v>11660000</v>
      </c>
      <c r="F23" s="297"/>
      <c r="G23" s="297"/>
      <c r="H23" s="297"/>
      <c r="I23" s="768"/>
      <c r="J23" s="297"/>
      <c r="K23" s="760">
        <f>'7. PF A BID'!D23</f>
        <v>2250965</v>
      </c>
      <c r="L23" s="297"/>
      <c r="M23" s="297"/>
      <c r="N23" s="297"/>
      <c r="O23" s="760"/>
      <c r="P23" s="760"/>
      <c r="Q23" s="760"/>
      <c r="R23" s="760"/>
      <c r="S23" s="760"/>
      <c r="T23" s="760"/>
      <c r="U23" s="760"/>
      <c r="V23" s="760"/>
      <c r="W23" s="760"/>
      <c r="X23" s="760"/>
      <c r="Y23" s="760"/>
      <c r="Z23" s="760"/>
    </row>
    <row r="24" spans="1:26" ht="38.25" x14ac:dyDescent="0.2">
      <c r="A24" s="887" t="str">
        <f>+'3. PEP'!A41</f>
        <v>1.3.1</v>
      </c>
      <c r="B24" s="222" t="str">
        <f>'3. PEP'!B41</f>
        <v>Contratación de Firma Constructora para reemplazo de puentes - Grupo 1: Paraguarí - Misiones - Cordillera y San Pedro (405 ml)</v>
      </c>
      <c r="C24" s="216" t="str">
        <f>'3. PEP'!D41</f>
        <v>T2 - Año 1</v>
      </c>
      <c r="D24" s="216" t="str">
        <f>'3. PEP'!F41</f>
        <v>T1 - Año 3</v>
      </c>
      <c r="E24" s="759">
        <f>'3. PEP'!G41</f>
        <v>6885000</v>
      </c>
      <c r="F24" s="216"/>
      <c r="G24" s="216" t="str">
        <f t="shared" si="0"/>
        <v>T2 - Año 1</v>
      </c>
      <c r="H24" s="216" t="str">
        <f t="shared" si="1"/>
        <v>T1 - Año 3</v>
      </c>
      <c r="I24" s="769" t="s">
        <v>768</v>
      </c>
      <c r="J24" s="216" t="s">
        <v>489</v>
      </c>
      <c r="K24" s="759">
        <f>'7. PF A BID'!D24</f>
        <v>2185990</v>
      </c>
      <c r="L24" s="216"/>
      <c r="M24" s="216"/>
      <c r="N24" s="216"/>
      <c r="O24" s="759"/>
      <c r="P24" s="759"/>
      <c r="Q24" s="772"/>
      <c r="R24" s="773"/>
      <c r="S24" s="773"/>
      <c r="T24" s="773"/>
      <c r="U24" s="773"/>
      <c r="V24" s="773"/>
      <c r="W24" s="773"/>
      <c r="X24" s="773"/>
      <c r="Y24" s="774"/>
      <c r="Z24" s="774"/>
    </row>
    <row r="25" spans="1:26" ht="38.25" hidden="1" x14ac:dyDescent="0.2">
      <c r="A25" s="887" t="str">
        <f>+'3. PEP'!A42</f>
        <v>1.3.2</v>
      </c>
      <c r="B25" s="222" t="str">
        <f>'3. PEP'!B42</f>
        <v>Contratación de Firma Constructora para reemplazo de puentes - Grupo 2:  Guaira - Alto Paraná y Amambay (195 ml)</v>
      </c>
      <c r="C25" s="216" t="str">
        <f>'3. PEP'!D42</f>
        <v>T3 - Año 2</v>
      </c>
      <c r="D25" s="216" t="str">
        <f>'3. PEP'!F42</f>
        <v>T4 - Año 4</v>
      </c>
      <c r="E25" s="759">
        <f>'3. PEP'!G42</f>
        <v>3315000</v>
      </c>
      <c r="F25" s="216"/>
      <c r="G25" s="216" t="str">
        <f t="shared" si="0"/>
        <v>T3 - Año 2</v>
      </c>
      <c r="H25" s="216" t="str">
        <f t="shared" si="1"/>
        <v>T4 - Año 4</v>
      </c>
      <c r="I25" s="222"/>
      <c r="J25" s="216"/>
      <c r="K25" s="759">
        <f>'7. PF A BID'!D25</f>
        <v>0</v>
      </c>
      <c r="L25" s="216"/>
      <c r="M25" s="216"/>
      <c r="N25" s="216"/>
      <c r="O25" s="759"/>
      <c r="P25" s="759"/>
      <c r="Q25" s="759"/>
      <c r="R25" s="759"/>
      <c r="S25" s="759"/>
      <c r="T25" s="759"/>
      <c r="U25" s="759"/>
      <c r="V25" s="759"/>
      <c r="W25" s="759"/>
      <c r="X25" s="759"/>
      <c r="Y25" s="759"/>
      <c r="Z25" s="759"/>
    </row>
    <row r="26" spans="1:26" ht="25.5" x14ac:dyDescent="0.2">
      <c r="A26" s="887" t="str">
        <f>+'3. PEP'!A43</f>
        <v>1.3.3</v>
      </c>
      <c r="B26" s="218" t="str">
        <f>'3. PEP'!B43</f>
        <v>Contratación de Firma Consultora para Fiscalización de reemplazo de puentes Grupo 1</v>
      </c>
      <c r="C26" s="726" t="str">
        <f>'3. PEP'!D43</f>
        <v>T1 - Año 1</v>
      </c>
      <c r="D26" s="726" t="str">
        <f>'3. PEP'!F43</f>
        <v>T1 - Año 3</v>
      </c>
      <c r="E26" s="759">
        <f>'3. PEP'!G43</f>
        <v>460000</v>
      </c>
      <c r="F26" s="726"/>
      <c r="G26" s="726" t="str">
        <f>C26</f>
        <v>T1 - Año 1</v>
      </c>
      <c r="H26" s="726" t="str">
        <f>D26</f>
        <v>T1 - Año 3</v>
      </c>
      <c r="I26" s="769" t="s">
        <v>768</v>
      </c>
      <c r="J26" s="726" t="s">
        <v>489</v>
      </c>
      <c r="K26" s="759">
        <f>'7. PF A BID'!D26</f>
        <v>64975</v>
      </c>
      <c r="L26" s="726"/>
      <c r="M26" s="726"/>
      <c r="N26" s="726"/>
      <c r="O26" s="772"/>
      <c r="P26" s="772"/>
      <c r="Q26" s="773"/>
      <c r="R26" s="773"/>
      <c r="S26" s="773"/>
      <c r="T26" s="773"/>
      <c r="U26" s="773"/>
      <c r="V26" s="773"/>
      <c r="W26" s="774"/>
      <c r="X26" s="774"/>
      <c r="Y26" s="774"/>
      <c r="Z26" s="774"/>
    </row>
    <row r="27" spans="1:26" ht="25.5" x14ac:dyDescent="0.2">
      <c r="A27" s="887" t="str">
        <f>+'3. PEP'!A45</f>
        <v>1.3.5</v>
      </c>
      <c r="B27" s="218" t="str">
        <f>'3. PEP'!B45</f>
        <v>Contratación de Firma Consultora para el desarrollo de diseños de puentes - Grupo 2</v>
      </c>
      <c r="C27" s="726" t="str">
        <f>'3. PEP'!D45</f>
        <v>T3 - Año 1</v>
      </c>
      <c r="D27" s="726" t="str">
        <f>'3. PEP'!F45</f>
        <v>T4 - Año 2</v>
      </c>
      <c r="E27" s="759">
        <f>'3. PEP'!G45</f>
        <v>780000</v>
      </c>
      <c r="F27" s="726"/>
      <c r="G27" s="726" t="str">
        <f>C27</f>
        <v>T3 - Año 1</v>
      </c>
      <c r="H27" s="726" t="str">
        <f t="shared" ref="H27" si="3">D27</f>
        <v>T4 - Año 2</v>
      </c>
      <c r="I27" s="769" t="s">
        <v>533</v>
      </c>
      <c r="J27" s="726" t="s">
        <v>679</v>
      </c>
      <c r="K27" s="759">
        <f>'7. PF A BID'!D27</f>
        <v>0</v>
      </c>
      <c r="L27" s="726"/>
      <c r="M27" s="726"/>
      <c r="N27" s="726"/>
      <c r="O27" s="759"/>
      <c r="P27" s="759"/>
      <c r="Q27" s="759"/>
      <c r="R27" s="772"/>
      <c r="S27" s="772"/>
      <c r="T27" s="772"/>
      <c r="U27" s="773"/>
      <c r="V27" s="773"/>
      <c r="W27" s="773"/>
      <c r="X27" s="773"/>
      <c r="Y27" s="773"/>
      <c r="Z27" s="773"/>
    </row>
    <row r="28" spans="1:26" ht="25.5" hidden="1" x14ac:dyDescent="0.2">
      <c r="A28" s="887" t="str">
        <f>+'3. PEP'!A44</f>
        <v>1.3.4</v>
      </c>
      <c r="B28" s="218" t="str">
        <f>'3. PEP'!B44</f>
        <v>Contratación de Firma Consultora para Fiscalización de reemplazo de puentes Grupo 2</v>
      </c>
      <c r="C28" s="726" t="str">
        <f>'3. PEP'!D44</f>
        <v>T2 - Año 2</v>
      </c>
      <c r="D28" s="726" t="str">
        <f>'3. PEP'!F44</f>
        <v>T1 - Año 5</v>
      </c>
      <c r="E28" s="759">
        <f>'3. PEP'!G44</f>
        <v>220000</v>
      </c>
      <c r="F28" s="726"/>
      <c r="G28" s="726" t="str">
        <f t="shared" si="0"/>
        <v>T2 - Año 2</v>
      </c>
      <c r="H28" s="726" t="str">
        <f t="shared" si="1"/>
        <v>T1 - Año 5</v>
      </c>
      <c r="I28" s="769"/>
      <c r="J28" s="726"/>
      <c r="K28" s="759" t="e">
        <f>'7. PF A BID'!#REF!</f>
        <v>#REF!</v>
      </c>
      <c r="L28" s="726"/>
      <c r="M28" s="726"/>
      <c r="N28" s="726"/>
      <c r="O28" s="759"/>
      <c r="P28" s="759"/>
      <c r="Q28" s="759"/>
      <c r="R28" s="759"/>
      <c r="S28" s="759"/>
      <c r="T28" s="759"/>
      <c r="U28" s="759"/>
      <c r="V28" s="759"/>
      <c r="W28" s="759"/>
      <c r="X28" s="759"/>
      <c r="Y28" s="759"/>
      <c r="Z28" s="759"/>
    </row>
    <row r="29" spans="1:26" ht="25.5" x14ac:dyDescent="0.2">
      <c r="A29" s="888">
        <f>+'3. PEP'!A46</f>
        <v>1.4</v>
      </c>
      <c r="B29" s="219" t="str">
        <f>'3. PEP'!B46</f>
        <v>Producto 4: Mujeres Capacitadas en empleos no tradicionales del sector vial</v>
      </c>
      <c r="C29" s="297"/>
      <c r="D29" s="297"/>
      <c r="E29" s="760">
        <f>'3. PEP'!G46</f>
        <v>220000</v>
      </c>
      <c r="F29" s="297"/>
      <c r="G29" s="297"/>
      <c r="H29" s="297"/>
      <c r="I29" s="768" t="s">
        <v>533</v>
      </c>
      <c r="J29" s="297"/>
      <c r="K29" s="760">
        <f>'7. PF A BID'!D29</f>
        <v>44000</v>
      </c>
      <c r="L29" s="297"/>
      <c r="M29" s="297"/>
      <c r="N29" s="297"/>
      <c r="O29" s="760"/>
      <c r="P29" s="760"/>
      <c r="Q29" s="760"/>
      <c r="R29" s="760"/>
      <c r="S29" s="760"/>
      <c r="T29" s="760"/>
      <c r="U29" s="760"/>
      <c r="V29" s="760"/>
      <c r="W29" s="760"/>
      <c r="X29" s="760"/>
      <c r="Y29" s="760"/>
      <c r="Z29" s="760"/>
    </row>
    <row r="30" spans="1:26" ht="25.5" x14ac:dyDescent="0.2">
      <c r="A30" s="887" t="str">
        <f>+'3. PEP'!A47</f>
        <v>1.4.1</v>
      </c>
      <c r="B30" s="218" t="str">
        <f>'3. PEP'!B47</f>
        <v>Consultoría para diseño y divulgación de Programa de Educación Ambiental y de Género</v>
      </c>
      <c r="C30" s="726" t="str">
        <f>'3. PEP'!D47</f>
        <v>T2 - Año 1</v>
      </c>
      <c r="D30" s="726" t="str">
        <f>'3. PEP'!F47</f>
        <v>T2 - Año 4</v>
      </c>
      <c r="E30" s="759">
        <f>'3. PEP'!G47</f>
        <v>90000</v>
      </c>
      <c r="F30" s="726"/>
      <c r="G30" s="726" t="str">
        <f t="shared" si="0"/>
        <v>T2 - Año 1</v>
      </c>
      <c r="H30" s="726" t="str">
        <f t="shared" si="1"/>
        <v>T2 - Año 4</v>
      </c>
      <c r="I30" s="769" t="s">
        <v>768</v>
      </c>
      <c r="J30" s="726" t="s">
        <v>489</v>
      </c>
      <c r="K30" s="759">
        <f>'7. PF A BID'!D30</f>
        <v>18000</v>
      </c>
      <c r="L30" s="726"/>
      <c r="M30" s="726"/>
      <c r="N30" s="726"/>
      <c r="O30" s="759"/>
      <c r="P30" s="759"/>
      <c r="Q30" s="759"/>
      <c r="R30" s="772"/>
      <c r="S30" s="772"/>
      <c r="T30" s="773"/>
      <c r="U30" s="773"/>
      <c r="V30" s="773"/>
      <c r="W30" s="773"/>
      <c r="X30" s="773"/>
      <c r="Y30" s="774"/>
      <c r="Z30" s="774"/>
    </row>
    <row r="31" spans="1:26" ht="25.5" hidden="1" x14ac:dyDescent="0.2">
      <c r="A31" s="887" t="str">
        <f>+'3. PEP'!A57</f>
        <v>2.3.1</v>
      </c>
      <c r="B31" s="218" t="str">
        <f>'3. PEP'!B57</f>
        <v>Consultoría de Diseño y Capacitación para el Gerenciamiento Ambiental</v>
      </c>
      <c r="C31" s="726" t="str">
        <f>'3. PEP'!D57</f>
        <v>T1 - Año 2</v>
      </c>
      <c r="D31" s="726" t="str">
        <f>'3. PEP'!F57</f>
        <v>T3 - Año 4</v>
      </c>
      <c r="E31" s="759">
        <f>'3. PEP'!G57</f>
        <v>65000</v>
      </c>
      <c r="F31" s="726"/>
      <c r="G31" s="726" t="str">
        <f t="shared" si="0"/>
        <v>T1 - Año 2</v>
      </c>
      <c r="H31" s="726" t="str">
        <f t="shared" si="1"/>
        <v>T3 - Año 4</v>
      </c>
      <c r="I31" s="769"/>
      <c r="J31" s="726"/>
      <c r="K31" s="759" t="e">
        <f>'7. PF A BID'!#REF!</f>
        <v>#REF!</v>
      </c>
      <c r="L31" s="726"/>
      <c r="M31" s="726"/>
      <c r="N31" s="726"/>
      <c r="O31" s="759"/>
      <c r="P31" s="759"/>
      <c r="Q31" s="759"/>
      <c r="R31" s="759"/>
      <c r="S31" s="759"/>
      <c r="T31" s="759"/>
      <c r="U31" s="759"/>
      <c r="V31" s="759"/>
      <c r="W31" s="759"/>
      <c r="X31" s="759"/>
      <c r="Y31" s="759"/>
      <c r="Z31" s="759"/>
    </row>
    <row r="32" spans="1:26" ht="38.25" x14ac:dyDescent="0.2">
      <c r="A32" s="887" t="str">
        <f>+'3. PEP'!A48</f>
        <v>1.4.2</v>
      </c>
      <c r="B32" s="218" t="str">
        <f>'3. PEP'!B48</f>
        <v>Consultoría para desarrollo de la generación de mano de obra local y genero en zona de emprendimiento</v>
      </c>
      <c r="C32" s="726" t="str">
        <f>'3. PEP'!D48</f>
        <v>T1 - Año 1</v>
      </c>
      <c r="D32" s="726" t="str">
        <f>'3. PEP'!F48</f>
        <v>T4 - Año 4</v>
      </c>
      <c r="E32" s="759">
        <f>'3. PEP'!G48</f>
        <v>130000</v>
      </c>
      <c r="F32" s="726"/>
      <c r="G32" s="726" t="str">
        <f t="shared" si="0"/>
        <v>T1 - Año 1</v>
      </c>
      <c r="H32" s="726" t="str">
        <f t="shared" si="1"/>
        <v>T4 - Año 4</v>
      </c>
      <c r="I32" s="769" t="s">
        <v>768</v>
      </c>
      <c r="J32" s="726" t="s">
        <v>489</v>
      </c>
      <c r="K32" s="759">
        <f>'7. PF A BID'!D31</f>
        <v>26000</v>
      </c>
      <c r="L32" s="726"/>
      <c r="M32" s="726"/>
      <c r="N32" s="726"/>
      <c r="O32" s="772"/>
      <c r="P32" s="772"/>
      <c r="Q32" s="772"/>
      <c r="R32" s="773"/>
      <c r="S32" s="773"/>
      <c r="T32" s="773"/>
      <c r="U32" s="773"/>
      <c r="V32" s="773"/>
      <c r="W32" s="773"/>
      <c r="X32" s="773"/>
      <c r="Y32" s="773"/>
      <c r="Z32" s="774"/>
    </row>
    <row r="33" spans="1:26" ht="25.5" hidden="1" x14ac:dyDescent="0.2">
      <c r="A33" s="887" t="str">
        <f>+'3. PEP'!A58</f>
        <v>2.3.2</v>
      </c>
      <c r="B33" s="218" t="str">
        <f>'3. PEP'!B58</f>
        <v>Consultoría para desarrollo de apoyo a pueblos indígenas</v>
      </c>
      <c r="C33" s="726" t="str">
        <f>'3. PEP'!D58</f>
        <v>T1 - Año 2</v>
      </c>
      <c r="D33" s="726" t="str">
        <f>'3. PEP'!F58</f>
        <v>T3 - Año 3</v>
      </c>
      <c r="E33" s="759">
        <f>'3. PEP'!G58</f>
        <v>130000</v>
      </c>
      <c r="F33" s="726"/>
      <c r="G33" s="726" t="str">
        <f t="shared" si="0"/>
        <v>T1 - Año 2</v>
      </c>
      <c r="H33" s="726" t="str">
        <f t="shared" si="1"/>
        <v>T3 - Año 3</v>
      </c>
      <c r="I33" s="769"/>
      <c r="J33" s="726"/>
      <c r="K33" s="759" t="e">
        <f>'7. PF A BID'!#REF!</f>
        <v>#REF!</v>
      </c>
      <c r="L33" s="726"/>
      <c r="M33" s="726"/>
      <c r="N33" s="726"/>
      <c r="O33" s="759"/>
      <c r="P33" s="759"/>
      <c r="Q33" s="759"/>
      <c r="R33" s="759"/>
      <c r="S33" s="759"/>
      <c r="T33" s="759"/>
      <c r="U33" s="759"/>
      <c r="V33" s="759"/>
      <c r="W33" s="759"/>
      <c r="X33" s="759"/>
      <c r="Y33" s="759"/>
      <c r="Z33" s="759"/>
    </row>
    <row r="34" spans="1:26" ht="25.5" hidden="1" x14ac:dyDescent="0.2">
      <c r="A34" s="887" t="str">
        <f>+'3. PEP'!A59</f>
        <v>2.3.3</v>
      </c>
      <c r="B34" s="218" t="str">
        <f>'3. PEP'!B59</f>
        <v xml:space="preserve">Convenio con la DINAC para el desarrollo del Programa de Monitoreo Hidrológico </v>
      </c>
      <c r="C34" s="726" t="str">
        <f>'3. PEP'!D59</f>
        <v>T4 - Año 2</v>
      </c>
      <c r="D34" s="726" t="str">
        <f>'3. PEP'!F59</f>
        <v>T2 - Año 4</v>
      </c>
      <c r="E34" s="759">
        <f>'3. PEP'!G59</f>
        <v>185000</v>
      </c>
      <c r="F34" s="726"/>
      <c r="G34" s="726" t="str">
        <f t="shared" si="0"/>
        <v>T4 - Año 2</v>
      </c>
      <c r="H34" s="726" t="str">
        <f t="shared" si="1"/>
        <v>T2 - Año 4</v>
      </c>
      <c r="I34" s="769"/>
      <c r="J34" s="726"/>
      <c r="K34" s="759" t="e">
        <f>'7. PF A BID'!#REF!</f>
        <v>#REF!</v>
      </c>
      <c r="L34" s="726"/>
      <c r="M34" s="726"/>
      <c r="N34" s="726"/>
      <c r="O34" s="759"/>
      <c r="P34" s="759"/>
      <c r="Q34" s="759"/>
      <c r="R34" s="759"/>
      <c r="S34" s="759"/>
      <c r="T34" s="759"/>
      <c r="U34" s="759"/>
      <c r="V34" s="759"/>
      <c r="W34" s="759"/>
      <c r="X34" s="759"/>
      <c r="Y34" s="759"/>
      <c r="Z34" s="759"/>
    </row>
    <row r="35" spans="1:26" x14ac:dyDescent="0.2">
      <c r="A35" s="848">
        <f>+'3. PEP'!A49</f>
        <v>2</v>
      </c>
      <c r="B35" s="224" t="str">
        <f>'4. CC D'!B32</f>
        <v>Otros Costos</v>
      </c>
      <c r="C35" s="225"/>
      <c r="D35" s="225"/>
      <c r="E35" s="757">
        <f>'3. PEP'!G58</f>
        <v>130000</v>
      </c>
      <c r="F35" s="225"/>
      <c r="G35" s="225"/>
      <c r="H35" s="225"/>
      <c r="I35" s="756"/>
      <c r="J35" s="225"/>
      <c r="K35" s="757">
        <f>+K36+K38+K42</f>
        <v>605000</v>
      </c>
      <c r="L35" s="225"/>
      <c r="M35" s="225"/>
      <c r="N35" s="225"/>
      <c r="O35" s="757"/>
      <c r="P35" s="757"/>
      <c r="Q35" s="757"/>
      <c r="R35" s="757"/>
      <c r="S35" s="757"/>
      <c r="T35" s="757"/>
      <c r="U35" s="757"/>
      <c r="V35" s="757"/>
      <c r="W35" s="757"/>
      <c r="X35" s="757"/>
      <c r="Y35" s="757"/>
      <c r="Z35" s="757"/>
    </row>
    <row r="36" spans="1:26" x14ac:dyDescent="0.2">
      <c r="A36" s="888">
        <f>+'3. PEP'!A50</f>
        <v>2.1</v>
      </c>
      <c r="B36" s="219" t="str">
        <f>'3. PEP'!B50</f>
        <v>Administración del Programa</v>
      </c>
      <c r="C36" s="297"/>
      <c r="D36" s="297"/>
      <c r="E36" s="760">
        <f>'3. PEP'!G50</f>
        <v>3000000</v>
      </c>
      <c r="F36" s="297"/>
      <c r="G36" s="297"/>
      <c r="H36" s="297"/>
      <c r="I36" s="768"/>
      <c r="J36" s="297"/>
      <c r="K36" s="760">
        <f>'7. PF A BID'!D33</f>
        <v>600000</v>
      </c>
      <c r="L36" s="297"/>
      <c r="M36" s="297"/>
      <c r="N36" s="297"/>
      <c r="O36" s="760"/>
      <c r="P36" s="760"/>
      <c r="Q36" s="760"/>
      <c r="R36" s="760"/>
      <c r="S36" s="760"/>
      <c r="T36" s="760"/>
      <c r="U36" s="760"/>
      <c r="V36" s="760"/>
      <c r="W36" s="760"/>
      <c r="X36" s="760"/>
      <c r="Y36" s="760"/>
      <c r="Z36" s="760"/>
    </row>
    <row r="37" spans="1:26" ht="25.5" x14ac:dyDescent="0.2">
      <c r="A37" s="887" t="str">
        <f>+'3. PEP'!A51</f>
        <v>2.1.1</v>
      </c>
      <c r="B37" s="170" t="str">
        <f>'3. PEP'!B51</f>
        <v>Continuación de los servicios de la ECATEF para el Programa PR-L1092</v>
      </c>
      <c r="C37" s="177" t="str">
        <f>'3. PEP'!D51</f>
        <v>T1 - Año 1</v>
      </c>
      <c r="D37" s="177" t="str">
        <f>'3. PEP'!F51</f>
        <v>T4 - Año 5</v>
      </c>
      <c r="E37" s="761">
        <f>'3. PEP'!G51</f>
        <v>3000000</v>
      </c>
      <c r="F37" s="177"/>
      <c r="G37" s="177" t="str">
        <f>C37</f>
        <v>T1 - Año 1</v>
      </c>
      <c r="H37" s="177" t="str">
        <f>D37</f>
        <v>T4 - Año 5</v>
      </c>
      <c r="I37" s="769" t="s">
        <v>458</v>
      </c>
      <c r="J37" s="177" t="s">
        <v>489</v>
      </c>
      <c r="K37" s="761">
        <f>'7. PF A BID'!D34</f>
        <v>600000</v>
      </c>
      <c r="L37" s="177"/>
      <c r="M37" s="177"/>
      <c r="N37" s="177"/>
      <c r="O37" s="778"/>
      <c r="P37" s="778"/>
      <c r="Q37" s="778"/>
      <c r="R37" s="778"/>
      <c r="S37" s="778"/>
      <c r="T37" s="778"/>
      <c r="U37" s="778"/>
      <c r="V37" s="778"/>
      <c r="W37" s="778"/>
      <c r="X37" s="778"/>
      <c r="Y37" s="778"/>
      <c r="Z37" s="778"/>
    </row>
    <row r="38" spans="1:26" x14ac:dyDescent="0.2">
      <c r="A38" s="888">
        <f>+'3. PEP'!A52</f>
        <v>2.2000000000000002</v>
      </c>
      <c r="B38" s="219" t="str">
        <f>'3. PEP'!B52</f>
        <v>Auditoria, Monitoreo y Evaluación desarrollados</v>
      </c>
      <c r="C38" s="297"/>
      <c r="D38" s="297"/>
      <c r="E38" s="760">
        <f>'3. PEP'!G52</f>
        <v>200000</v>
      </c>
      <c r="F38" s="297"/>
      <c r="G38" s="297"/>
      <c r="H38" s="297"/>
      <c r="I38" s="768"/>
      <c r="J38" s="297"/>
      <c r="K38" s="760">
        <f>'7. PF A BID'!D35</f>
        <v>0</v>
      </c>
      <c r="L38" s="297"/>
      <c r="M38" s="297"/>
      <c r="N38" s="297"/>
      <c r="O38" s="760"/>
      <c r="P38" s="760"/>
      <c r="Q38" s="760"/>
      <c r="R38" s="760"/>
      <c r="S38" s="760"/>
      <c r="T38" s="760"/>
      <c r="U38" s="760"/>
      <c r="V38" s="760"/>
      <c r="W38" s="760"/>
      <c r="X38" s="760"/>
      <c r="Y38" s="760"/>
      <c r="Z38" s="760"/>
    </row>
    <row r="39" spans="1:26" ht="25.5" x14ac:dyDescent="0.2">
      <c r="A39" s="887" t="str">
        <f>+'3. PEP'!A53</f>
        <v>2.2.1</v>
      </c>
      <c r="B39" s="170" t="str">
        <f>'3. PEP'!B53</f>
        <v>Contratación de Firma Consultora para la Auditoria Externa del Programa PR-L1092</v>
      </c>
      <c r="C39" s="177" t="str">
        <f>'3. PEP'!D53</f>
        <v>T2 - Año 1</v>
      </c>
      <c r="D39" s="177" t="str">
        <f>'3. PEP'!F53</f>
        <v>T4 - Año 5</v>
      </c>
      <c r="E39" s="761">
        <f>'3. PEP'!G53</f>
        <v>100000</v>
      </c>
      <c r="F39" s="177"/>
      <c r="G39" s="177" t="str">
        <f t="shared" ref="G39:H41" si="4">C39</f>
        <v>T2 - Año 1</v>
      </c>
      <c r="H39" s="177" t="str">
        <f t="shared" si="4"/>
        <v>T4 - Año 5</v>
      </c>
      <c r="I39" s="769" t="s">
        <v>768</v>
      </c>
      <c r="J39" s="216" t="s">
        <v>489</v>
      </c>
      <c r="K39" s="761">
        <f>'7. PF A BID'!D36</f>
        <v>0</v>
      </c>
      <c r="L39" s="177"/>
      <c r="M39" s="177"/>
      <c r="N39" s="177"/>
      <c r="O39" s="761"/>
      <c r="P39" s="761"/>
      <c r="Q39" s="761"/>
      <c r="R39" s="761"/>
      <c r="S39" s="776"/>
      <c r="T39" s="776"/>
      <c r="U39" s="776"/>
      <c r="V39" s="773"/>
      <c r="W39" s="773"/>
      <c r="X39" s="773"/>
      <c r="Y39" s="774"/>
      <c r="Z39" s="774"/>
    </row>
    <row r="40" spans="1:26" ht="25.5" hidden="1" x14ac:dyDescent="0.2">
      <c r="A40" s="887" t="str">
        <f>+'3. PEP'!A54</f>
        <v>2.2.2</v>
      </c>
      <c r="B40" s="170" t="str">
        <f>'3. PEP'!B54</f>
        <v>Contratación de Firma Consultora para la Evaluación Intermedia del Programa</v>
      </c>
      <c r="C40" s="177" t="str">
        <f>'3. PEP'!D54</f>
        <v>T3 - Año 2</v>
      </c>
      <c r="D40" s="177" t="str">
        <f>'3. PEP'!F54</f>
        <v>T3 - Año 3</v>
      </c>
      <c r="E40" s="761">
        <f>'3. PEP'!G54</f>
        <v>50000</v>
      </c>
      <c r="F40" s="177"/>
      <c r="G40" s="177" t="str">
        <f t="shared" si="4"/>
        <v>T3 - Año 2</v>
      </c>
      <c r="H40" s="177" t="str">
        <f t="shared" si="4"/>
        <v>T3 - Año 3</v>
      </c>
      <c r="I40" s="770"/>
      <c r="J40" s="177"/>
      <c r="K40" s="761">
        <f>'7. PF A BID'!D37</f>
        <v>0</v>
      </c>
      <c r="L40" s="177"/>
      <c r="M40" s="177"/>
      <c r="N40" s="177"/>
      <c r="O40" s="761"/>
      <c r="P40" s="761"/>
      <c r="Q40" s="761"/>
      <c r="R40" s="761"/>
      <c r="S40" s="761"/>
      <c r="T40" s="761"/>
      <c r="U40" s="761"/>
      <c r="V40" s="761"/>
      <c r="W40" s="761"/>
      <c r="X40" s="761"/>
      <c r="Y40" s="761"/>
      <c r="Z40" s="761"/>
    </row>
    <row r="41" spans="1:26" ht="25.5" hidden="1" x14ac:dyDescent="0.2">
      <c r="A41" s="887" t="str">
        <f>+'3. PEP'!A55</f>
        <v>2.2.3</v>
      </c>
      <c r="B41" s="170" t="str">
        <f>'3. PEP'!B55</f>
        <v>Contratación de Firma Consultora para la Evaluación Final del Programa</v>
      </c>
      <c r="C41" s="177" t="str">
        <f>'3. PEP'!D55</f>
        <v>T4 - Año 4</v>
      </c>
      <c r="D41" s="177" t="str">
        <f>'3. PEP'!F55</f>
        <v>T4 - Año 5</v>
      </c>
      <c r="E41" s="761">
        <f>'3. PEP'!G55</f>
        <v>50000</v>
      </c>
      <c r="F41" s="177"/>
      <c r="G41" s="177" t="str">
        <f t="shared" si="4"/>
        <v>T4 - Año 4</v>
      </c>
      <c r="H41" s="177" t="str">
        <f t="shared" si="4"/>
        <v>T4 - Año 5</v>
      </c>
      <c r="I41" s="770"/>
      <c r="J41" s="177"/>
      <c r="K41" s="761">
        <f>'7. PF A BID'!D38</f>
        <v>0</v>
      </c>
      <c r="L41" s="177"/>
      <c r="M41" s="177"/>
      <c r="N41" s="177"/>
      <c r="O41" s="761"/>
      <c r="P41" s="761"/>
      <c r="Q41" s="761"/>
      <c r="R41" s="761"/>
      <c r="S41" s="761"/>
      <c r="T41" s="761"/>
      <c r="U41" s="761"/>
      <c r="V41" s="761"/>
      <c r="W41" s="761"/>
      <c r="X41" s="761"/>
      <c r="Y41" s="761"/>
      <c r="Z41" s="761"/>
    </row>
    <row r="42" spans="1:26" x14ac:dyDescent="0.2">
      <c r="A42" s="888">
        <v>2.2999999999999998</v>
      </c>
      <c r="B42" s="219" t="str">
        <f>+'7. PF A BID'!B39</f>
        <v>Gestión Socio Ambiental</v>
      </c>
      <c r="C42" s="297"/>
      <c r="D42" s="297"/>
      <c r="E42" s="760"/>
      <c r="F42" s="297"/>
      <c r="G42" s="297"/>
      <c r="H42" s="297"/>
      <c r="I42" s="768"/>
      <c r="J42" s="297"/>
      <c r="K42" s="760">
        <f>+K44</f>
        <v>5000</v>
      </c>
      <c r="L42" s="297"/>
      <c r="M42" s="297"/>
      <c r="N42" s="297"/>
      <c r="O42" s="760"/>
      <c r="P42" s="760"/>
      <c r="Q42" s="760"/>
      <c r="R42" s="760"/>
      <c r="S42" s="760"/>
      <c r="T42" s="760"/>
      <c r="U42" s="760"/>
      <c r="V42" s="760"/>
      <c r="W42" s="760"/>
      <c r="X42" s="760"/>
      <c r="Y42" s="760"/>
      <c r="Z42" s="760"/>
    </row>
    <row r="43" spans="1:26" ht="24.75" customHeight="1" x14ac:dyDescent="0.2">
      <c r="A43" s="887" t="str">
        <f>+'3. PEP'!A60</f>
        <v>2.3.4</v>
      </c>
      <c r="B43" s="218" t="str">
        <f>'3. PEP'!B60</f>
        <v>Consultoría "Monitoreo y Gestión Social Ambiental"</v>
      </c>
      <c r="C43" s="726" t="str">
        <f>'3. PEP'!D60</f>
        <v>T3 - Año 1</v>
      </c>
      <c r="D43" s="726" t="str">
        <f>'3. PEP'!F60</f>
        <v>T2 - Año 5</v>
      </c>
      <c r="E43" s="759">
        <f>'3. PEP'!G60</f>
        <v>150000</v>
      </c>
      <c r="F43" s="726"/>
      <c r="G43" s="726" t="str">
        <f>C43</f>
        <v>T3 - Año 1</v>
      </c>
      <c r="H43" s="726" t="str">
        <f>D43</f>
        <v>T2 - Año 5</v>
      </c>
      <c r="I43" s="769" t="s">
        <v>533</v>
      </c>
      <c r="J43" s="726" t="s">
        <v>679</v>
      </c>
      <c r="K43" s="759">
        <f>+'7. PF A BID'!D43</f>
        <v>0</v>
      </c>
      <c r="L43" s="726"/>
      <c r="M43" s="726"/>
      <c r="N43" s="726"/>
      <c r="O43" s="759"/>
      <c r="P43" s="759"/>
      <c r="Q43" s="759"/>
      <c r="R43" s="759"/>
      <c r="S43" s="759"/>
      <c r="T43" s="759"/>
      <c r="U43" s="772"/>
      <c r="V43" s="772"/>
      <c r="W43" s="772"/>
      <c r="X43" s="773"/>
      <c r="Y43" s="773"/>
      <c r="Z43" s="773"/>
    </row>
    <row r="44" spans="1:26" ht="24.75" customHeight="1" x14ac:dyDescent="0.2">
      <c r="A44" s="887" t="str">
        <f>+'3. PEP'!A61</f>
        <v>2.3.5</v>
      </c>
      <c r="B44" s="218" t="str">
        <f>'3. PEP'!B61</f>
        <v>Consultoría de Apoyo a la Supervisión Ambiental</v>
      </c>
      <c r="C44" s="726" t="str">
        <f>'3. PEP'!D61</f>
        <v>T2 - Año 1</v>
      </c>
      <c r="D44" s="726" t="str">
        <f>'3. PEP'!F61</f>
        <v>T2 - Año 4</v>
      </c>
      <c r="E44" s="759">
        <f>'3. PEP'!G61</f>
        <v>50000</v>
      </c>
      <c r="F44" s="726"/>
      <c r="G44" s="726" t="str">
        <f>C44</f>
        <v>T2 - Año 1</v>
      </c>
      <c r="H44" s="726" t="str">
        <f>D44</f>
        <v>T2 - Año 4</v>
      </c>
      <c r="I44" s="769" t="s">
        <v>768</v>
      </c>
      <c r="J44" s="726" t="s">
        <v>489</v>
      </c>
      <c r="K44" s="759">
        <f>+'7. PF A BID'!D44</f>
        <v>5000</v>
      </c>
      <c r="L44" s="726"/>
      <c r="M44" s="726"/>
      <c r="N44" s="726"/>
      <c r="O44" s="759"/>
      <c r="P44" s="759"/>
      <c r="Q44" s="759"/>
      <c r="R44" s="772"/>
      <c r="S44" s="772"/>
      <c r="T44" s="773"/>
      <c r="U44" s="773"/>
      <c r="V44" s="773"/>
      <c r="W44" s="773"/>
      <c r="X44" s="773"/>
      <c r="Y44" s="774"/>
      <c r="Z44" s="774"/>
    </row>
    <row r="45" spans="1:26" x14ac:dyDescent="0.2">
      <c r="A45" s="887"/>
      <c r="B45" s="895"/>
      <c r="C45" s="907"/>
      <c r="D45" s="907"/>
      <c r="E45" s="908"/>
      <c r="F45" s="907"/>
      <c r="G45" s="907"/>
      <c r="H45" s="907"/>
      <c r="I45" s="909"/>
      <c r="J45" s="907"/>
      <c r="K45" s="908"/>
      <c r="L45" s="907"/>
      <c r="M45" s="907"/>
      <c r="N45" s="907"/>
      <c r="O45" s="761"/>
      <c r="P45" s="761"/>
      <c r="Q45" s="761"/>
      <c r="R45" s="761"/>
      <c r="S45" s="761"/>
      <c r="T45" s="761"/>
      <c r="U45" s="761"/>
      <c r="V45" s="761"/>
      <c r="W45" s="761"/>
      <c r="X45" s="761"/>
      <c r="Y45" s="761"/>
      <c r="Z45" s="761"/>
    </row>
    <row r="46" spans="1:26" x14ac:dyDescent="0.2">
      <c r="A46" s="409"/>
      <c r="B46" s="410"/>
      <c r="C46" s="767"/>
      <c r="D46" s="767"/>
      <c r="E46" s="411" t="e">
        <f>E29+E23+E16+E11+E38+E36+#REF!+#REF!</f>
        <v>#REF!</v>
      </c>
      <c r="F46" s="767"/>
      <c r="G46" s="410"/>
      <c r="H46" s="410"/>
      <c r="I46" s="771"/>
      <c r="J46" s="410"/>
      <c r="K46" s="411">
        <f>+K35+K10</f>
        <v>3478610</v>
      </c>
      <c r="L46" s="411"/>
      <c r="M46" s="411"/>
      <c r="N46" s="411"/>
      <c r="O46" s="402"/>
      <c r="P46" s="402"/>
      <c r="Q46" s="402"/>
      <c r="R46" s="402"/>
      <c r="S46" s="402"/>
      <c r="T46" s="402"/>
      <c r="U46" s="402"/>
      <c r="V46" s="402"/>
      <c r="W46" s="402"/>
      <c r="X46" s="402"/>
      <c r="Y46" s="402"/>
      <c r="Z46" s="402"/>
    </row>
  </sheetData>
  <mergeCells count="8">
    <mergeCell ref="O8:Q8"/>
    <mergeCell ref="R8:T8"/>
    <mergeCell ref="U8:W8"/>
    <mergeCell ref="X8:Z8"/>
    <mergeCell ref="C8:F8"/>
    <mergeCell ref="G8:K8"/>
    <mergeCell ref="L8:M8"/>
    <mergeCell ref="N8:N9"/>
  </mergeCells>
  <pageMargins left="0.31496062992125984" right="0.35433070866141736" top="0.31496062992125984" bottom="0.23622047244094491" header="0.31496062992125984" footer="0.31496062992125984"/>
  <pageSetup paperSize="9" scale="79" orientation="landscape" r:id="rId1"/>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60"/>
  <sheetViews>
    <sheetView showGridLines="0" workbookViewId="0">
      <selection activeCell="D1" sqref="D1"/>
    </sheetView>
  </sheetViews>
  <sheetFormatPr defaultColWidth="11.42578125" defaultRowHeight="12.75" x14ac:dyDescent="0.2"/>
  <cols>
    <col min="1" max="1" width="8.85546875" style="14" customWidth="1"/>
    <col min="2" max="2" width="10.42578125" style="14" customWidth="1"/>
    <col min="3" max="3" width="9.7109375" style="14" customWidth="1"/>
    <col min="4" max="4" width="11.7109375" style="274" customWidth="1"/>
  </cols>
  <sheetData>
    <row r="1" spans="1:4" x14ac:dyDescent="0.2">
      <c r="A1" s="1054" t="s">
        <v>40</v>
      </c>
      <c r="B1" s="1054" t="s">
        <v>228</v>
      </c>
      <c r="C1" s="273" t="s">
        <v>229</v>
      </c>
      <c r="D1" s="406">
        <v>42736</v>
      </c>
    </row>
    <row r="2" spans="1:4" x14ac:dyDescent="0.2">
      <c r="A2" s="1054"/>
      <c r="B2" s="1054"/>
      <c r="C2" s="273" t="s">
        <v>230</v>
      </c>
      <c r="D2" s="406">
        <v>42767</v>
      </c>
    </row>
    <row r="3" spans="1:4" x14ac:dyDescent="0.2">
      <c r="A3" s="1054"/>
      <c r="B3" s="1054"/>
      <c r="C3" s="273" t="s">
        <v>231</v>
      </c>
      <c r="D3" s="406">
        <v>42795</v>
      </c>
    </row>
    <row r="4" spans="1:4" x14ac:dyDescent="0.2">
      <c r="A4" s="1054"/>
      <c r="B4" s="1054" t="s">
        <v>232</v>
      </c>
      <c r="C4" s="273" t="s">
        <v>233</v>
      </c>
      <c r="D4" s="406">
        <v>42826</v>
      </c>
    </row>
    <row r="5" spans="1:4" x14ac:dyDescent="0.2">
      <c r="A5" s="1054"/>
      <c r="B5" s="1054"/>
      <c r="C5" s="273" t="s">
        <v>234</v>
      </c>
      <c r="D5" s="406">
        <v>42856</v>
      </c>
    </row>
    <row r="6" spans="1:4" x14ac:dyDescent="0.2">
      <c r="A6" s="1054"/>
      <c r="B6" s="1054"/>
      <c r="C6" s="273" t="s">
        <v>235</v>
      </c>
      <c r="D6" s="406">
        <v>42887</v>
      </c>
    </row>
    <row r="7" spans="1:4" x14ac:dyDescent="0.2">
      <c r="A7" s="1054"/>
      <c r="B7" s="1054" t="s">
        <v>236</v>
      </c>
      <c r="C7" s="273" t="s">
        <v>237</v>
      </c>
      <c r="D7" s="406">
        <v>42917</v>
      </c>
    </row>
    <row r="8" spans="1:4" x14ac:dyDescent="0.2">
      <c r="A8" s="1054"/>
      <c r="B8" s="1054"/>
      <c r="C8" s="273" t="s">
        <v>238</v>
      </c>
      <c r="D8" s="406">
        <v>42948</v>
      </c>
    </row>
    <row r="9" spans="1:4" x14ac:dyDescent="0.2">
      <c r="A9" s="1054"/>
      <c r="B9" s="1054"/>
      <c r="C9" s="273" t="s">
        <v>239</v>
      </c>
      <c r="D9" s="406">
        <v>42979</v>
      </c>
    </row>
    <row r="10" spans="1:4" x14ac:dyDescent="0.2">
      <c r="A10" s="1054"/>
      <c r="B10" s="1054" t="s">
        <v>240</v>
      </c>
      <c r="C10" s="273" t="s">
        <v>241</v>
      </c>
      <c r="D10" s="406">
        <v>43009</v>
      </c>
    </row>
    <row r="11" spans="1:4" x14ac:dyDescent="0.2">
      <c r="A11" s="1054"/>
      <c r="B11" s="1054"/>
      <c r="C11" s="273" t="s">
        <v>242</v>
      </c>
      <c r="D11" s="406">
        <v>43040</v>
      </c>
    </row>
    <row r="12" spans="1:4" x14ac:dyDescent="0.2">
      <c r="A12" s="1054"/>
      <c r="B12" s="1054"/>
      <c r="C12" s="273" t="s">
        <v>243</v>
      </c>
      <c r="D12" s="406">
        <v>43070</v>
      </c>
    </row>
    <row r="13" spans="1:4" x14ac:dyDescent="0.2">
      <c r="A13" s="1054" t="s">
        <v>41</v>
      </c>
      <c r="B13" s="1054" t="s">
        <v>228</v>
      </c>
      <c r="C13" s="273" t="s">
        <v>244</v>
      </c>
      <c r="D13" s="406">
        <v>43101</v>
      </c>
    </row>
    <row r="14" spans="1:4" x14ac:dyDescent="0.2">
      <c r="A14" s="1054"/>
      <c r="B14" s="1054"/>
      <c r="C14" s="273" t="s">
        <v>245</v>
      </c>
      <c r="D14" s="406">
        <v>43132</v>
      </c>
    </row>
    <row r="15" spans="1:4" x14ac:dyDescent="0.2">
      <c r="A15" s="1054"/>
      <c r="B15" s="1054"/>
      <c r="C15" s="273" t="s">
        <v>246</v>
      </c>
      <c r="D15" s="406">
        <v>43160</v>
      </c>
    </row>
    <row r="16" spans="1:4" x14ac:dyDescent="0.2">
      <c r="A16" s="1054"/>
      <c r="B16" s="1054" t="s">
        <v>232</v>
      </c>
      <c r="C16" s="273" t="s">
        <v>247</v>
      </c>
      <c r="D16" s="406">
        <v>43191</v>
      </c>
    </row>
    <row r="17" spans="1:4" x14ac:dyDescent="0.2">
      <c r="A17" s="1054"/>
      <c r="B17" s="1054"/>
      <c r="C17" s="273" t="s">
        <v>248</v>
      </c>
      <c r="D17" s="406">
        <v>43221</v>
      </c>
    </row>
    <row r="18" spans="1:4" x14ac:dyDescent="0.2">
      <c r="A18" s="1054"/>
      <c r="B18" s="1054"/>
      <c r="C18" s="273" t="s">
        <v>249</v>
      </c>
      <c r="D18" s="406">
        <v>43252</v>
      </c>
    </row>
    <row r="19" spans="1:4" x14ac:dyDescent="0.2">
      <c r="A19" s="1054"/>
      <c r="B19" s="1054" t="s">
        <v>236</v>
      </c>
      <c r="C19" s="273" t="s">
        <v>250</v>
      </c>
      <c r="D19" s="406">
        <v>43282</v>
      </c>
    </row>
    <row r="20" spans="1:4" x14ac:dyDescent="0.2">
      <c r="A20" s="1054"/>
      <c r="B20" s="1054"/>
      <c r="C20" s="273" t="s">
        <v>251</v>
      </c>
      <c r="D20" s="406">
        <v>43313</v>
      </c>
    </row>
    <row r="21" spans="1:4" x14ac:dyDescent="0.2">
      <c r="A21" s="1054"/>
      <c r="B21" s="1054"/>
      <c r="C21" s="273" t="s">
        <v>252</v>
      </c>
      <c r="D21" s="406">
        <v>43344</v>
      </c>
    </row>
    <row r="22" spans="1:4" x14ac:dyDescent="0.2">
      <c r="A22" s="1054"/>
      <c r="B22" s="1054" t="s">
        <v>240</v>
      </c>
      <c r="C22" s="273" t="s">
        <v>253</v>
      </c>
      <c r="D22" s="406">
        <v>43374</v>
      </c>
    </row>
    <row r="23" spans="1:4" x14ac:dyDescent="0.2">
      <c r="A23" s="1054"/>
      <c r="B23" s="1054"/>
      <c r="C23" s="273" t="s">
        <v>254</v>
      </c>
      <c r="D23" s="406">
        <v>43405</v>
      </c>
    </row>
    <row r="24" spans="1:4" x14ac:dyDescent="0.2">
      <c r="A24" s="1054"/>
      <c r="B24" s="1054"/>
      <c r="C24" s="273" t="s">
        <v>255</v>
      </c>
      <c r="D24" s="406">
        <v>43435</v>
      </c>
    </row>
    <row r="25" spans="1:4" x14ac:dyDescent="0.2">
      <c r="A25" s="1054" t="s">
        <v>42</v>
      </c>
      <c r="B25" s="1054" t="s">
        <v>228</v>
      </c>
      <c r="C25" s="273" t="s">
        <v>256</v>
      </c>
      <c r="D25" s="406">
        <v>43466</v>
      </c>
    </row>
    <row r="26" spans="1:4" x14ac:dyDescent="0.2">
      <c r="A26" s="1054"/>
      <c r="B26" s="1054"/>
      <c r="C26" s="273" t="s">
        <v>257</v>
      </c>
      <c r="D26" s="406">
        <v>43497</v>
      </c>
    </row>
    <row r="27" spans="1:4" x14ac:dyDescent="0.2">
      <c r="A27" s="1054"/>
      <c r="B27" s="1054"/>
      <c r="C27" s="273" t="s">
        <v>258</v>
      </c>
      <c r="D27" s="406">
        <v>43525</v>
      </c>
    </row>
    <row r="28" spans="1:4" x14ac:dyDescent="0.2">
      <c r="A28" s="1054"/>
      <c r="B28" s="1054" t="s">
        <v>232</v>
      </c>
      <c r="C28" s="273" t="s">
        <v>259</v>
      </c>
      <c r="D28" s="406">
        <v>43556</v>
      </c>
    </row>
    <row r="29" spans="1:4" x14ac:dyDescent="0.2">
      <c r="A29" s="1054"/>
      <c r="B29" s="1054"/>
      <c r="C29" s="273" t="s">
        <v>260</v>
      </c>
      <c r="D29" s="406">
        <v>43586</v>
      </c>
    </row>
    <row r="30" spans="1:4" x14ac:dyDescent="0.2">
      <c r="A30" s="1054"/>
      <c r="B30" s="1054"/>
      <c r="C30" s="273" t="s">
        <v>261</v>
      </c>
      <c r="D30" s="406">
        <v>43617</v>
      </c>
    </row>
    <row r="31" spans="1:4" x14ac:dyDescent="0.2">
      <c r="A31" s="1054"/>
      <c r="B31" s="1054" t="s">
        <v>236</v>
      </c>
      <c r="C31" s="273" t="s">
        <v>262</v>
      </c>
      <c r="D31" s="406">
        <v>43647</v>
      </c>
    </row>
    <row r="32" spans="1:4" x14ac:dyDescent="0.2">
      <c r="A32" s="1054"/>
      <c r="B32" s="1054"/>
      <c r="C32" s="273" t="s">
        <v>263</v>
      </c>
      <c r="D32" s="406">
        <v>43678</v>
      </c>
    </row>
    <row r="33" spans="1:4" x14ac:dyDescent="0.2">
      <c r="A33" s="1054"/>
      <c r="B33" s="1054"/>
      <c r="C33" s="273" t="s">
        <v>264</v>
      </c>
      <c r="D33" s="406">
        <v>43709</v>
      </c>
    </row>
    <row r="34" spans="1:4" x14ac:dyDescent="0.2">
      <c r="A34" s="1054"/>
      <c r="B34" s="1054" t="s">
        <v>240</v>
      </c>
      <c r="C34" s="273" t="s">
        <v>265</v>
      </c>
      <c r="D34" s="406">
        <v>43739</v>
      </c>
    </row>
    <row r="35" spans="1:4" x14ac:dyDescent="0.2">
      <c r="A35" s="1054"/>
      <c r="B35" s="1054"/>
      <c r="C35" s="273" t="s">
        <v>266</v>
      </c>
      <c r="D35" s="406">
        <v>43770</v>
      </c>
    </row>
    <row r="36" spans="1:4" x14ac:dyDescent="0.2">
      <c r="A36" s="1054"/>
      <c r="B36" s="1054"/>
      <c r="C36" s="273" t="s">
        <v>267</v>
      </c>
      <c r="D36" s="406">
        <v>43800</v>
      </c>
    </row>
    <row r="37" spans="1:4" x14ac:dyDescent="0.2">
      <c r="A37" s="1054" t="s">
        <v>43</v>
      </c>
      <c r="B37" s="1054" t="s">
        <v>228</v>
      </c>
      <c r="C37" s="273" t="s">
        <v>268</v>
      </c>
      <c r="D37" s="406">
        <v>43831</v>
      </c>
    </row>
    <row r="38" spans="1:4" x14ac:dyDescent="0.2">
      <c r="A38" s="1054"/>
      <c r="B38" s="1054"/>
      <c r="C38" s="273" t="s">
        <v>269</v>
      </c>
      <c r="D38" s="406">
        <v>43862</v>
      </c>
    </row>
    <row r="39" spans="1:4" x14ac:dyDescent="0.2">
      <c r="A39" s="1054"/>
      <c r="B39" s="1054"/>
      <c r="C39" s="273" t="s">
        <v>270</v>
      </c>
      <c r="D39" s="406">
        <v>43891</v>
      </c>
    </row>
    <row r="40" spans="1:4" x14ac:dyDescent="0.2">
      <c r="A40" s="1054"/>
      <c r="B40" s="1054" t="s">
        <v>232</v>
      </c>
      <c r="C40" s="273" t="s">
        <v>271</v>
      </c>
      <c r="D40" s="406">
        <v>43922</v>
      </c>
    </row>
    <row r="41" spans="1:4" x14ac:dyDescent="0.2">
      <c r="A41" s="1054"/>
      <c r="B41" s="1054"/>
      <c r="C41" s="273" t="s">
        <v>272</v>
      </c>
      <c r="D41" s="406">
        <v>43952</v>
      </c>
    </row>
    <row r="42" spans="1:4" x14ac:dyDescent="0.2">
      <c r="A42" s="1054"/>
      <c r="B42" s="1054"/>
      <c r="C42" s="273" t="s">
        <v>273</v>
      </c>
      <c r="D42" s="406">
        <v>43983</v>
      </c>
    </row>
    <row r="43" spans="1:4" x14ac:dyDescent="0.2">
      <c r="A43" s="1054"/>
      <c r="B43" s="1054" t="s">
        <v>236</v>
      </c>
      <c r="C43" s="273" t="s">
        <v>274</v>
      </c>
      <c r="D43" s="406">
        <v>44013</v>
      </c>
    </row>
    <row r="44" spans="1:4" x14ac:dyDescent="0.2">
      <c r="A44" s="1054"/>
      <c r="B44" s="1054"/>
      <c r="C44" s="273" t="s">
        <v>275</v>
      </c>
      <c r="D44" s="406">
        <v>44044</v>
      </c>
    </row>
    <row r="45" spans="1:4" x14ac:dyDescent="0.2">
      <c r="A45" s="1054"/>
      <c r="B45" s="1054"/>
      <c r="C45" s="273" t="s">
        <v>276</v>
      </c>
      <c r="D45" s="406">
        <v>44075</v>
      </c>
    </row>
    <row r="46" spans="1:4" x14ac:dyDescent="0.2">
      <c r="A46" s="1054"/>
      <c r="B46" s="1054" t="s">
        <v>240</v>
      </c>
      <c r="C46" s="273" t="s">
        <v>277</v>
      </c>
      <c r="D46" s="406">
        <v>44105</v>
      </c>
    </row>
    <row r="47" spans="1:4" x14ac:dyDescent="0.2">
      <c r="A47" s="1054"/>
      <c r="B47" s="1054"/>
      <c r="C47" s="273" t="s">
        <v>278</v>
      </c>
      <c r="D47" s="406">
        <v>44136</v>
      </c>
    </row>
    <row r="48" spans="1:4" x14ac:dyDescent="0.2">
      <c r="A48" s="1054"/>
      <c r="B48" s="1054"/>
      <c r="C48" s="273" t="s">
        <v>279</v>
      </c>
      <c r="D48" s="406">
        <v>44166</v>
      </c>
    </row>
    <row r="49" spans="1:4" x14ac:dyDescent="0.2">
      <c r="A49" s="1054" t="s">
        <v>44</v>
      </c>
      <c r="B49" s="1054" t="s">
        <v>228</v>
      </c>
      <c r="C49" s="273" t="s">
        <v>280</v>
      </c>
      <c r="D49" s="406">
        <v>44197</v>
      </c>
    </row>
    <row r="50" spans="1:4" x14ac:dyDescent="0.2">
      <c r="A50" s="1054"/>
      <c r="B50" s="1054"/>
      <c r="C50" s="273" t="s">
        <v>281</v>
      </c>
      <c r="D50" s="406">
        <v>44228</v>
      </c>
    </row>
    <row r="51" spans="1:4" x14ac:dyDescent="0.2">
      <c r="A51" s="1054"/>
      <c r="B51" s="1054"/>
      <c r="C51" s="273" t="s">
        <v>282</v>
      </c>
      <c r="D51" s="406">
        <v>44256</v>
      </c>
    </row>
    <row r="52" spans="1:4" x14ac:dyDescent="0.2">
      <c r="A52" s="1054"/>
      <c r="B52" s="1054" t="s">
        <v>232</v>
      </c>
      <c r="C52" s="273" t="s">
        <v>283</v>
      </c>
      <c r="D52" s="406">
        <v>44287</v>
      </c>
    </row>
    <row r="53" spans="1:4" x14ac:dyDescent="0.2">
      <c r="A53" s="1054"/>
      <c r="B53" s="1054"/>
      <c r="C53" s="273" t="s">
        <v>284</v>
      </c>
      <c r="D53" s="406">
        <v>44317</v>
      </c>
    </row>
    <row r="54" spans="1:4" x14ac:dyDescent="0.2">
      <c r="A54" s="1054"/>
      <c r="B54" s="1054"/>
      <c r="C54" s="273" t="s">
        <v>285</v>
      </c>
      <c r="D54" s="406">
        <v>44348</v>
      </c>
    </row>
    <row r="55" spans="1:4" x14ac:dyDescent="0.2">
      <c r="A55" s="1054"/>
      <c r="B55" s="1054" t="s">
        <v>236</v>
      </c>
      <c r="C55" s="273" t="s">
        <v>286</v>
      </c>
      <c r="D55" s="406">
        <v>44378</v>
      </c>
    </row>
    <row r="56" spans="1:4" x14ac:dyDescent="0.2">
      <c r="A56" s="1054"/>
      <c r="B56" s="1054"/>
      <c r="C56" s="273" t="s">
        <v>287</v>
      </c>
      <c r="D56" s="406">
        <v>44409</v>
      </c>
    </row>
    <row r="57" spans="1:4" x14ac:dyDescent="0.2">
      <c r="A57" s="1054"/>
      <c r="B57" s="1054"/>
      <c r="C57" s="273" t="s">
        <v>288</v>
      </c>
      <c r="D57" s="406">
        <v>44440</v>
      </c>
    </row>
    <row r="58" spans="1:4" x14ac:dyDescent="0.2">
      <c r="A58" s="1054"/>
      <c r="B58" s="1054" t="s">
        <v>240</v>
      </c>
      <c r="C58" s="273" t="s">
        <v>289</v>
      </c>
      <c r="D58" s="406">
        <v>44470</v>
      </c>
    </row>
    <row r="59" spans="1:4" x14ac:dyDescent="0.2">
      <c r="A59" s="1054"/>
      <c r="B59" s="1054"/>
      <c r="C59" s="273" t="s">
        <v>290</v>
      </c>
      <c r="D59" s="406">
        <v>44501</v>
      </c>
    </row>
    <row r="60" spans="1:4" x14ac:dyDescent="0.2">
      <c r="A60" s="1054"/>
      <c r="B60" s="1054"/>
      <c r="C60" s="273" t="s">
        <v>291</v>
      </c>
      <c r="D60" s="406">
        <v>44531</v>
      </c>
    </row>
  </sheetData>
  <mergeCells count="25">
    <mergeCell ref="A13:A24"/>
    <mergeCell ref="B13:B15"/>
    <mergeCell ref="B16:B18"/>
    <mergeCell ref="B19:B21"/>
    <mergeCell ref="B22:B24"/>
    <mergeCell ref="A1:A12"/>
    <mergeCell ref="B1:B3"/>
    <mergeCell ref="B4:B6"/>
    <mergeCell ref="B7:B9"/>
    <mergeCell ref="B10:B12"/>
    <mergeCell ref="A37:A48"/>
    <mergeCell ref="B37:B39"/>
    <mergeCell ref="B40:B42"/>
    <mergeCell ref="B43:B45"/>
    <mergeCell ref="B46:B48"/>
    <mergeCell ref="A25:A36"/>
    <mergeCell ref="B25:B27"/>
    <mergeCell ref="B28:B30"/>
    <mergeCell ref="B31:B33"/>
    <mergeCell ref="B34:B36"/>
    <mergeCell ref="A49:A60"/>
    <mergeCell ref="B49:B51"/>
    <mergeCell ref="B52:B54"/>
    <mergeCell ref="B55:B57"/>
    <mergeCell ref="B58:B6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zoomScale="85" zoomScaleNormal="85" workbookViewId="0">
      <selection activeCell="C26" sqref="C26"/>
    </sheetView>
  </sheetViews>
  <sheetFormatPr defaultColWidth="11.42578125" defaultRowHeight="12.75" x14ac:dyDescent="0.2"/>
  <cols>
    <col min="1" max="1" width="15.28515625" style="486" bestFit="1" customWidth="1"/>
    <col min="2" max="2" width="18.140625" style="486" bestFit="1" customWidth="1"/>
    <col min="3" max="3" width="40.7109375" style="526" customWidth="1"/>
    <col min="4" max="4" width="9.28515625" style="412" bestFit="1" customWidth="1"/>
    <col min="5" max="5" width="11" style="412" bestFit="1" customWidth="1"/>
    <col min="6" max="6" width="9.140625" style="412" bestFit="1" customWidth="1"/>
    <col min="7" max="7" width="6.28515625" style="486" bestFit="1" customWidth="1"/>
    <col min="8" max="8" width="19.28515625" style="486" customWidth="1"/>
    <col min="9" max="9" width="16" style="486" customWidth="1"/>
    <col min="10" max="10" width="19.140625" style="486" customWidth="1"/>
    <col min="11" max="16384" width="11.42578125" style="486"/>
  </cols>
  <sheetData>
    <row r="1" spans="1:12" ht="38.25" x14ac:dyDescent="0.2">
      <c r="A1" s="497" t="s">
        <v>295</v>
      </c>
      <c r="B1" s="497" t="s">
        <v>296</v>
      </c>
      <c r="C1" s="522" t="s">
        <v>297</v>
      </c>
      <c r="D1" s="498" t="s">
        <v>298</v>
      </c>
      <c r="E1" s="498" t="s">
        <v>299</v>
      </c>
      <c r="F1" s="498" t="s">
        <v>300</v>
      </c>
      <c r="G1" s="498" t="s">
        <v>301</v>
      </c>
      <c r="H1" s="498" t="s">
        <v>302</v>
      </c>
      <c r="I1" s="499" t="s">
        <v>303</v>
      </c>
      <c r="J1" s="499" t="s">
        <v>304</v>
      </c>
    </row>
    <row r="2" spans="1:12" ht="38.25" x14ac:dyDescent="0.2">
      <c r="A2" s="1055" t="s">
        <v>305</v>
      </c>
      <c r="B2" s="500" t="s">
        <v>306</v>
      </c>
      <c r="C2" s="523" t="s">
        <v>307</v>
      </c>
      <c r="D2" s="501">
        <v>18</v>
      </c>
      <c r="E2" s="501">
        <v>18</v>
      </c>
      <c r="F2" s="502"/>
      <c r="G2" s="503" t="s">
        <v>308</v>
      </c>
      <c r="H2" s="504" t="s">
        <v>309</v>
      </c>
      <c r="I2" s="487">
        <f>200000*E2</f>
        <v>3600000</v>
      </c>
      <c r="J2" s="488"/>
    </row>
    <row r="3" spans="1:12" ht="38.25" x14ac:dyDescent="0.2">
      <c r="A3" s="1055"/>
      <c r="B3" s="500" t="s">
        <v>310</v>
      </c>
      <c r="C3" s="524" t="s">
        <v>311</v>
      </c>
      <c r="D3" s="505">
        <v>30.42</v>
      </c>
      <c r="E3" s="505">
        <v>31</v>
      </c>
      <c r="F3" s="502"/>
      <c r="G3" s="503" t="s">
        <v>308</v>
      </c>
      <c r="H3" s="504" t="s">
        <v>312</v>
      </c>
      <c r="I3" s="487">
        <f>200000*E3</f>
        <v>6200000</v>
      </c>
      <c r="J3" s="488"/>
    </row>
    <row r="4" spans="1:12" x14ac:dyDescent="0.2">
      <c r="A4" s="1055"/>
      <c r="B4" s="506"/>
      <c r="C4" s="525" t="s">
        <v>313</v>
      </c>
      <c r="D4" s="507">
        <v>48.42</v>
      </c>
      <c r="E4" s="508">
        <v>49</v>
      </c>
      <c r="F4" s="506"/>
      <c r="G4" s="509"/>
      <c r="H4" s="510"/>
      <c r="I4" s="487"/>
      <c r="J4" s="488"/>
    </row>
    <row r="5" spans="1:12" ht="38.25" x14ac:dyDescent="0.2">
      <c r="A5" s="1055" t="s">
        <v>314</v>
      </c>
      <c r="B5" s="511" t="s">
        <v>315</v>
      </c>
      <c r="C5" s="523" t="s">
        <v>316</v>
      </c>
      <c r="D5" s="512">
        <v>30</v>
      </c>
      <c r="E5" s="505">
        <v>30</v>
      </c>
      <c r="F5" s="513">
        <v>35.1</v>
      </c>
      <c r="G5" s="503" t="s">
        <v>308</v>
      </c>
      <c r="H5" s="504" t="s">
        <v>317</v>
      </c>
      <c r="I5" s="489">
        <v>8284277</v>
      </c>
      <c r="J5" s="490">
        <f>+I5/F5</f>
        <v>236019.28774928773</v>
      </c>
    </row>
    <row r="6" spans="1:12" x14ac:dyDescent="0.2">
      <c r="A6" s="1055"/>
      <c r="B6" s="506"/>
      <c r="C6" s="525" t="s">
        <v>313</v>
      </c>
      <c r="D6" s="507">
        <v>30</v>
      </c>
      <c r="E6" s="508">
        <v>30</v>
      </c>
      <c r="F6" s="506"/>
      <c r="G6" s="509"/>
      <c r="H6" s="510"/>
      <c r="I6" s="487"/>
      <c r="J6" s="488"/>
    </row>
    <row r="7" spans="1:12" ht="38.25" x14ac:dyDescent="0.2">
      <c r="A7" s="1056" t="s">
        <v>318</v>
      </c>
      <c r="B7" s="511" t="s">
        <v>319</v>
      </c>
      <c r="C7" s="524" t="s">
        <v>320</v>
      </c>
      <c r="D7" s="514">
        <v>10</v>
      </c>
      <c r="E7" s="514">
        <v>10</v>
      </c>
      <c r="F7" s="513">
        <v>10.79</v>
      </c>
      <c r="G7" s="503" t="s">
        <v>308</v>
      </c>
      <c r="H7" s="504" t="s">
        <v>321</v>
      </c>
      <c r="I7" s="489">
        <v>3399181</v>
      </c>
      <c r="J7" s="490">
        <f>+I7/F7</f>
        <v>315030.67655236332</v>
      </c>
    </row>
    <row r="8" spans="1:12" ht="38.25" x14ac:dyDescent="0.2">
      <c r="A8" s="1057"/>
      <c r="B8" s="511" t="s">
        <v>322</v>
      </c>
      <c r="C8" s="524" t="s">
        <v>323</v>
      </c>
      <c r="D8" s="514">
        <v>15</v>
      </c>
      <c r="E8" s="514">
        <v>15</v>
      </c>
      <c r="F8" s="513"/>
      <c r="G8" s="503" t="s">
        <v>308</v>
      </c>
      <c r="H8" s="504" t="s">
        <v>534</v>
      </c>
      <c r="I8" s="489"/>
      <c r="J8" s="490" t="e">
        <f>+I8/F8</f>
        <v>#DIV/0!</v>
      </c>
      <c r="L8" s="489">
        <v>3840508</v>
      </c>
    </row>
    <row r="9" spans="1:12" x14ac:dyDescent="0.2">
      <c r="A9" s="1058"/>
      <c r="B9" s="506"/>
      <c r="C9" s="525" t="s">
        <v>313</v>
      </c>
      <c r="D9" s="507">
        <f>SUM(D7:D8)</f>
        <v>25</v>
      </c>
      <c r="E9" s="507">
        <f>SUM(E7:E8)</f>
        <v>25</v>
      </c>
      <c r="F9" s="506"/>
      <c r="G9" s="509"/>
      <c r="H9" s="510"/>
      <c r="I9" s="487"/>
      <c r="J9" s="488"/>
    </row>
    <row r="10" spans="1:12" ht="38.25" x14ac:dyDescent="0.2">
      <c r="A10" s="1059" t="s">
        <v>324</v>
      </c>
      <c r="B10" s="500" t="s">
        <v>325</v>
      </c>
      <c r="C10" s="515" t="s">
        <v>326</v>
      </c>
      <c r="D10" s="514">
        <v>20.62</v>
      </c>
      <c r="E10" s="505">
        <v>21</v>
      </c>
      <c r="F10" s="513">
        <v>20.62</v>
      </c>
      <c r="G10" s="503" t="s">
        <v>327</v>
      </c>
      <c r="H10" s="504" t="s">
        <v>535</v>
      </c>
      <c r="I10" s="489">
        <v>1953249</v>
      </c>
      <c r="J10" s="490">
        <f>+I10/F10</f>
        <v>94725.945683802129</v>
      </c>
    </row>
    <row r="11" spans="1:12" ht="38.25" x14ac:dyDescent="0.2">
      <c r="A11" s="1059"/>
      <c r="B11" s="500" t="s">
        <v>328</v>
      </c>
      <c r="C11" s="515" t="s">
        <v>329</v>
      </c>
      <c r="D11" s="516">
        <v>50</v>
      </c>
      <c r="E11" s="517">
        <v>50</v>
      </c>
      <c r="F11" s="505"/>
      <c r="G11" s="503" t="s">
        <v>308</v>
      </c>
      <c r="H11" s="504" t="s">
        <v>317</v>
      </c>
      <c r="I11" s="487">
        <f>300000*E11</f>
        <v>15000000</v>
      </c>
      <c r="J11" s="488"/>
    </row>
    <row r="12" spans="1:12" x14ac:dyDescent="0.2">
      <c r="A12" s="1059"/>
      <c r="B12" s="506"/>
      <c r="C12" s="525" t="s">
        <v>313</v>
      </c>
      <c r="D12" s="507">
        <v>70.62</v>
      </c>
      <c r="E12" s="508">
        <v>71</v>
      </c>
      <c r="F12" s="505">
        <f>SUM(F2:F11)</f>
        <v>66.510000000000005</v>
      </c>
      <c r="G12" s="509"/>
      <c r="H12" s="510"/>
      <c r="I12" s="488"/>
      <c r="J12" s="488"/>
    </row>
    <row r="13" spans="1:12" x14ac:dyDescent="0.2">
      <c r="A13" s="1060" t="s">
        <v>330</v>
      </c>
      <c r="B13" s="1061"/>
      <c r="C13" s="1062"/>
      <c r="D13" s="518">
        <f>+D4+D6+D9+D12</f>
        <v>174.04000000000002</v>
      </c>
      <c r="E13" s="518">
        <f>+E4+E6+E9+E12</f>
        <v>175</v>
      </c>
      <c r="F13" s="518">
        <v>179.9</v>
      </c>
      <c r="G13" s="509"/>
      <c r="H13" s="491"/>
      <c r="I13" s="519">
        <f>SUM(I5:I10)</f>
        <v>13636707</v>
      </c>
      <c r="J13" s="492" t="s">
        <v>536</v>
      </c>
    </row>
    <row r="14" spans="1:12" x14ac:dyDescent="0.2">
      <c r="I14" s="493">
        <f>+I2+I3+I11</f>
        <v>24800000</v>
      </c>
      <c r="J14" s="486" t="s">
        <v>537</v>
      </c>
    </row>
    <row r="15" spans="1:12" x14ac:dyDescent="0.2">
      <c r="A15" s="486" t="s">
        <v>544</v>
      </c>
    </row>
    <row r="17" spans="4:10" x14ac:dyDescent="0.2">
      <c r="D17" s="447"/>
      <c r="E17" s="448" t="s">
        <v>331</v>
      </c>
      <c r="F17" s="449">
        <f>+F5+F7+F8+F10</f>
        <v>66.510000000000005</v>
      </c>
      <c r="H17" s="270">
        <f>I13</f>
        <v>13636707</v>
      </c>
      <c r="I17" s="494">
        <f>+I13-436707</f>
        <v>13200000</v>
      </c>
      <c r="J17" s="492" t="s">
        <v>332</v>
      </c>
    </row>
    <row r="18" spans="4:10" x14ac:dyDescent="0.2">
      <c r="D18" s="452"/>
      <c r="E18" s="453" t="s">
        <v>333</v>
      </c>
      <c r="F18" s="454">
        <f>+E11+E2+E3</f>
        <v>99</v>
      </c>
      <c r="H18" s="270">
        <f>I14</f>
        <v>24800000</v>
      </c>
      <c r="I18" s="495">
        <f>+(E2+E3)*200000+(E11*300000)</f>
        <v>24800000</v>
      </c>
      <c r="J18" s="496" t="s">
        <v>332</v>
      </c>
    </row>
    <row r="19" spans="4:10" x14ac:dyDescent="0.2">
      <c r="F19" s="520">
        <f>+F17+F18</f>
        <v>165.51</v>
      </c>
      <c r="H19" s="270"/>
      <c r="I19" s="521">
        <f>+I17+I18</f>
        <v>38000000</v>
      </c>
      <c r="J19" s="270"/>
    </row>
    <row r="21" spans="4:10" x14ac:dyDescent="0.2">
      <c r="F21" s="527">
        <f>165.51-F19</f>
        <v>0</v>
      </c>
    </row>
    <row r="22" spans="4:10" x14ac:dyDescent="0.2">
      <c r="H22" s="493"/>
    </row>
  </sheetData>
  <mergeCells count="5">
    <mergeCell ref="A2:A4"/>
    <mergeCell ref="A5:A6"/>
    <mergeCell ref="A7:A9"/>
    <mergeCell ref="A10:A12"/>
    <mergeCell ref="A13:C13"/>
  </mergeCells>
  <pageMargins left="0.7" right="0.7" top="0.75" bottom="0.75" header="0.3" footer="0.3"/>
  <pageSetup paperSize="21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13" zoomScaleNormal="100" zoomScaleSheetLayoutView="100" workbookViewId="0">
      <selection activeCell="C28" sqref="C28:E37"/>
    </sheetView>
  </sheetViews>
  <sheetFormatPr defaultColWidth="11.42578125" defaultRowHeight="12.75" customHeight="1" x14ac:dyDescent="0.2"/>
  <cols>
    <col min="1" max="1" width="13.7109375" style="412" customWidth="1"/>
    <col min="2" max="2" width="9" style="412" customWidth="1"/>
    <col min="3" max="3" width="45.140625" style="412" customWidth="1"/>
    <col min="4" max="4" width="14.7109375" style="412" customWidth="1"/>
    <col min="5" max="5" width="19.42578125" style="412" customWidth="1"/>
    <col min="6" max="7" width="11.42578125" style="412"/>
    <col min="8" max="8" width="14.5703125" style="412" customWidth="1"/>
    <col min="9" max="9" width="16.28515625" style="457" customWidth="1"/>
    <col min="10" max="10" width="14.5703125" style="412" bestFit="1" customWidth="1"/>
    <col min="11" max="11" width="11.42578125" style="412"/>
    <col min="12" max="12" width="19.28515625" style="412" customWidth="1"/>
    <col min="13" max="256" width="11.42578125" style="412"/>
    <col min="257" max="257" width="16.7109375" style="412" customWidth="1"/>
    <col min="258" max="258" width="11.42578125" style="412"/>
    <col min="259" max="259" width="37.7109375" style="412" customWidth="1"/>
    <col min="260" max="260" width="17.140625" style="412" customWidth="1"/>
    <col min="261" max="261" width="21.140625" style="412" customWidth="1"/>
    <col min="262" max="512" width="11.42578125" style="412"/>
    <col min="513" max="513" width="16.7109375" style="412" customWidth="1"/>
    <col min="514" max="514" width="11.42578125" style="412"/>
    <col min="515" max="515" width="37.7109375" style="412" customWidth="1"/>
    <col min="516" max="516" width="17.140625" style="412" customWidth="1"/>
    <col min="517" max="517" width="21.140625" style="412" customWidth="1"/>
    <col min="518" max="768" width="11.42578125" style="412"/>
    <col min="769" max="769" width="16.7109375" style="412" customWidth="1"/>
    <col min="770" max="770" width="11.42578125" style="412"/>
    <col min="771" max="771" width="37.7109375" style="412" customWidth="1"/>
    <col min="772" max="772" width="17.140625" style="412" customWidth="1"/>
    <col min="773" max="773" width="21.140625" style="412" customWidth="1"/>
    <col min="774" max="1024" width="11.42578125" style="412"/>
    <col min="1025" max="1025" width="16.7109375" style="412" customWidth="1"/>
    <col min="1026" max="1026" width="11.42578125" style="412"/>
    <col min="1027" max="1027" width="37.7109375" style="412" customWidth="1"/>
    <col min="1028" max="1028" width="17.140625" style="412" customWidth="1"/>
    <col min="1029" max="1029" width="21.140625" style="412" customWidth="1"/>
    <col min="1030" max="1280" width="11.42578125" style="412"/>
    <col min="1281" max="1281" width="16.7109375" style="412" customWidth="1"/>
    <col min="1282" max="1282" width="11.42578125" style="412"/>
    <col min="1283" max="1283" width="37.7109375" style="412" customWidth="1"/>
    <col min="1284" max="1284" width="17.140625" style="412" customWidth="1"/>
    <col min="1285" max="1285" width="21.140625" style="412" customWidth="1"/>
    <col min="1286" max="1536" width="11.42578125" style="412"/>
    <col min="1537" max="1537" width="16.7109375" style="412" customWidth="1"/>
    <col min="1538" max="1538" width="11.42578125" style="412"/>
    <col min="1539" max="1539" width="37.7109375" style="412" customWidth="1"/>
    <col min="1540" max="1540" width="17.140625" style="412" customWidth="1"/>
    <col min="1541" max="1541" width="21.140625" style="412" customWidth="1"/>
    <col min="1542" max="1792" width="11.42578125" style="412"/>
    <col min="1793" max="1793" width="16.7109375" style="412" customWidth="1"/>
    <col min="1794" max="1794" width="11.42578125" style="412"/>
    <col min="1795" max="1795" width="37.7109375" style="412" customWidth="1"/>
    <col min="1796" max="1796" width="17.140625" style="412" customWidth="1"/>
    <col min="1797" max="1797" width="21.140625" style="412" customWidth="1"/>
    <col min="1798" max="2048" width="11.42578125" style="412"/>
    <col min="2049" max="2049" width="16.7109375" style="412" customWidth="1"/>
    <col min="2050" max="2050" width="11.42578125" style="412"/>
    <col min="2051" max="2051" width="37.7109375" style="412" customWidth="1"/>
    <col min="2052" max="2052" width="17.140625" style="412" customWidth="1"/>
    <col min="2053" max="2053" width="21.140625" style="412" customWidth="1"/>
    <col min="2054" max="2304" width="11.42578125" style="412"/>
    <col min="2305" max="2305" width="16.7109375" style="412" customWidth="1"/>
    <col min="2306" max="2306" width="11.42578125" style="412"/>
    <col min="2307" max="2307" width="37.7109375" style="412" customWidth="1"/>
    <col min="2308" max="2308" width="17.140625" style="412" customWidth="1"/>
    <col min="2309" max="2309" width="21.140625" style="412" customWidth="1"/>
    <col min="2310" max="2560" width="11.42578125" style="412"/>
    <col min="2561" max="2561" width="16.7109375" style="412" customWidth="1"/>
    <col min="2562" max="2562" width="11.42578125" style="412"/>
    <col min="2563" max="2563" width="37.7109375" style="412" customWidth="1"/>
    <col min="2564" max="2564" width="17.140625" style="412" customWidth="1"/>
    <col min="2565" max="2565" width="21.140625" style="412" customWidth="1"/>
    <col min="2566" max="2816" width="11.42578125" style="412"/>
    <col min="2817" max="2817" width="16.7109375" style="412" customWidth="1"/>
    <col min="2818" max="2818" width="11.42578125" style="412"/>
    <col min="2819" max="2819" width="37.7109375" style="412" customWidth="1"/>
    <col min="2820" max="2820" width="17.140625" style="412" customWidth="1"/>
    <col min="2821" max="2821" width="21.140625" style="412" customWidth="1"/>
    <col min="2822" max="3072" width="11.42578125" style="412"/>
    <col min="3073" max="3073" width="16.7109375" style="412" customWidth="1"/>
    <col min="3074" max="3074" width="11.42578125" style="412"/>
    <col min="3075" max="3075" width="37.7109375" style="412" customWidth="1"/>
    <col min="3076" max="3076" width="17.140625" style="412" customWidth="1"/>
    <col min="3077" max="3077" width="21.140625" style="412" customWidth="1"/>
    <col min="3078" max="3328" width="11.42578125" style="412"/>
    <col min="3329" max="3329" width="16.7109375" style="412" customWidth="1"/>
    <col min="3330" max="3330" width="11.42578125" style="412"/>
    <col min="3331" max="3331" width="37.7109375" style="412" customWidth="1"/>
    <col min="3332" max="3332" width="17.140625" style="412" customWidth="1"/>
    <col min="3333" max="3333" width="21.140625" style="412" customWidth="1"/>
    <col min="3334" max="3584" width="11.42578125" style="412"/>
    <col min="3585" max="3585" width="16.7109375" style="412" customWidth="1"/>
    <col min="3586" max="3586" width="11.42578125" style="412"/>
    <col min="3587" max="3587" width="37.7109375" style="412" customWidth="1"/>
    <col min="3588" max="3588" width="17.140625" style="412" customWidth="1"/>
    <col min="3589" max="3589" width="21.140625" style="412" customWidth="1"/>
    <col min="3590" max="3840" width="11.42578125" style="412"/>
    <col min="3841" max="3841" width="16.7109375" style="412" customWidth="1"/>
    <col min="3842" max="3842" width="11.42578125" style="412"/>
    <col min="3843" max="3843" width="37.7109375" style="412" customWidth="1"/>
    <col min="3844" max="3844" width="17.140625" style="412" customWidth="1"/>
    <col min="3845" max="3845" width="21.140625" style="412" customWidth="1"/>
    <col min="3846" max="4096" width="11.42578125" style="412"/>
    <col min="4097" max="4097" width="16.7109375" style="412" customWidth="1"/>
    <col min="4098" max="4098" width="11.42578125" style="412"/>
    <col min="4099" max="4099" width="37.7109375" style="412" customWidth="1"/>
    <col min="4100" max="4100" width="17.140625" style="412" customWidth="1"/>
    <col min="4101" max="4101" width="21.140625" style="412" customWidth="1"/>
    <col min="4102" max="4352" width="11.42578125" style="412"/>
    <col min="4353" max="4353" width="16.7109375" style="412" customWidth="1"/>
    <col min="4354" max="4354" width="11.42578125" style="412"/>
    <col min="4355" max="4355" width="37.7109375" style="412" customWidth="1"/>
    <col min="4356" max="4356" width="17.140625" style="412" customWidth="1"/>
    <col min="4357" max="4357" width="21.140625" style="412" customWidth="1"/>
    <col min="4358" max="4608" width="11.42578125" style="412"/>
    <col min="4609" max="4609" width="16.7109375" style="412" customWidth="1"/>
    <col min="4610" max="4610" width="11.42578125" style="412"/>
    <col min="4611" max="4611" width="37.7109375" style="412" customWidth="1"/>
    <col min="4612" max="4612" width="17.140625" style="412" customWidth="1"/>
    <col min="4613" max="4613" width="21.140625" style="412" customWidth="1"/>
    <col min="4614" max="4864" width="11.42578125" style="412"/>
    <col min="4865" max="4865" width="16.7109375" style="412" customWidth="1"/>
    <col min="4866" max="4866" width="11.42578125" style="412"/>
    <col min="4867" max="4867" width="37.7109375" style="412" customWidth="1"/>
    <col min="4868" max="4868" width="17.140625" style="412" customWidth="1"/>
    <col min="4869" max="4869" width="21.140625" style="412" customWidth="1"/>
    <col min="4870" max="5120" width="11.42578125" style="412"/>
    <col min="5121" max="5121" width="16.7109375" style="412" customWidth="1"/>
    <col min="5122" max="5122" width="11.42578125" style="412"/>
    <col min="5123" max="5123" width="37.7109375" style="412" customWidth="1"/>
    <col min="5124" max="5124" width="17.140625" style="412" customWidth="1"/>
    <col min="5125" max="5125" width="21.140625" style="412" customWidth="1"/>
    <col min="5126" max="5376" width="11.42578125" style="412"/>
    <col min="5377" max="5377" width="16.7109375" style="412" customWidth="1"/>
    <col min="5378" max="5378" width="11.42578125" style="412"/>
    <col min="5379" max="5379" width="37.7109375" style="412" customWidth="1"/>
    <col min="5380" max="5380" width="17.140625" style="412" customWidth="1"/>
    <col min="5381" max="5381" width="21.140625" style="412" customWidth="1"/>
    <col min="5382" max="5632" width="11.42578125" style="412"/>
    <col min="5633" max="5633" width="16.7109375" style="412" customWidth="1"/>
    <col min="5634" max="5634" width="11.42578125" style="412"/>
    <col min="5635" max="5635" width="37.7109375" style="412" customWidth="1"/>
    <col min="5636" max="5636" width="17.140625" style="412" customWidth="1"/>
    <col min="5637" max="5637" width="21.140625" style="412" customWidth="1"/>
    <col min="5638" max="5888" width="11.42578125" style="412"/>
    <col min="5889" max="5889" width="16.7109375" style="412" customWidth="1"/>
    <col min="5890" max="5890" width="11.42578125" style="412"/>
    <col min="5891" max="5891" width="37.7109375" style="412" customWidth="1"/>
    <col min="5892" max="5892" width="17.140625" style="412" customWidth="1"/>
    <col min="5893" max="5893" width="21.140625" style="412" customWidth="1"/>
    <col min="5894" max="6144" width="11.42578125" style="412"/>
    <col min="6145" max="6145" width="16.7109375" style="412" customWidth="1"/>
    <col min="6146" max="6146" width="11.42578125" style="412"/>
    <col min="6147" max="6147" width="37.7109375" style="412" customWidth="1"/>
    <col min="6148" max="6148" width="17.140625" style="412" customWidth="1"/>
    <col min="6149" max="6149" width="21.140625" style="412" customWidth="1"/>
    <col min="6150" max="6400" width="11.42578125" style="412"/>
    <col min="6401" max="6401" width="16.7109375" style="412" customWidth="1"/>
    <col min="6402" max="6402" width="11.42578125" style="412"/>
    <col min="6403" max="6403" width="37.7109375" style="412" customWidth="1"/>
    <col min="6404" max="6404" width="17.140625" style="412" customWidth="1"/>
    <col min="6405" max="6405" width="21.140625" style="412" customWidth="1"/>
    <col min="6406" max="6656" width="11.42578125" style="412"/>
    <col min="6657" max="6657" width="16.7109375" style="412" customWidth="1"/>
    <col min="6658" max="6658" width="11.42578125" style="412"/>
    <col min="6659" max="6659" width="37.7109375" style="412" customWidth="1"/>
    <col min="6660" max="6660" width="17.140625" style="412" customWidth="1"/>
    <col min="6661" max="6661" width="21.140625" style="412" customWidth="1"/>
    <col min="6662" max="6912" width="11.42578125" style="412"/>
    <col min="6913" max="6913" width="16.7109375" style="412" customWidth="1"/>
    <col min="6914" max="6914" width="11.42578125" style="412"/>
    <col min="6915" max="6915" width="37.7109375" style="412" customWidth="1"/>
    <col min="6916" max="6916" width="17.140625" style="412" customWidth="1"/>
    <col min="6917" max="6917" width="21.140625" style="412" customWidth="1"/>
    <col min="6918" max="7168" width="11.42578125" style="412"/>
    <col min="7169" max="7169" width="16.7109375" style="412" customWidth="1"/>
    <col min="7170" max="7170" width="11.42578125" style="412"/>
    <col min="7171" max="7171" width="37.7109375" style="412" customWidth="1"/>
    <col min="7172" max="7172" width="17.140625" style="412" customWidth="1"/>
    <col min="7173" max="7173" width="21.140625" style="412" customWidth="1"/>
    <col min="7174" max="7424" width="11.42578125" style="412"/>
    <col min="7425" max="7425" width="16.7109375" style="412" customWidth="1"/>
    <col min="7426" max="7426" width="11.42578125" style="412"/>
    <col min="7427" max="7427" width="37.7109375" style="412" customWidth="1"/>
    <col min="7428" max="7428" width="17.140625" style="412" customWidth="1"/>
    <col min="7429" max="7429" width="21.140625" style="412" customWidth="1"/>
    <col min="7430" max="7680" width="11.42578125" style="412"/>
    <col min="7681" max="7681" width="16.7109375" style="412" customWidth="1"/>
    <col min="7682" max="7682" width="11.42578125" style="412"/>
    <col min="7683" max="7683" width="37.7109375" style="412" customWidth="1"/>
    <col min="7684" max="7684" width="17.140625" style="412" customWidth="1"/>
    <col min="7685" max="7685" width="21.140625" style="412" customWidth="1"/>
    <col min="7686" max="7936" width="11.42578125" style="412"/>
    <col min="7937" max="7937" width="16.7109375" style="412" customWidth="1"/>
    <col min="7938" max="7938" width="11.42578125" style="412"/>
    <col min="7939" max="7939" width="37.7109375" style="412" customWidth="1"/>
    <col min="7940" max="7940" width="17.140625" style="412" customWidth="1"/>
    <col min="7941" max="7941" width="21.140625" style="412" customWidth="1"/>
    <col min="7942" max="8192" width="11.42578125" style="412"/>
    <col min="8193" max="8193" width="16.7109375" style="412" customWidth="1"/>
    <col min="8194" max="8194" width="11.42578125" style="412"/>
    <col min="8195" max="8195" width="37.7109375" style="412" customWidth="1"/>
    <col min="8196" max="8196" width="17.140625" style="412" customWidth="1"/>
    <col min="8197" max="8197" width="21.140625" style="412" customWidth="1"/>
    <col min="8198" max="8448" width="11.42578125" style="412"/>
    <col min="8449" max="8449" width="16.7109375" style="412" customWidth="1"/>
    <col min="8450" max="8450" width="11.42578125" style="412"/>
    <col min="8451" max="8451" width="37.7109375" style="412" customWidth="1"/>
    <col min="8452" max="8452" width="17.140625" style="412" customWidth="1"/>
    <col min="8453" max="8453" width="21.140625" style="412" customWidth="1"/>
    <col min="8454" max="8704" width="11.42578125" style="412"/>
    <col min="8705" max="8705" width="16.7109375" style="412" customWidth="1"/>
    <col min="8706" max="8706" width="11.42578125" style="412"/>
    <col min="8707" max="8707" width="37.7109375" style="412" customWidth="1"/>
    <col min="8708" max="8708" width="17.140625" style="412" customWidth="1"/>
    <col min="8709" max="8709" width="21.140625" style="412" customWidth="1"/>
    <col min="8710" max="8960" width="11.42578125" style="412"/>
    <col min="8961" max="8961" width="16.7109375" style="412" customWidth="1"/>
    <col min="8962" max="8962" width="11.42578125" style="412"/>
    <col min="8963" max="8963" width="37.7109375" style="412" customWidth="1"/>
    <col min="8964" max="8964" width="17.140625" style="412" customWidth="1"/>
    <col min="8965" max="8965" width="21.140625" style="412" customWidth="1"/>
    <col min="8966" max="9216" width="11.42578125" style="412"/>
    <col min="9217" max="9217" width="16.7109375" style="412" customWidth="1"/>
    <col min="9218" max="9218" width="11.42578125" style="412"/>
    <col min="9219" max="9219" width="37.7109375" style="412" customWidth="1"/>
    <col min="9220" max="9220" width="17.140625" style="412" customWidth="1"/>
    <col min="9221" max="9221" width="21.140625" style="412" customWidth="1"/>
    <col min="9222" max="9472" width="11.42578125" style="412"/>
    <col min="9473" max="9473" width="16.7109375" style="412" customWidth="1"/>
    <col min="9474" max="9474" width="11.42578125" style="412"/>
    <col min="9475" max="9475" width="37.7109375" style="412" customWidth="1"/>
    <col min="9476" max="9476" width="17.140625" style="412" customWidth="1"/>
    <col min="9477" max="9477" width="21.140625" style="412" customWidth="1"/>
    <col min="9478" max="9728" width="11.42578125" style="412"/>
    <col min="9729" max="9729" width="16.7109375" style="412" customWidth="1"/>
    <col min="9730" max="9730" width="11.42578125" style="412"/>
    <col min="9731" max="9731" width="37.7109375" style="412" customWidth="1"/>
    <col min="9732" max="9732" width="17.140625" style="412" customWidth="1"/>
    <col min="9733" max="9733" width="21.140625" style="412" customWidth="1"/>
    <col min="9734" max="9984" width="11.42578125" style="412"/>
    <col min="9985" max="9985" width="16.7109375" style="412" customWidth="1"/>
    <col min="9986" max="9986" width="11.42578125" style="412"/>
    <col min="9987" max="9987" width="37.7109375" style="412" customWidth="1"/>
    <col min="9988" max="9988" width="17.140625" style="412" customWidth="1"/>
    <col min="9989" max="9989" width="21.140625" style="412" customWidth="1"/>
    <col min="9990" max="10240" width="11.42578125" style="412"/>
    <col min="10241" max="10241" width="16.7109375" style="412" customWidth="1"/>
    <col min="10242" max="10242" width="11.42578125" style="412"/>
    <col min="10243" max="10243" width="37.7109375" style="412" customWidth="1"/>
    <col min="10244" max="10244" width="17.140625" style="412" customWidth="1"/>
    <col min="10245" max="10245" width="21.140625" style="412" customWidth="1"/>
    <col min="10246" max="10496" width="11.42578125" style="412"/>
    <col min="10497" max="10497" width="16.7109375" style="412" customWidth="1"/>
    <col min="10498" max="10498" width="11.42578125" style="412"/>
    <col min="10499" max="10499" width="37.7109375" style="412" customWidth="1"/>
    <col min="10500" max="10500" width="17.140625" style="412" customWidth="1"/>
    <col min="10501" max="10501" width="21.140625" style="412" customWidth="1"/>
    <col min="10502" max="10752" width="11.42578125" style="412"/>
    <col min="10753" max="10753" width="16.7109375" style="412" customWidth="1"/>
    <col min="10754" max="10754" width="11.42578125" style="412"/>
    <col min="10755" max="10755" width="37.7109375" style="412" customWidth="1"/>
    <col min="10756" max="10756" width="17.140625" style="412" customWidth="1"/>
    <col min="10757" max="10757" width="21.140625" style="412" customWidth="1"/>
    <col min="10758" max="11008" width="11.42578125" style="412"/>
    <col min="11009" max="11009" width="16.7109375" style="412" customWidth="1"/>
    <col min="11010" max="11010" width="11.42578125" style="412"/>
    <col min="11011" max="11011" width="37.7109375" style="412" customWidth="1"/>
    <col min="11012" max="11012" width="17.140625" style="412" customWidth="1"/>
    <col min="11013" max="11013" width="21.140625" style="412" customWidth="1"/>
    <col min="11014" max="11264" width="11.42578125" style="412"/>
    <col min="11265" max="11265" width="16.7109375" style="412" customWidth="1"/>
    <col min="11266" max="11266" width="11.42578125" style="412"/>
    <col min="11267" max="11267" width="37.7109375" style="412" customWidth="1"/>
    <col min="11268" max="11268" width="17.140625" style="412" customWidth="1"/>
    <col min="11269" max="11269" width="21.140625" style="412" customWidth="1"/>
    <col min="11270" max="11520" width="11.42578125" style="412"/>
    <col min="11521" max="11521" width="16.7109375" style="412" customWidth="1"/>
    <col min="11522" max="11522" width="11.42578125" style="412"/>
    <col min="11523" max="11523" width="37.7109375" style="412" customWidth="1"/>
    <col min="11524" max="11524" width="17.140625" style="412" customWidth="1"/>
    <col min="11525" max="11525" width="21.140625" style="412" customWidth="1"/>
    <col min="11526" max="11776" width="11.42578125" style="412"/>
    <col min="11777" max="11777" width="16.7109375" style="412" customWidth="1"/>
    <col min="11778" max="11778" width="11.42578125" style="412"/>
    <col min="11779" max="11779" width="37.7109375" style="412" customWidth="1"/>
    <col min="11780" max="11780" width="17.140625" style="412" customWidth="1"/>
    <col min="11781" max="11781" width="21.140625" style="412" customWidth="1"/>
    <col min="11782" max="12032" width="11.42578125" style="412"/>
    <col min="12033" max="12033" width="16.7109375" style="412" customWidth="1"/>
    <col min="12034" max="12034" width="11.42578125" style="412"/>
    <col min="12035" max="12035" width="37.7109375" style="412" customWidth="1"/>
    <col min="12036" max="12036" width="17.140625" style="412" customWidth="1"/>
    <col min="12037" max="12037" width="21.140625" style="412" customWidth="1"/>
    <col min="12038" max="12288" width="11.42578125" style="412"/>
    <col min="12289" max="12289" width="16.7109375" style="412" customWidth="1"/>
    <col min="12290" max="12290" width="11.42578125" style="412"/>
    <col min="12291" max="12291" width="37.7109375" style="412" customWidth="1"/>
    <col min="12292" max="12292" width="17.140625" style="412" customWidth="1"/>
    <col min="12293" max="12293" width="21.140625" style="412" customWidth="1"/>
    <col min="12294" max="12544" width="11.42578125" style="412"/>
    <col min="12545" max="12545" width="16.7109375" style="412" customWidth="1"/>
    <col min="12546" max="12546" width="11.42578125" style="412"/>
    <col min="12547" max="12547" width="37.7109375" style="412" customWidth="1"/>
    <col min="12548" max="12548" width="17.140625" style="412" customWidth="1"/>
    <col min="12549" max="12549" width="21.140625" style="412" customWidth="1"/>
    <col min="12550" max="12800" width="11.42578125" style="412"/>
    <col min="12801" max="12801" width="16.7109375" style="412" customWidth="1"/>
    <col min="12802" max="12802" width="11.42578125" style="412"/>
    <col min="12803" max="12803" width="37.7109375" style="412" customWidth="1"/>
    <col min="12804" max="12804" width="17.140625" style="412" customWidth="1"/>
    <col min="12805" max="12805" width="21.140625" style="412" customWidth="1"/>
    <col min="12806" max="13056" width="11.42578125" style="412"/>
    <col min="13057" max="13057" width="16.7109375" style="412" customWidth="1"/>
    <col min="13058" max="13058" width="11.42578125" style="412"/>
    <col min="13059" max="13059" width="37.7109375" style="412" customWidth="1"/>
    <col min="13060" max="13060" width="17.140625" style="412" customWidth="1"/>
    <col min="13061" max="13061" width="21.140625" style="412" customWidth="1"/>
    <col min="13062" max="13312" width="11.42578125" style="412"/>
    <col min="13313" max="13313" width="16.7109375" style="412" customWidth="1"/>
    <col min="13314" max="13314" width="11.42578125" style="412"/>
    <col min="13315" max="13315" width="37.7109375" style="412" customWidth="1"/>
    <col min="13316" max="13316" width="17.140625" style="412" customWidth="1"/>
    <col min="13317" max="13317" width="21.140625" style="412" customWidth="1"/>
    <col min="13318" max="13568" width="11.42578125" style="412"/>
    <col min="13569" max="13569" width="16.7109375" style="412" customWidth="1"/>
    <col min="13570" max="13570" width="11.42578125" style="412"/>
    <col min="13571" max="13571" width="37.7109375" style="412" customWidth="1"/>
    <col min="13572" max="13572" width="17.140625" style="412" customWidth="1"/>
    <col min="13573" max="13573" width="21.140625" style="412" customWidth="1"/>
    <col min="13574" max="13824" width="11.42578125" style="412"/>
    <col min="13825" max="13825" width="16.7109375" style="412" customWidth="1"/>
    <col min="13826" max="13826" width="11.42578125" style="412"/>
    <col min="13827" max="13827" width="37.7109375" style="412" customWidth="1"/>
    <col min="13828" max="13828" width="17.140625" style="412" customWidth="1"/>
    <col min="13829" max="13829" width="21.140625" style="412" customWidth="1"/>
    <col min="13830" max="14080" width="11.42578125" style="412"/>
    <col min="14081" max="14081" width="16.7109375" style="412" customWidth="1"/>
    <col min="14082" max="14082" width="11.42578125" style="412"/>
    <col min="14083" max="14083" width="37.7109375" style="412" customWidth="1"/>
    <col min="14084" max="14084" width="17.140625" style="412" customWidth="1"/>
    <col min="14085" max="14085" width="21.140625" style="412" customWidth="1"/>
    <col min="14086" max="14336" width="11.42578125" style="412"/>
    <col min="14337" max="14337" width="16.7109375" style="412" customWidth="1"/>
    <col min="14338" max="14338" width="11.42578125" style="412"/>
    <col min="14339" max="14339" width="37.7109375" style="412" customWidth="1"/>
    <col min="14340" max="14340" width="17.140625" style="412" customWidth="1"/>
    <col min="14341" max="14341" width="21.140625" style="412" customWidth="1"/>
    <col min="14342" max="14592" width="11.42578125" style="412"/>
    <col min="14593" max="14593" width="16.7109375" style="412" customWidth="1"/>
    <col min="14594" max="14594" width="11.42578125" style="412"/>
    <col min="14595" max="14595" width="37.7109375" style="412" customWidth="1"/>
    <col min="14596" max="14596" width="17.140625" style="412" customWidth="1"/>
    <col min="14597" max="14597" width="21.140625" style="412" customWidth="1"/>
    <col min="14598" max="14848" width="11.42578125" style="412"/>
    <col min="14849" max="14849" width="16.7109375" style="412" customWidth="1"/>
    <col min="14850" max="14850" width="11.42578125" style="412"/>
    <col min="14851" max="14851" width="37.7109375" style="412" customWidth="1"/>
    <col min="14852" max="14852" width="17.140625" style="412" customWidth="1"/>
    <col min="14853" max="14853" width="21.140625" style="412" customWidth="1"/>
    <col min="14854" max="15104" width="11.42578125" style="412"/>
    <col min="15105" max="15105" width="16.7109375" style="412" customWidth="1"/>
    <col min="15106" max="15106" width="11.42578125" style="412"/>
    <col min="15107" max="15107" width="37.7109375" style="412" customWidth="1"/>
    <col min="15108" max="15108" width="17.140625" style="412" customWidth="1"/>
    <col min="15109" max="15109" width="21.140625" style="412" customWidth="1"/>
    <col min="15110" max="15360" width="11.42578125" style="412"/>
    <col min="15361" max="15361" width="16.7109375" style="412" customWidth="1"/>
    <col min="15362" max="15362" width="11.42578125" style="412"/>
    <col min="15363" max="15363" width="37.7109375" style="412" customWidth="1"/>
    <col min="15364" max="15364" width="17.140625" style="412" customWidth="1"/>
    <col min="15365" max="15365" width="21.140625" style="412" customWidth="1"/>
    <col min="15366" max="15616" width="11.42578125" style="412"/>
    <col min="15617" max="15617" width="16.7109375" style="412" customWidth="1"/>
    <col min="15618" max="15618" width="11.42578125" style="412"/>
    <col min="15619" max="15619" width="37.7109375" style="412" customWidth="1"/>
    <col min="15620" max="15620" width="17.140625" style="412" customWidth="1"/>
    <col min="15621" max="15621" width="21.140625" style="412" customWidth="1"/>
    <col min="15622" max="15872" width="11.42578125" style="412"/>
    <col min="15873" max="15873" width="16.7109375" style="412" customWidth="1"/>
    <col min="15874" max="15874" width="11.42578125" style="412"/>
    <col min="15875" max="15875" width="37.7109375" style="412" customWidth="1"/>
    <col min="15876" max="15876" width="17.140625" style="412" customWidth="1"/>
    <col min="15877" max="15877" width="21.140625" style="412" customWidth="1"/>
    <col min="15878" max="16128" width="11.42578125" style="412"/>
    <col min="16129" max="16129" width="16.7109375" style="412" customWidth="1"/>
    <col min="16130" max="16130" width="11.42578125" style="412"/>
    <col min="16131" max="16131" width="37.7109375" style="412" customWidth="1"/>
    <col min="16132" max="16132" width="17.140625" style="412" customWidth="1"/>
    <col min="16133" max="16133" width="21.140625" style="412" customWidth="1"/>
    <col min="16134" max="16384" width="11.42578125" style="412"/>
  </cols>
  <sheetData>
    <row r="1" spans="1:10" ht="12.75" customHeight="1" x14ac:dyDescent="0.2">
      <c r="A1" s="1079" t="s">
        <v>334</v>
      </c>
      <c r="B1" s="1080"/>
      <c r="C1" s="1080"/>
      <c r="D1" s="1080"/>
      <c r="E1" s="1080"/>
      <c r="F1" s="1080"/>
      <c r="G1" s="1080"/>
      <c r="H1" s="1080"/>
      <c r="I1" s="1081"/>
    </row>
    <row r="2" spans="1:10" ht="12.75" customHeight="1" thickBot="1" x14ac:dyDescent="0.25">
      <c r="A2" s="459" t="s">
        <v>335</v>
      </c>
      <c r="B2" s="460" t="s">
        <v>336</v>
      </c>
      <c r="C2" s="460" t="s">
        <v>337</v>
      </c>
      <c r="D2" s="460" t="s">
        <v>338</v>
      </c>
      <c r="E2" s="460" t="s">
        <v>339</v>
      </c>
      <c r="F2" s="460" t="s">
        <v>340</v>
      </c>
      <c r="G2" s="460" t="s">
        <v>341</v>
      </c>
      <c r="H2" s="461" t="s">
        <v>342</v>
      </c>
      <c r="I2" s="462" t="s">
        <v>374</v>
      </c>
    </row>
    <row r="3" spans="1:10" ht="12.75" customHeight="1" x14ac:dyDescent="0.2">
      <c r="A3" s="1082" t="s">
        <v>343</v>
      </c>
      <c r="B3" s="413"/>
      <c r="C3" s="1084" t="s">
        <v>344</v>
      </c>
      <c r="D3" s="413"/>
      <c r="E3" s="414" t="s">
        <v>345</v>
      </c>
      <c r="F3" s="413">
        <v>45</v>
      </c>
      <c r="G3" s="415">
        <v>10</v>
      </c>
      <c r="H3" s="416" t="s">
        <v>346</v>
      </c>
      <c r="I3" s="1070">
        <v>15</v>
      </c>
      <c r="J3" s="417">
        <f>+F3*17000</f>
        <v>765000</v>
      </c>
    </row>
    <row r="4" spans="1:10" ht="12.75" customHeight="1" thickBot="1" x14ac:dyDescent="0.25">
      <c r="A4" s="1083"/>
      <c r="B4" s="418"/>
      <c r="C4" s="1085"/>
      <c r="D4" s="418"/>
      <c r="E4" s="419" t="s">
        <v>347</v>
      </c>
      <c r="F4" s="418">
        <v>45</v>
      </c>
      <c r="G4" s="420">
        <v>10</v>
      </c>
      <c r="H4" s="421" t="s">
        <v>346</v>
      </c>
      <c r="I4" s="1071"/>
      <c r="J4" s="417">
        <f>+F4*17000</f>
        <v>765000</v>
      </c>
    </row>
    <row r="5" spans="1:10" ht="12.75" customHeight="1" thickBot="1" x14ac:dyDescent="0.25">
      <c r="A5" s="1086" t="s">
        <v>199</v>
      </c>
      <c r="B5" s="1087"/>
      <c r="C5" s="1087"/>
      <c r="D5" s="1087"/>
      <c r="E5" s="1087"/>
      <c r="F5" s="463">
        <f>SUM(F3:F4)</f>
        <v>90</v>
      </c>
      <c r="G5" s="422"/>
      <c r="H5" s="423"/>
      <c r="I5" s="424"/>
      <c r="J5" s="417"/>
    </row>
    <row r="6" spans="1:10" ht="12.75" customHeight="1" x14ac:dyDescent="0.2">
      <c r="A6" s="425" t="s">
        <v>348</v>
      </c>
      <c r="B6" s="413"/>
      <c r="C6" s="426" t="s">
        <v>349</v>
      </c>
      <c r="D6" s="413"/>
      <c r="E6" s="414" t="s">
        <v>350</v>
      </c>
      <c r="F6" s="426">
        <v>15</v>
      </c>
      <c r="G6" s="415">
        <v>10</v>
      </c>
      <c r="H6" s="416" t="s">
        <v>346</v>
      </c>
      <c r="I6" s="1070">
        <v>15</v>
      </c>
      <c r="J6" s="417">
        <f>+F6*17000</f>
        <v>255000</v>
      </c>
    </row>
    <row r="7" spans="1:10" ht="12.75" customHeight="1" thickBot="1" x14ac:dyDescent="0.25">
      <c r="A7" s="427" t="s">
        <v>318</v>
      </c>
      <c r="B7" s="418"/>
      <c r="C7" s="428" t="s">
        <v>351</v>
      </c>
      <c r="D7" s="418"/>
      <c r="E7" s="419" t="s">
        <v>352</v>
      </c>
      <c r="F7" s="428">
        <v>45</v>
      </c>
      <c r="G7" s="420"/>
      <c r="H7" s="421" t="s">
        <v>346</v>
      </c>
      <c r="I7" s="1071"/>
      <c r="J7" s="417">
        <f>+F7*17000</f>
        <v>765000</v>
      </c>
    </row>
    <row r="8" spans="1:10" ht="12.75" customHeight="1" x14ac:dyDescent="0.2">
      <c r="A8" s="1073" t="s">
        <v>199</v>
      </c>
      <c r="B8" s="1074"/>
      <c r="C8" s="1074"/>
      <c r="D8" s="1074"/>
      <c r="E8" s="1074"/>
      <c r="F8" s="464">
        <f>SUM(F6:F7)</f>
        <v>60</v>
      </c>
      <c r="G8" s="429"/>
      <c r="H8" s="429"/>
      <c r="I8" s="430"/>
      <c r="J8" s="417"/>
    </row>
    <row r="9" spans="1:10" ht="12.75" customHeight="1" thickBot="1" x14ac:dyDescent="0.25">
      <c r="A9" s="1075" t="s">
        <v>353</v>
      </c>
      <c r="B9" s="1076"/>
      <c r="C9" s="1076"/>
      <c r="D9" s="1076"/>
      <c r="E9" s="1076"/>
      <c r="F9" s="465">
        <f>+F5+F8</f>
        <v>150</v>
      </c>
      <c r="G9" s="431"/>
      <c r="H9" s="431"/>
      <c r="I9" s="432"/>
      <c r="J9" s="417"/>
    </row>
    <row r="10" spans="1:10" ht="12.75" customHeight="1" x14ac:dyDescent="0.2">
      <c r="A10" s="1077" t="s">
        <v>354</v>
      </c>
      <c r="B10" s="413"/>
      <c r="C10" s="426" t="s">
        <v>355</v>
      </c>
      <c r="D10" s="413"/>
      <c r="E10" s="433" t="s">
        <v>356</v>
      </c>
      <c r="F10" s="413">
        <v>40</v>
      </c>
      <c r="G10" s="415"/>
      <c r="H10" s="434" t="s">
        <v>346</v>
      </c>
      <c r="I10" s="1070">
        <v>15</v>
      </c>
      <c r="J10" s="417">
        <f t="shared" ref="J10:J14" si="0">+F10*17000</f>
        <v>680000</v>
      </c>
    </row>
    <row r="11" spans="1:10" ht="12.75" customHeight="1" x14ac:dyDescent="0.2">
      <c r="A11" s="1078"/>
      <c r="B11" s="435"/>
      <c r="C11" s="436" t="s">
        <v>355</v>
      </c>
      <c r="D11" s="435"/>
      <c r="E11" s="437" t="s">
        <v>357</v>
      </c>
      <c r="F11" s="435">
        <v>40</v>
      </c>
      <c r="G11" s="438"/>
      <c r="H11" s="439" t="s">
        <v>346</v>
      </c>
      <c r="I11" s="1069"/>
      <c r="J11" s="417">
        <f t="shared" si="0"/>
        <v>680000</v>
      </c>
    </row>
    <row r="12" spans="1:10" ht="12.75" customHeight="1" x14ac:dyDescent="0.2">
      <c r="A12" s="1078"/>
      <c r="B12" s="435"/>
      <c r="C12" s="436" t="s">
        <v>355</v>
      </c>
      <c r="D12" s="435"/>
      <c r="E12" s="437" t="s">
        <v>358</v>
      </c>
      <c r="F12" s="435">
        <v>80</v>
      </c>
      <c r="G12" s="438"/>
      <c r="H12" s="439" t="s">
        <v>346</v>
      </c>
      <c r="I12" s="1067">
        <v>15</v>
      </c>
      <c r="J12" s="417">
        <f t="shared" si="0"/>
        <v>1360000</v>
      </c>
    </row>
    <row r="13" spans="1:10" ht="12.75" customHeight="1" x14ac:dyDescent="0.2">
      <c r="A13" s="1078"/>
      <c r="B13" s="435"/>
      <c r="C13" s="436" t="s">
        <v>355</v>
      </c>
      <c r="D13" s="435"/>
      <c r="E13" s="437" t="s">
        <v>356</v>
      </c>
      <c r="F13" s="435">
        <v>20</v>
      </c>
      <c r="G13" s="438"/>
      <c r="H13" s="439" t="s">
        <v>346</v>
      </c>
      <c r="I13" s="1069"/>
      <c r="J13" s="417">
        <f t="shared" si="0"/>
        <v>340000</v>
      </c>
    </row>
    <row r="14" spans="1:10" ht="12.75" customHeight="1" x14ac:dyDescent="0.2">
      <c r="A14" s="1066" t="s">
        <v>359</v>
      </c>
      <c r="B14" s="435"/>
      <c r="C14" s="436" t="s">
        <v>360</v>
      </c>
      <c r="D14" s="435"/>
      <c r="E14" s="437" t="s">
        <v>361</v>
      </c>
      <c r="F14" s="435">
        <v>45</v>
      </c>
      <c r="G14" s="438"/>
      <c r="H14" s="439" t="s">
        <v>346</v>
      </c>
      <c r="I14" s="1067">
        <v>15</v>
      </c>
      <c r="J14" s="417">
        <f t="shared" si="0"/>
        <v>765000</v>
      </c>
    </row>
    <row r="15" spans="1:10" ht="12.75" customHeight="1" x14ac:dyDescent="0.2">
      <c r="A15" s="1066"/>
      <c r="B15" s="435"/>
      <c r="C15" s="436" t="s">
        <v>360</v>
      </c>
      <c r="D15" s="435"/>
      <c r="E15" s="437" t="s">
        <v>362</v>
      </c>
      <c r="F15" s="435">
        <v>30</v>
      </c>
      <c r="G15" s="438"/>
      <c r="H15" s="439" t="s">
        <v>346</v>
      </c>
      <c r="I15" s="1069"/>
      <c r="J15" s="417">
        <f>+F15*17000</f>
        <v>510000</v>
      </c>
    </row>
    <row r="16" spans="1:10" ht="12.75" customHeight="1" x14ac:dyDescent="0.2">
      <c r="A16" s="1066" t="s">
        <v>363</v>
      </c>
      <c r="B16" s="435"/>
      <c r="C16" s="435" t="s">
        <v>364</v>
      </c>
      <c r="D16" s="435"/>
      <c r="E16" s="437" t="s">
        <v>356</v>
      </c>
      <c r="F16" s="435">
        <v>15</v>
      </c>
      <c r="G16" s="438"/>
      <c r="H16" s="439" t="s">
        <v>365</v>
      </c>
      <c r="I16" s="1067">
        <v>15</v>
      </c>
    </row>
    <row r="17" spans="1:11" ht="12.75" customHeight="1" x14ac:dyDescent="0.2">
      <c r="A17" s="1066"/>
      <c r="B17" s="435"/>
      <c r="C17" s="435" t="s">
        <v>364</v>
      </c>
      <c r="D17" s="435"/>
      <c r="E17" s="437" t="s">
        <v>356</v>
      </c>
      <c r="F17" s="435">
        <v>10</v>
      </c>
      <c r="G17" s="438"/>
      <c r="H17" s="439" t="s">
        <v>365</v>
      </c>
      <c r="I17" s="1068"/>
    </row>
    <row r="18" spans="1:11" ht="12.75" customHeight="1" x14ac:dyDescent="0.2">
      <c r="A18" s="1066"/>
      <c r="B18" s="435"/>
      <c r="C18" s="435" t="s">
        <v>366</v>
      </c>
      <c r="D18" s="435"/>
      <c r="E18" s="437" t="s">
        <v>356</v>
      </c>
      <c r="F18" s="435">
        <v>18</v>
      </c>
      <c r="G18" s="438"/>
      <c r="H18" s="439" t="s">
        <v>365</v>
      </c>
      <c r="I18" s="1068"/>
    </row>
    <row r="19" spans="1:11" ht="12.75" customHeight="1" x14ac:dyDescent="0.2">
      <c r="A19" s="1066"/>
      <c r="B19" s="435"/>
      <c r="C19" s="435" t="s">
        <v>366</v>
      </c>
      <c r="D19" s="435"/>
      <c r="E19" s="437" t="s">
        <v>356</v>
      </c>
      <c r="F19" s="435">
        <v>12</v>
      </c>
      <c r="G19" s="438"/>
      <c r="H19" s="439" t="s">
        <v>365</v>
      </c>
      <c r="I19" s="1069"/>
    </row>
    <row r="20" spans="1:11" ht="12.75" customHeight="1" x14ac:dyDescent="0.2">
      <c r="A20" s="1072" t="s">
        <v>367</v>
      </c>
      <c r="B20" s="438"/>
      <c r="C20" s="438" t="s">
        <v>368</v>
      </c>
      <c r="D20" s="438"/>
      <c r="E20" s="439" t="s">
        <v>369</v>
      </c>
      <c r="F20" s="438">
        <v>120</v>
      </c>
      <c r="G20" s="438"/>
      <c r="H20" s="439" t="s">
        <v>365</v>
      </c>
      <c r="I20" s="1067">
        <v>20</v>
      </c>
    </row>
    <row r="21" spans="1:11" ht="12.75" customHeight="1" x14ac:dyDescent="0.2">
      <c r="A21" s="1072"/>
      <c r="B21" s="438"/>
      <c r="C21" s="438" t="s">
        <v>368</v>
      </c>
      <c r="D21" s="438"/>
      <c r="E21" s="439" t="s">
        <v>356</v>
      </c>
      <c r="F21" s="438">
        <v>20</v>
      </c>
      <c r="G21" s="438"/>
      <c r="H21" s="439" t="s">
        <v>365</v>
      </c>
      <c r="I21" s="1069"/>
    </row>
    <row r="22" spans="1:11" ht="12.75" customHeight="1" thickBot="1" x14ac:dyDescent="0.25">
      <c r="A22" s="440"/>
      <c r="B22" s="420"/>
      <c r="C22" s="420"/>
      <c r="D22" s="420"/>
      <c r="E22" s="466" t="s">
        <v>370</v>
      </c>
      <c r="F22" s="467">
        <f>SUM(F10:F21)</f>
        <v>450</v>
      </c>
      <c r="G22" s="420"/>
      <c r="H22" s="420"/>
      <c r="I22" s="441"/>
    </row>
    <row r="23" spans="1:11" ht="12.75" customHeight="1" thickBot="1" x14ac:dyDescent="0.25">
      <c r="A23" s="442"/>
      <c r="B23" s="443"/>
      <c r="C23" s="443"/>
      <c r="D23" s="443"/>
      <c r="E23" s="468" t="s">
        <v>3</v>
      </c>
      <c r="F23" s="469">
        <f>+F9+F22</f>
        <v>600</v>
      </c>
      <c r="G23" s="443"/>
      <c r="H23" s="443"/>
      <c r="I23" s="444"/>
      <c r="J23" s="445">
        <f>+SUM(J3:J22)</f>
        <v>6885000</v>
      </c>
    </row>
    <row r="25" spans="1:11" ht="12.75" customHeight="1" x14ac:dyDescent="0.2">
      <c r="A25" s="446" t="s">
        <v>300</v>
      </c>
      <c r="E25" s="447"/>
      <c r="F25" s="448" t="s">
        <v>375</v>
      </c>
      <c r="G25" s="449">
        <f>+F9+SUM(F10:F15)</f>
        <v>405</v>
      </c>
      <c r="H25" s="450">
        <f>+G25*17000</f>
        <v>6885000</v>
      </c>
      <c r="I25" s="451" t="s">
        <v>332</v>
      </c>
    </row>
    <row r="26" spans="1:11" ht="12.75" customHeight="1" x14ac:dyDescent="0.2">
      <c r="E26" s="452"/>
      <c r="F26" s="453" t="s">
        <v>333</v>
      </c>
      <c r="G26" s="454">
        <f>+SUM(F16:F21)</f>
        <v>195</v>
      </c>
      <c r="H26" s="455">
        <f>+G26*17000</f>
        <v>3315000</v>
      </c>
      <c r="I26" s="456" t="s">
        <v>332</v>
      </c>
    </row>
    <row r="27" spans="1:11" ht="12.75" customHeight="1" thickBot="1" x14ac:dyDescent="0.25"/>
    <row r="28" spans="1:11" ht="12.75" customHeight="1" thickBot="1" x14ac:dyDescent="0.25">
      <c r="C28" s="1063" t="s">
        <v>334</v>
      </c>
      <c r="D28" s="1064"/>
      <c r="E28" s="1065"/>
    </row>
    <row r="29" spans="1:11" ht="12.75" customHeight="1" thickBot="1" x14ac:dyDescent="0.3">
      <c r="C29" s="276" t="s">
        <v>335</v>
      </c>
      <c r="D29" s="276" t="s">
        <v>371</v>
      </c>
      <c r="E29" s="276" t="s">
        <v>372</v>
      </c>
      <c r="I29" s="457" t="s">
        <v>538</v>
      </c>
      <c r="J29" s="458">
        <f>+'[2]CAMINOS (ajustados)'!I13</f>
        <v>13636707</v>
      </c>
    </row>
    <row r="30" spans="1:11" ht="12.75" customHeight="1" x14ac:dyDescent="0.25">
      <c r="C30" s="277" t="s">
        <v>354</v>
      </c>
      <c r="D30" s="278">
        <v>180</v>
      </c>
      <c r="E30" s="279">
        <v>4</v>
      </c>
      <c r="I30" s="457" t="s">
        <v>539</v>
      </c>
      <c r="J30" s="458">
        <f>+J23</f>
        <v>6885000</v>
      </c>
      <c r="K30" s="412" t="s">
        <v>540</v>
      </c>
    </row>
    <row r="31" spans="1:11" ht="12.75" customHeight="1" x14ac:dyDescent="0.25">
      <c r="C31" s="280" t="s">
        <v>363</v>
      </c>
      <c r="D31" s="281">
        <v>55</v>
      </c>
      <c r="E31" s="275">
        <v>4</v>
      </c>
      <c r="I31" s="457" t="s">
        <v>541</v>
      </c>
      <c r="J31" s="458">
        <f>+J29+J30</f>
        <v>20521707</v>
      </c>
      <c r="K31" s="458">
        <f>62000000*0.3</f>
        <v>18600000</v>
      </c>
    </row>
    <row r="32" spans="1:11" ht="12.75" customHeight="1" x14ac:dyDescent="0.25">
      <c r="C32" s="280" t="s">
        <v>367</v>
      </c>
      <c r="D32" s="282">
        <v>140</v>
      </c>
      <c r="E32" s="275">
        <v>2</v>
      </c>
    </row>
    <row r="33" spans="3:5" ht="12.75" customHeight="1" x14ac:dyDescent="0.25">
      <c r="C33" s="283" t="s">
        <v>318</v>
      </c>
      <c r="D33" s="284">
        <v>45</v>
      </c>
      <c r="E33" s="275">
        <v>1</v>
      </c>
    </row>
    <row r="34" spans="3:5" ht="12.75" customHeight="1" x14ac:dyDescent="0.25">
      <c r="C34" s="283" t="s">
        <v>343</v>
      </c>
      <c r="D34" s="284">
        <v>90</v>
      </c>
      <c r="E34" s="275">
        <v>2</v>
      </c>
    </row>
    <row r="35" spans="3:5" ht="12.75" customHeight="1" x14ac:dyDescent="0.25">
      <c r="C35" s="280" t="s">
        <v>373</v>
      </c>
      <c r="D35" s="284">
        <v>15</v>
      </c>
      <c r="E35" s="285">
        <v>1</v>
      </c>
    </row>
    <row r="36" spans="3:5" ht="12.75" customHeight="1" x14ac:dyDescent="0.25">
      <c r="C36" s="280" t="s">
        <v>359</v>
      </c>
      <c r="D36" s="286">
        <v>75</v>
      </c>
      <c r="E36" s="287">
        <v>2</v>
      </c>
    </row>
    <row r="37" spans="3:5" ht="12.75" customHeight="1" thickBot="1" x14ac:dyDescent="0.3">
      <c r="C37" s="288" t="s">
        <v>3</v>
      </c>
      <c r="D37" s="289">
        <f>SUM(D30:D36)</f>
        <v>600</v>
      </c>
      <c r="E37" s="290">
        <f>SUM(E30:E36)</f>
        <v>16</v>
      </c>
    </row>
  </sheetData>
  <mergeCells count="18">
    <mergeCell ref="A1:I1"/>
    <mergeCell ref="A3:A4"/>
    <mergeCell ref="C3:C4"/>
    <mergeCell ref="I3:I4"/>
    <mergeCell ref="A5:E5"/>
    <mergeCell ref="C28:E28"/>
    <mergeCell ref="A16:A19"/>
    <mergeCell ref="I16:I19"/>
    <mergeCell ref="I6:I7"/>
    <mergeCell ref="A20:A21"/>
    <mergeCell ref="I20:I21"/>
    <mergeCell ref="A8:E8"/>
    <mergeCell ref="A9:E9"/>
    <mergeCell ref="A10:A13"/>
    <mergeCell ref="I10:I11"/>
    <mergeCell ref="I12:I13"/>
    <mergeCell ref="A14:A15"/>
    <mergeCell ref="I14:I15"/>
  </mergeCells>
  <pageMargins left="0.7" right="0.7" top="0.75" bottom="0.75" header="0.3" footer="0.3"/>
  <pageSetup paperSize="5" scale="91"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7"/>
  <sheetViews>
    <sheetView showGridLines="0" zoomScale="70" zoomScaleNormal="70" workbookViewId="0">
      <selection activeCell="F39" sqref="F39"/>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3.140625" style="318" bestFit="1" customWidth="1"/>
    <col min="12" max="12" width="13.42578125" style="318" customWidth="1"/>
    <col min="13" max="13" width="14.7109375" style="318" customWidth="1"/>
    <col min="14" max="14" width="14.7109375" style="318" bestFit="1" customWidth="1"/>
    <col min="15" max="19" width="14.42578125" style="318" customWidth="1"/>
    <col min="20" max="20" width="14.85546875" style="318" bestFit="1" customWidth="1"/>
    <col min="21" max="21" width="10.85546875" style="318" bestFit="1" customWidth="1"/>
    <col min="22"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3.140625" style="318" bestFit="1" customWidth="1"/>
    <col min="268" max="268" width="13.42578125" style="318" customWidth="1"/>
    <col min="269" max="269" width="14.7109375" style="318" customWidth="1"/>
    <col min="270" max="270" width="14.7109375" style="318" bestFit="1" customWidth="1"/>
    <col min="271" max="275" width="14.42578125" style="318" customWidth="1"/>
    <col min="276" max="276" width="14.85546875" style="318" bestFit="1" customWidth="1"/>
    <col min="277" max="277" width="10.85546875" style="318" bestFit="1" customWidth="1"/>
    <col min="278"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3.140625" style="318" bestFit="1" customWidth="1"/>
    <col min="524" max="524" width="13.42578125" style="318" customWidth="1"/>
    <col min="525" max="525" width="14.7109375" style="318" customWidth="1"/>
    <col min="526" max="526" width="14.7109375" style="318" bestFit="1" customWidth="1"/>
    <col min="527" max="531" width="14.42578125" style="318" customWidth="1"/>
    <col min="532" max="532" width="14.85546875" style="318" bestFit="1" customWidth="1"/>
    <col min="533" max="533" width="10.85546875" style="318" bestFit="1" customWidth="1"/>
    <col min="534"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3.140625" style="318" bestFit="1" customWidth="1"/>
    <col min="780" max="780" width="13.42578125" style="318" customWidth="1"/>
    <col min="781" max="781" width="14.7109375" style="318" customWidth="1"/>
    <col min="782" max="782" width="14.7109375" style="318" bestFit="1" customWidth="1"/>
    <col min="783" max="787" width="14.42578125" style="318" customWidth="1"/>
    <col min="788" max="788" width="14.85546875" style="318" bestFit="1" customWidth="1"/>
    <col min="789" max="789" width="10.85546875" style="318" bestFit="1" customWidth="1"/>
    <col min="790"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3.140625" style="318" bestFit="1" customWidth="1"/>
    <col min="1036" max="1036" width="13.42578125" style="318" customWidth="1"/>
    <col min="1037" max="1037" width="14.7109375" style="318" customWidth="1"/>
    <col min="1038" max="1038" width="14.7109375" style="318" bestFit="1" customWidth="1"/>
    <col min="1039" max="1043" width="14.42578125" style="318" customWidth="1"/>
    <col min="1044" max="1044" width="14.85546875" style="318" bestFit="1" customWidth="1"/>
    <col min="1045" max="1045" width="10.85546875" style="318" bestFit="1" customWidth="1"/>
    <col min="1046"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3.140625" style="318" bestFit="1" customWidth="1"/>
    <col min="1292" max="1292" width="13.42578125" style="318" customWidth="1"/>
    <col min="1293" max="1293" width="14.7109375" style="318" customWidth="1"/>
    <col min="1294" max="1294" width="14.7109375" style="318" bestFit="1" customWidth="1"/>
    <col min="1295" max="1299" width="14.42578125" style="318" customWidth="1"/>
    <col min="1300" max="1300" width="14.85546875" style="318" bestFit="1" customWidth="1"/>
    <col min="1301" max="1301" width="10.85546875" style="318" bestFit="1" customWidth="1"/>
    <col min="1302"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3.140625" style="318" bestFit="1" customWidth="1"/>
    <col min="1548" max="1548" width="13.42578125" style="318" customWidth="1"/>
    <col min="1549" max="1549" width="14.7109375" style="318" customWidth="1"/>
    <col min="1550" max="1550" width="14.7109375" style="318" bestFit="1" customWidth="1"/>
    <col min="1551" max="1555" width="14.42578125" style="318" customWidth="1"/>
    <col min="1556" max="1556" width="14.85546875" style="318" bestFit="1" customWidth="1"/>
    <col min="1557" max="1557" width="10.85546875" style="318" bestFit="1" customWidth="1"/>
    <col min="1558"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3.140625" style="318" bestFit="1" customWidth="1"/>
    <col min="1804" max="1804" width="13.42578125" style="318" customWidth="1"/>
    <col min="1805" max="1805" width="14.7109375" style="318" customWidth="1"/>
    <col min="1806" max="1806" width="14.7109375" style="318" bestFit="1" customWidth="1"/>
    <col min="1807" max="1811" width="14.42578125" style="318" customWidth="1"/>
    <col min="1812" max="1812" width="14.85546875" style="318" bestFit="1" customWidth="1"/>
    <col min="1813" max="1813" width="10.85546875" style="318" bestFit="1" customWidth="1"/>
    <col min="1814"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3.140625" style="318" bestFit="1" customWidth="1"/>
    <col min="2060" max="2060" width="13.42578125" style="318" customWidth="1"/>
    <col min="2061" max="2061" width="14.7109375" style="318" customWidth="1"/>
    <col min="2062" max="2062" width="14.7109375" style="318" bestFit="1" customWidth="1"/>
    <col min="2063" max="2067" width="14.42578125" style="318" customWidth="1"/>
    <col min="2068" max="2068" width="14.85546875" style="318" bestFit="1" customWidth="1"/>
    <col min="2069" max="2069" width="10.85546875" style="318" bestFit="1" customWidth="1"/>
    <col min="2070"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3.140625" style="318" bestFit="1" customWidth="1"/>
    <col min="2316" max="2316" width="13.42578125" style="318" customWidth="1"/>
    <col min="2317" max="2317" width="14.7109375" style="318" customWidth="1"/>
    <col min="2318" max="2318" width="14.7109375" style="318" bestFit="1" customWidth="1"/>
    <col min="2319" max="2323" width="14.42578125" style="318" customWidth="1"/>
    <col min="2324" max="2324" width="14.85546875" style="318" bestFit="1" customWidth="1"/>
    <col min="2325" max="2325" width="10.85546875" style="318" bestFit="1" customWidth="1"/>
    <col min="2326"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3.140625" style="318" bestFit="1" customWidth="1"/>
    <col min="2572" max="2572" width="13.42578125" style="318" customWidth="1"/>
    <col min="2573" max="2573" width="14.7109375" style="318" customWidth="1"/>
    <col min="2574" max="2574" width="14.7109375" style="318" bestFit="1" customWidth="1"/>
    <col min="2575" max="2579" width="14.42578125" style="318" customWidth="1"/>
    <col min="2580" max="2580" width="14.85546875" style="318" bestFit="1" customWidth="1"/>
    <col min="2581" max="2581" width="10.85546875" style="318" bestFit="1" customWidth="1"/>
    <col min="2582"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3.140625" style="318" bestFit="1" customWidth="1"/>
    <col min="2828" max="2828" width="13.42578125" style="318" customWidth="1"/>
    <col min="2829" max="2829" width="14.7109375" style="318" customWidth="1"/>
    <col min="2830" max="2830" width="14.7109375" style="318" bestFit="1" customWidth="1"/>
    <col min="2831" max="2835" width="14.42578125" style="318" customWidth="1"/>
    <col min="2836" max="2836" width="14.85546875" style="318" bestFit="1" customWidth="1"/>
    <col min="2837" max="2837" width="10.85546875" style="318" bestFit="1" customWidth="1"/>
    <col min="2838"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3.140625" style="318" bestFit="1" customWidth="1"/>
    <col min="3084" max="3084" width="13.42578125" style="318" customWidth="1"/>
    <col min="3085" max="3085" width="14.7109375" style="318" customWidth="1"/>
    <col min="3086" max="3086" width="14.7109375" style="318" bestFit="1" customWidth="1"/>
    <col min="3087" max="3091" width="14.42578125" style="318" customWidth="1"/>
    <col min="3092" max="3092" width="14.85546875" style="318" bestFit="1" customWidth="1"/>
    <col min="3093" max="3093" width="10.85546875" style="318" bestFit="1" customWidth="1"/>
    <col min="3094"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3.140625" style="318" bestFit="1" customWidth="1"/>
    <col min="3340" max="3340" width="13.42578125" style="318" customWidth="1"/>
    <col min="3341" max="3341" width="14.7109375" style="318" customWidth="1"/>
    <col min="3342" max="3342" width="14.7109375" style="318" bestFit="1" customWidth="1"/>
    <col min="3343" max="3347" width="14.42578125" style="318" customWidth="1"/>
    <col min="3348" max="3348" width="14.85546875" style="318" bestFit="1" customWidth="1"/>
    <col min="3349" max="3349" width="10.85546875" style="318" bestFit="1" customWidth="1"/>
    <col min="3350"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3.140625" style="318" bestFit="1" customWidth="1"/>
    <col min="3596" max="3596" width="13.42578125" style="318" customWidth="1"/>
    <col min="3597" max="3597" width="14.7109375" style="318" customWidth="1"/>
    <col min="3598" max="3598" width="14.7109375" style="318" bestFit="1" customWidth="1"/>
    <col min="3599" max="3603" width="14.42578125" style="318" customWidth="1"/>
    <col min="3604" max="3604" width="14.85546875" style="318" bestFit="1" customWidth="1"/>
    <col min="3605" max="3605" width="10.85546875" style="318" bestFit="1" customWidth="1"/>
    <col min="3606"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3.140625" style="318" bestFit="1" customWidth="1"/>
    <col min="3852" max="3852" width="13.42578125" style="318" customWidth="1"/>
    <col min="3853" max="3853" width="14.7109375" style="318" customWidth="1"/>
    <col min="3854" max="3854" width="14.7109375" style="318" bestFit="1" customWidth="1"/>
    <col min="3855" max="3859" width="14.42578125" style="318" customWidth="1"/>
    <col min="3860" max="3860" width="14.85546875" style="318" bestFit="1" customWidth="1"/>
    <col min="3861" max="3861" width="10.85546875" style="318" bestFit="1" customWidth="1"/>
    <col min="3862"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3.140625" style="318" bestFit="1" customWidth="1"/>
    <col min="4108" max="4108" width="13.42578125" style="318" customWidth="1"/>
    <col min="4109" max="4109" width="14.7109375" style="318" customWidth="1"/>
    <col min="4110" max="4110" width="14.7109375" style="318" bestFit="1" customWidth="1"/>
    <col min="4111" max="4115" width="14.42578125" style="318" customWidth="1"/>
    <col min="4116" max="4116" width="14.85546875" style="318" bestFit="1" customWidth="1"/>
    <col min="4117" max="4117" width="10.85546875" style="318" bestFit="1" customWidth="1"/>
    <col min="4118"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3.140625" style="318" bestFit="1" customWidth="1"/>
    <col min="4364" max="4364" width="13.42578125" style="318" customWidth="1"/>
    <col min="4365" max="4365" width="14.7109375" style="318" customWidth="1"/>
    <col min="4366" max="4366" width="14.7109375" style="318" bestFit="1" customWidth="1"/>
    <col min="4367" max="4371" width="14.42578125" style="318" customWidth="1"/>
    <col min="4372" max="4372" width="14.85546875" style="318" bestFit="1" customWidth="1"/>
    <col min="4373" max="4373" width="10.85546875" style="318" bestFit="1" customWidth="1"/>
    <col min="4374"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3.140625" style="318" bestFit="1" customWidth="1"/>
    <col min="4620" max="4620" width="13.42578125" style="318" customWidth="1"/>
    <col min="4621" max="4621" width="14.7109375" style="318" customWidth="1"/>
    <col min="4622" max="4622" width="14.7109375" style="318" bestFit="1" customWidth="1"/>
    <col min="4623" max="4627" width="14.42578125" style="318" customWidth="1"/>
    <col min="4628" max="4628" width="14.85546875" style="318" bestFit="1" customWidth="1"/>
    <col min="4629" max="4629" width="10.85546875" style="318" bestFit="1" customWidth="1"/>
    <col min="4630"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3.140625" style="318" bestFit="1" customWidth="1"/>
    <col min="4876" max="4876" width="13.42578125" style="318" customWidth="1"/>
    <col min="4877" max="4877" width="14.7109375" style="318" customWidth="1"/>
    <col min="4878" max="4878" width="14.7109375" style="318" bestFit="1" customWidth="1"/>
    <col min="4879" max="4883" width="14.42578125" style="318" customWidth="1"/>
    <col min="4884" max="4884" width="14.85546875" style="318" bestFit="1" customWidth="1"/>
    <col min="4885" max="4885" width="10.85546875" style="318" bestFit="1" customWidth="1"/>
    <col min="4886"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3.140625" style="318" bestFit="1" customWidth="1"/>
    <col min="5132" max="5132" width="13.42578125" style="318" customWidth="1"/>
    <col min="5133" max="5133" width="14.7109375" style="318" customWidth="1"/>
    <col min="5134" max="5134" width="14.7109375" style="318" bestFit="1" customWidth="1"/>
    <col min="5135" max="5139" width="14.42578125" style="318" customWidth="1"/>
    <col min="5140" max="5140" width="14.85546875" style="318" bestFit="1" customWidth="1"/>
    <col min="5141" max="5141" width="10.85546875" style="318" bestFit="1" customWidth="1"/>
    <col min="5142"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3.140625" style="318" bestFit="1" customWidth="1"/>
    <col min="5388" max="5388" width="13.42578125" style="318" customWidth="1"/>
    <col min="5389" max="5389" width="14.7109375" style="318" customWidth="1"/>
    <col min="5390" max="5390" width="14.7109375" style="318" bestFit="1" customWidth="1"/>
    <col min="5391" max="5395" width="14.42578125" style="318" customWidth="1"/>
    <col min="5396" max="5396" width="14.85546875" style="318" bestFit="1" customWidth="1"/>
    <col min="5397" max="5397" width="10.85546875" style="318" bestFit="1" customWidth="1"/>
    <col min="5398"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3.140625" style="318" bestFit="1" customWidth="1"/>
    <col min="5644" max="5644" width="13.42578125" style="318" customWidth="1"/>
    <col min="5645" max="5645" width="14.7109375" style="318" customWidth="1"/>
    <col min="5646" max="5646" width="14.7109375" style="318" bestFit="1" customWidth="1"/>
    <col min="5647" max="5651" width="14.42578125" style="318" customWidth="1"/>
    <col min="5652" max="5652" width="14.85546875" style="318" bestFit="1" customWidth="1"/>
    <col min="5653" max="5653" width="10.85546875" style="318" bestFit="1" customWidth="1"/>
    <col min="5654"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3.140625" style="318" bestFit="1" customWidth="1"/>
    <col min="5900" max="5900" width="13.42578125" style="318" customWidth="1"/>
    <col min="5901" max="5901" width="14.7109375" style="318" customWidth="1"/>
    <col min="5902" max="5902" width="14.7109375" style="318" bestFit="1" customWidth="1"/>
    <col min="5903" max="5907" width="14.42578125" style="318" customWidth="1"/>
    <col min="5908" max="5908" width="14.85546875" style="318" bestFit="1" customWidth="1"/>
    <col min="5909" max="5909" width="10.85546875" style="318" bestFit="1" customWidth="1"/>
    <col min="5910"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3.140625" style="318" bestFit="1" customWidth="1"/>
    <col min="6156" max="6156" width="13.42578125" style="318" customWidth="1"/>
    <col min="6157" max="6157" width="14.7109375" style="318" customWidth="1"/>
    <col min="6158" max="6158" width="14.7109375" style="318" bestFit="1" customWidth="1"/>
    <col min="6159" max="6163" width="14.42578125" style="318" customWidth="1"/>
    <col min="6164" max="6164" width="14.85546875" style="318" bestFit="1" customWidth="1"/>
    <col min="6165" max="6165" width="10.85546875" style="318" bestFit="1" customWidth="1"/>
    <col min="6166"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3.140625" style="318" bestFit="1" customWidth="1"/>
    <col min="6412" max="6412" width="13.42578125" style="318" customWidth="1"/>
    <col min="6413" max="6413" width="14.7109375" style="318" customWidth="1"/>
    <col min="6414" max="6414" width="14.7109375" style="318" bestFit="1" customWidth="1"/>
    <col min="6415" max="6419" width="14.42578125" style="318" customWidth="1"/>
    <col min="6420" max="6420" width="14.85546875" style="318" bestFit="1" customWidth="1"/>
    <col min="6421" max="6421" width="10.85546875" style="318" bestFit="1" customWidth="1"/>
    <col min="6422"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3.140625" style="318" bestFit="1" customWidth="1"/>
    <col min="6668" max="6668" width="13.42578125" style="318" customWidth="1"/>
    <col min="6669" max="6669" width="14.7109375" style="318" customWidth="1"/>
    <col min="6670" max="6670" width="14.7109375" style="318" bestFit="1" customWidth="1"/>
    <col min="6671" max="6675" width="14.42578125" style="318" customWidth="1"/>
    <col min="6676" max="6676" width="14.85546875" style="318" bestFit="1" customWidth="1"/>
    <col min="6677" max="6677" width="10.85546875" style="318" bestFit="1" customWidth="1"/>
    <col min="6678"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3.140625" style="318" bestFit="1" customWidth="1"/>
    <col min="6924" max="6924" width="13.42578125" style="318" customWidth="1"/>
    <col min="6925" max="6925" width="14.7109375" style="318" customWidth="1"/>
    <col min="6926" max="6926" width="14.7109375" style="318" bestFit="1" customWidth="1"/>
    <col min="6927" max="6931" width="14.42578125" style="318" customWidth="1"/>
    <col min="6932" max="6932" width="14.85546875" style="318" bestFit="1" customWidth="1"/>
    <col min="6933" max="6933" width="10.85546875" style="318" bestFit="1" customWidth="1"/>
    <col min="6934"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3.140625" style="318" bestFit="1" customWidth="1"/>
    <col min="7180" max="7180" width="13.42578125" style="318" customWidth="1"/>
    <col min="7181" max="7181" width="14.7109375" style="318" customWidth="1"/>
    <col min="7182" max="7182" width="14.7109375" style="318" bestFit="1" customWidth="1"/>
    <col min="7183" max="7187" width="14.42578125" style="318" customWidth="1"/>
    <col min="7188" max="7188" width="14.85546875" style="318" bestFit="1" customWidth="1"/>
    <col min="7189" max="7189" width="10.85546875" style="318" bestFit="1" customWidth="1"/>
    <col min="7190"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3.140625" style="318" bestFit="1" customWidth="1"/>
    <col min="7436" max="7436" width="13.42578125" style="318" customWidth="1"/>
    <col min="7437" max="7437" width="14.7109375" style="318" customWidth="1"/>
    <col min="7438" max="7438" width="14.7109375" style="318" bestFit="1" customWidth="1"/>
    <col min="7439" max="7443" width="14.42578125" style="318" customWidth="1"/>
    <col min="7444" max="7444" width="14.85546875" style="318" bestFit="1" customWidth="1"/>
    <col min="7445" max="7445" width="10.85546875" style="318" bestFit="1" customWidth="1"/>
    <col min="7446"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3.140625" style="318" bestFit="1" customWidth="1"/>
    <col min="7692" max="7692" width="13.42578125" style="318" customWidth="1"/>
    <col min="7693" max="7693" width="14.7109375" style="318" customWidth="1"/>
    <col min="7694" max="7694" width="14.7109375" style="318" bestFit="1" customWidth="1"/>
    <col min="7695" max="7699" width="14.42578125" style="318" customWidth="1"/>
    <col min="7700" max="7700" width="14.85546875" style="318" bestFit="1" customWidth="1"/>
    <col min="7701" max="7701" width="10.85546875" style="318" bestFit="1" customWidth="1"/>
    <col min="7702"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3.140625" style="318" bestFit="1" customWidth="1"/>
    <col min="7948" max="7948" width="13.42578125" style="318" customWidth="1"/>
    <col min="7949" max="7949" width="14.7109375" style="318" customWidth="1"/>
    <col min="7950" max="7950" width="14.7109375" style="318" bestFit="1" customWidth="1"/>
    <col min="7951" max="7955" width="14.42578125" style="318" customWidth="1"/>
    <col min="7956" max="7956" width="14.85546875" style="318" bestFit="1" customWidth="1"/>
    <col min="7957" max="7957" width="10.85546875" style="318" bestFit="1" customWidth="1"/>
    <col min="7958"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3.140625" style="318" bestFit="1" customWidth="1"/>
    <col min="8204" max="8204" width="13.42578125" style="318" customWidth="1"/>
    <col min="8205" max="8205" width="14.7109375" style="318" customWidth="1"/>
    <col min="8206" max="8206" width="14.7109375" style="318" bestFit="1" customWidth="1"/>
    <col min="8207" max="8211" width="14.42578125" style="318" customWidth="1"/>
    <col min="8212" max="8212" width="14.85546875" style="318" bestFit="1" customWidth="1"/>
    <col min="8213" max="8213" width="10.85546875" style="318" bestFit="1" customWidth="1"/>
    <col min="8214"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3.140625" style="318" bestFit="1" customWidth="1"/>
    <col min="8460" max="8460" width="13.42578125" style="318" customWidth="1"/>
    <col min="8461" max="8461" width="14.7109375" style="318" customWidth="1"/>
    <col min="8462" max="8462" width="14.7109375" style="318" bestFit="1" customWidth="1"/>
    <col min="8463" max="8467" width="14.42578125" style="318" customWidth="1"/>
    <col min="8468" max="8468" width="14.85546875" style="318" bestFit="1" customWidth="1"/>
    <col min="8469" max="8469" width="10.85546875" style="318" bestFit="1" customWidth="1"/>
    <col min="8470"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3.140625" style="318" bestFit="1" customWidth="1"/>
    <col min="8716" max="8716" width="13.42578125" style="318" customWidth="1"/>
    <col min="8717" max="8717" width="14.7109375" style="318" customWidth="1"/>
    <col min="8718" max="8718" width="14.7109375" style="318" bestFit="1" customWidth="1"/>
    <col min="8719" max="8723" width="14.42578125" style="318" customWidth="1"/>
    <col min="8724" max="8724" width="14.85546875" style="318" bestFit="1" customWidth="1"/>
    <col min="8725" max="8725" width="10.85546875" style="318" bestFit="1" customWidth="1"/>
    <col min="8726"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3.140625" style="318" bestFit="1" customWidth="1"/>
    <col min="8972" max="8972" width="13.42578125" style="318" customWidth="1"/>
    <col min="8973" max="8973" width="14.7109375" style="318" customWidth="1"/>
    <col min="8974" max="8974" width="14.7109375" style="318" bestFit="1" customWidth="1"/>
    <col min="8975" max="8979" width="14.42578125" style="318" customWidth="1"/>
    <col min="8980" max="8980" width="14.85546875" style="318" bestFit="1" customWidth="1"/>
    <col min="8981" max="8981" width="10.85546875" style="318" bestFit="1" customWidth="1"/>
    <col min="8982"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3.140625" style="318" bestFit="1" customWidth="1"/>
    <col min="9228" max="9228" width="13.42578125" style="318" customWidth="1"/>
    <col min="9229" max="9229" width="14.7109375" style="318" customWidth="1"/>
    <col min="9230" max="9230" width="14.7109375" style="318" bestFit="1" customWidth="1"/>
    <col min="9231" max="9235" width="14.42578125" style="318" customWidth="1"/>
    <col min="9236" max="9236" width="14.85546875" style="318" bestFit="1" customWidth="1"/>
    <col min="9237" max="9237" width="10.85546875" style="318" bestFit="1" customWidth="1"/>
    <col min="9238"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3.140625" style="318" bestFit="1" customWidth="1"/>
    <col min="9484" max="9484" width="13.42578125" style="318" customWidth="1"/>
    <col min="9485" max="9485" width="14.7109375" style="318" customWidth="1"/>
    <col min="9486" max="9486" width="14.7109375" style="318" bestFit="1" customWidth="1"/>
    <col min="9487" max="9491" width="14.42578125" style="318" customWidth="1"/>
    <col min="9492" max="9492" width="14.85546875" style="318" bestFit="1" customWidth="1"/>
    <col min="9493" max="9493" width="10.85546875" style="318" bestFit="1" customWidth="1"/>
    <col min="9494"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3.140625" style="318" bestFit="1" customWidth="1"/>
    <col min="9740" max="9740" width="13.42578125" style="318" customWidth="1"/>
    <col min="9741" max="9741" width="14.7109375" style="318" customWidth="1"/>
    <col min="9742" max="9742" width="14.7109375" style="318" bestFit="1" customWidth="1"/>
    <col min="9743" max="9747" width="14.42578125" style="318" customWidth="1"/>
    <col min="9748" max="9748" width="14.85546875" style="318" bestFit="1" customWidth="1"/>
    <col min="9749" max="9749" width="10.85546875" style="318" bestFit="1" customWidth="1"/>
    <col min="9750"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3.140625" style="318" bestFit="1" customWidth="1"/>
    <col min="9996" max="9996" width="13.42578125" style="318" customWidth="1"/>
    <col min="9997" max="9997" width="14.7109375" style="318" customWidth="1"/>
    <col min="9998" max="9998" width="14.7109375" style="318" bestFit="1" customWidth="1"/>
    <col min="9999" max="10003" width="14.42578125" style="318" customWidth="1"/>
    <col min="10004" max="10004" width="14.85546875" style="318" bestFit="1" customWidth="1"/>
    <col min="10005" max="10005" width="10.85546875" style="318" bestFit="1" customWidth="1"/>
    <col min="10006"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3.140625" style="318" bestFit="1" customWidth="1"/>
    <col min="10252" max="10252" width="13.42578125" style="318" customWidth="1"/>
    <col min="10253" max="10253" width="14.7109375" style="318" customWidth="1"/>
    <col min="10254" max="10254" width="14.7109375" style="318" bestFit="1" customWidth="1"/>
    <col min="10255" max="10259" width="14.42578125" style="318" customWidth="1"/>
    <col min="10260" max="10260" width="14.85546875" style="318" bestFit="1" customWidth="1"/>
    <col min="10261" max="10261" width="10.85546875" style="318" bestFit="1" customWidth="1"/>
    <col min="10262"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3.140625" style="318" bestFit="1" customWidth="1"/>
    <col min="10508" max="10508" width="13.42578125" style="318" customWidth="1"/>
    <col min="10509" max="10509" width="14.7109375" style="318" customWidth="1"/>
    <col min="10510" max="10510" width="14.7109375" style="318" bestFit="1" customWidth="1"/>
    <col min="10511" max="10515" width="14.42578125" style="318" customWidth="1"/>
    <col min="10516" max="10516" width="14.85546875" style="318" bestFit="1" customWidth="1"/>
    <col min="10517" max="10517" width="10.85546875" style="318" bestFit="1" customWidth="1"/>
    <col min="10518"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3.140625" style="318" bestFit="1" customWidth="1"/>
    <col min="10764" max="10764" width="13.42578125" style="318" customWidth="1"/>
    <col min="10765" max="10765" width="14.7109375" style="318" customWidth="1"/>
    <col min="10766" max="10766" width="14.7109375" style="318" bestFit="1" customWidth="1"/>
    <col min="10767" max="10771" width="14.42578125" style="318" customWidth="1"/>
    <col min="10772" max="10772" width="14.85546875" style="318" bestFit="1" customWidth="1"/>
    <col min="10773" max="10773" width="10.85546875" style="318" bestFit="1" customWidth="1"/>
    <col min="10774"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3.140625" style="318" bestFit="1" customWidth="1"/>
    <col min="11020" max="11020" width="13.42578125" style="318" customWidth="1"/>
    <col min="11021" max="11021" width="14.7109375" style="318" customWidth="1"/>
    <col min="11022" max="11022" width="14.7109375" style="318" bestFit="1" customWidth="1"/>
    <col min="11023" max="11027" width="14.42578125" style="318" customWidth="1"/>
    <col min="11028" max="11028" width="14.85546875" style="318" bestFit="1" customWidth="1"/>
    <col min="11029" max="11029" width="10.85546875" style="318" bestFit="1" customWidth="1"/>
    <col min="11030"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3.140625" style="318" bestFit="1" customWidth="1"/>
    <col min="11276" max="11276" width="13.42578125" style="318" customWidth="1"/>
    <col min="11277" max="11277" width="14.7109375" style="318" customWidth="1"/>
    <col min="11278" max="11278" width="14.7109375" style="318" bestFit="1" customWidth="1"/>
    <col min="11279" max="11283" width="14.42578125" style="318" customWidth="1"/>
    <col min="11284" max="11284" width="14.85546875" style="318" bestFit="1" customWidth="1"/>
    <col min="11285" max="11285" width="10.85546875" style="318" bestFit="1" customWidth="1"/>
    <col min="11286"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3.140625" style="318" bestFit="1" customWidth="1"/>
    <col min="11532" max="11532" width="13.42578125" style="318" customWidth="1"/>
    <col min="11533" max="11533" width="14.7109375" style="318" customWidth="1"/>
    <col min="11534" max="11534" width="14.7109375" style="318" bestFit="1" customWidth="1"/>
    <col min="11535" max="11539" width="14.42578125" style="318" customWidth="1"/>
    <col min="11540" max="11540" width="14.85546875" style="318" bestFit="1" customWidth="1"/>
    <col min="11541" max="11541" width="10.85546875" style="318" bestFit="1" customWidth="1"/>
    <col min="11542"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3.140625" style="318" bestFit="1" customWidth="1"/>
    <col min="11788" max="11788" width="13.42578125" style="318" customWidth="1"/>
    <col min="11789" max="11789" width="14.7109375" style="318" customWidth="1"/>
    <col min="11790" max="11790" width="14.7109375" style="318" bestFit="1" customWidth="1"/>
    <col min="11791" max="11795" width="14.42578125" style="318" customWidth="1"/>
    <col min="11796" max="11796" width="14.85546875" style="318" bestFit="1" customWidth="1"/>
    <col min="11797" max="11797" width="10.85546875" style="318" bestFit="1" customWidth="1"/>
    <col min="11798"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3.140625" style="318" bestFit="1" customWidth="1"/>
    <col min="12044" max="12044" width="13.42578125" style="318" customWidth="1"/>
    <col min="12045" max="12045" width="14.7109375" style="318" customWidth="1"/>
    <col min="12046" max="12046" width="14.7109375" style="318" bestFit="1" customWidth="1"/>
    <col min="12047" max="12051" width="14.42578125" style="318" customWidth="1"/>
    <col min="12052" max="12052" width="14.85546875" style="318" bestFit="1" customWidth="1"/>
    <col min="12053" max="12053" width="10.85546875" style="318" bestFit="1" customWidth="1"/>
    <col min="12054"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3.140625" style="318" bestFit="1" customWidth="1"/>
    <col min="12300" max="12300" width="13.42578125" style="318" customWidth="1"/>
    <col min="12301" max="12301" width="14.7109375" style="318" customWidth="1"/>
    <col min="12302" max="12302" width="14.7109375" style="318" bestFit="1" customWidth="1"/>
    <col min="12303" max="12307" width="14.42578125" style="318" customWidth="1"/>
    <col min="12308" max="12308" width="14.85546875" style="318" bestFit="1" customWidth="1"/>
    <col min="12309" max="12309" width="10.85546875" style="318" bestFit="1" customWidth="1"/>
    <col min="12310"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3.140625" style="318" bestFit="1" customWidth="1"/>
    <col min="12556" max="12556" width="13.42578125" style="318" customWidth="1"/>
    <col min="12557" max="12557" width="14.7109375" style="318" customWidth="1"/>
    <col min="12558" max="12558" width="14.7109375" style="318" bestFit="1" customWidth="1"/>
    <col min="12559" max="12563" width="14.42578125" style="318" customWidth="1"/>
    <col min="12564" max="12564" width="14.85546875" style="318" bestFit="1" customWidth="1"/>
    <col min="12565" max="12565" width="10.85546875" style="318" bestFit="1" customWidth="1"/>
    <col min="12566"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3.140625" style="318" bestFit="1" customWidth="1"/>
    <col min="12812" max="12812" width="13.42578125" style="318" customWidth="1"/>
    <col min="12813" max="12813" width="14.7109375" style="318" customWidth="1"/>
    <col min="12814" max="12814" width="14.7109375" style="318" bestFit="1" customWidth="1"/>
    <col min="12815" max="12819" width="14.42578125" style="318" customWidth="1"/>
    <col min="12820" max="12820" width="14.85546875" style="318" bestFit="1" customWidth="1"/>
    <col min="12821" max="12821" width="10.85546875" style="318" bestFit="1" customWidth="1"/>
    <col min="12822"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3.140625" style="318" bestFit="1" customWidth="1"/>
    <col min="13068" max="13068" width="13.42578125" style="318" customWidth="1"/>
    <col min="13069" max="13069" width="14.7109375" style="318" customWidth="1"/>
    <col min="13070" max="13070" width="14.7109375" style="318" bestFit="1" customWidth="1"/>
    <col min="13071" max="13075" width="14.42578125" style="318" customWidth="1"/>
    <col min="13076" max="13076" width="14.85546875" style="318" bestFit="1" customWidth="1"/>
    <col min="13077" max="13077" width="10.85546875" style="318" bestFit="1" customWidth="1"/>
    <col min="13078"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3.140625" style="318" bestFit="1" customWidth="1"/>
    <col min="13324" max="13324" width="13.42578125" style="318" customWidth="1"/>
    <col min="13325" max="13325" width="14.7109375" style="318" customWidth="1"/>
    <col min="13326" max="13326" width="14.7109375" style="318" bestFit="1" customWidth="1"/>
    <col min="13327" max="13331" width="14.42578125" style="318" customWidth="1"/>
    <col min="13332" max="13332" width="14.85546875" style="318" bestFit="1" customWidth="1"/>
    <col min="13333" max="13333" width="10.85546875" style="318" bestFit="1" customWidth="1"/>
    <col min="13334"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3.140625" style="318" bestFit="1" customWidth="1"/>
    <col min="13580" max="13580" width="13.42578125" style="318" customWidth="1"/>
    <col min="13581" max="13581" width="14.7109375" style="318" customWidth="1"/>
    <col min="13582" max="13582" width="14.7109375" style="318" bestFit="1" customWidth="1"/>
    <col min="13583" max="13587" width="14.42578125" style="318" customWidth="1"/>
    <col min="13588" max="13588" width="14.85546875" style="318" bestFit="1" customWidth="1"/>
    <col min="13589" max="13589" width="10.85546875" style="318" bestFit="1" customWidth="1"/>
    <col min="13590"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3.140625" style="318" bestFit="1" customWidth="1"/>
    <col min="13836" max="13836" width="13.42578125" style="318" customWidth="1"/>
    <col min="13837" max="13837" width="14.7109375" style="318" customWidth="1"/>
    <col min="13838" max="13838" width="14.7109375" style="318" bestFit="1" customWidth="1"/>
    <col min="13839" max="13843" width="14.42578125" style="318" customWidth="1"/>
    <col min="13844" max="13844" width="14.85546875" style="318" bestFit="1" customWidth="1"/>
    <col min="13845" max="13845" width="10.85546875" style="318" bestFit="1" customWidth="1"/>
    <col min="13846"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3.140625" style="318" bestFit="1" customWidth="1"/>
    <col min="14092" max="14092" width="13.42578125" style="318" customWidth="1"/>
    <col min="14093" max="14093" width="14.7109375" style="318" customWidth="1"/>
    <col min="14094" max="14094" width="14.7109375" style="318" bestFit="1" customWidth="1"/>
    <col min="14095" max="14099" width="14.42578125" style="318" customWidth="1"/>
    <col min="14100" max="14100" width="14.85546875" style="318" bestFit="1" customWidth="1"/>
    <col min="14101" max="14101" width="10.85546875" style="318" bestFit="1" customWidth="1"/>
    <col min="14102"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3.140625" style="318" bestFit="1" customWidth="1"/>
    <col min="14348" max="14348" width="13.42578125" style="318" customWidth="1"/>
    <col min="14349" max="14349" width="14.7109375" style="318" customWidth="1"/>
    <col min="14350" max="14350" width="14.7109375" style="318" bestFit="1" customWidth="1"/>
    <col min="14351" max="14355" width="14.42578125" style="318" customWidth="1"/>
    <col min="14356" max="14356" width="14.85546875" style="318" bestFit="1" customWidth="1"/>
    <col min="14357" max="14357" width="10.85546875" style="318" bestFit="1" customWidth="1"/>
    <col min="14358"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3.140625" style="318" bestFit="1" customWidth="1"/>
    <col min="14604" max="14604" width="13.42578125" style="318" customWidth="1"/>
    <col min="14605" max="14605" width="14.7109375" style="318" customWidth="1"/>
    <col min="14606" max="14606" width="14.7109375" style="318" bestFit="1" customWidth="1"/>
    <col min="14607" max="14611" width="14.42578125" style="318" customWidth="1"/>
    <col min="14612" max="14612" width="14.85546875" style="318" bestFit="1" customWidth="1"/>
    <col min="14613" max="14613" width="10.85546875" style="318" bestFit="1" customWidth="1"/>
    <col min="14614"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3.140625" style="318" bestFit="1" customWidth="1"/>
    <col min="14860" max="14860" width="13.42578125" style="318" customWidth="1"/>
    <col min="14861" max="14861" width="14.7109375" style="318" customWidth="1"/>
    <col min="14862" max="14862" width="14.7109375" style="318" bestFit="1" customWidth="1"/>
    <col min="14863" max="14867" width="14.42578125" style="318" customWidth="1"/>
    <col min="14868" max="14868" width="14.85546875" style="318" bestFit="1" customWidth="1"/>
    <col min="14869" max="14869" width="10.85546875" style="318" bestFit="1" customWidth="1"/>
    <col min="14870"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3.140625" style="318" bestFit="1" customWidth="1"/>
    <col min="15116" max="15116" width="13.42578125" style="318" customWidth="1"/>
    <col min="15117" max="15117" width="14.7109375" style="318" customWidth="1"/>
    <col min="15118" max="15118" width="14.7109375" style="318" bestFit="1" customWidth="1"/>
    <col min="15119" max="15123" width="14.42578125" style="318" customWidth="1"/>
    <col min="15124" max="15124" width="14.85546875" style="318" bestFit="1" customWidth="1"/>
    <col min="15125" max="15125" width="10.85546875" style="318" bestFit="1" customWidth="1"/>
    <col min="15126"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3.140625" style="318" bestFit="1" customWidth="1"/>
    <col min="15372" max="15372" width="13.42578125" style="318" customWidth="1"/>
    <col min="15373" max="15373" width="14.7109375" style="318" customWidth="1"/>
    <col min="15374" max="15374" width="14.7109375" style="318" bestFit="1" customWidth="1"/>
    <col min="15375" max="15379" width="14.42578125" style="318" customWidth="1"/>
    <col min="15380" max="15380" width="14.85546875" style="318" bestFit="1" customWidth="1"/>
    <col min="15381" max="15381" width="10.85546875" style="318" bestFit="1" customWidth="1"/>
    <col min="15382"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3.140625" style="318" bestFit="1" customWidth="1"/>
    <col min="15628" max="15628" width="13.42578125" style="318" customWidth="1"/>
    <col min="15629" max="15629" width="14.7109375" style="318" customWidth="1"/>
    <col min="15630" max="15630" width="14.7109375" style="318" bestFit="1" customWidth="1"/>
    <col min="15631" max="15635" width="14.42578125" style="318" customWidth="1"/>
    <col min="15636" max="15636" width="14.85546875" style="318" bestFit="1" customWidth="1"/>
    <col min="15637" max="15637" width="10.85546875" style="318" bestFit="1" customWidth="1"/>
    <col min="15638"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3.140625" style="318" bestFit="1" customWidth="1"/>
    <col min="15884" max="15884" width="13.42578125" style="318" customWidth="1"/>
    <col min="15885" max="15885" width="14.7109375" style="318" customWidth="1"/>
    <col min="15886" max="15886" width="14.7109375" style="318" bestFit="1" customWidth="1"/>
    <col min="15887" max="15891" width="14.42578125" style="318" customWidth="1"/>
    <col min="15892" max="15892" width="14.85546875" style="318" bestFit="1" customWidth="1"/>
    <col min="15893" max="15893" width="10.85546875" style="318" bestFit="1" customWidth="1"/>
    <col min="15894"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3.140625" style="318" bestFit="1" customWidth="1"/>
    <col min="16140" max="16140" width="13.42578125" style="318" customWidth="1"/>
    <col min="16141" max="16141" width="14.7109375" style="318" customWidth="1"/>
    <col min="16142" max="16142" width="14.7109375" style="318" bestFit="1" customWidth="1"/>
    <col min="16143" max="16147" width="14.42578125" style="318" customWidth="1"/>
    <col min="16148" max="16148" width="14.85546875" style="318" bestFit="1" customWidth="1"/>
    <col min="16149" max="16149" width="10.85546875" style="318" bestFit="1" customWidth="1"/>
    <col min="16150" max="16384" width="9.140625" style="318"/>
  </cols>
  <sheetData>
    <row r="1" spans="1:10" ht="18" customHeight="1" x14ac:dyDescent="0.2">
      <c r="A1" s="1090" t="s">
        <v>410</v>
      </c>
      <c r="B1" s="1090"/>
      <c r="C1" s="1090"/>
      <c r="D1" s="1090"/>
      <c r="E1" s="1090"/>
      <c r="F1" s="1090"/>
      <c r="G1" s="1090"/>
      <c r="H1" s="1090"/>
      <c r="I1" s="1090"/>
      <c r="J1" s="1090"/>
    </row>
    <row r="2" spans="1:10" x14ac:dyDescent="0.2">
      <c r="A2" s="320"/>
      <c r="B2" s="321"/>
      <c r="C2" s="322"/>
      <c r="D2" s="322"/>
      <c r="E2" s="323"/>
      <c r="F2" s="323"/>
    </row>
    <row r="3" spans="1:10" x14ac:dyDescent="0.2">
      <c r="A3" s="320" t="s">
        <v>411</v>
      </c>
      <c r="B3" s="1091" t="s">
        <v>376</v>
      </c>
      <c r="C3" s="1091"/>
      <c r="D3" s="1091"/>
      <c r="E3" s="1091"/>
      <c r="F3" s="1091"/>
      <c r="G3" s="1091"/>
      <c r="H3" s="1091"/>
      <c r="I3" s="1091"/>
      <c r="J3" s="325"/>
    </row>
    <row r="4" spans="1:10" x14ac:dyDescent="0.2">
      <c r="A4" s="326"/>
      <c r="B4" s="1091"/>
      <c r="C4" s="1091"/>
      <c r="D4" s="1091"/>
      <c r="E4" s="1091"/>
      <c r="F4" s="1091"/>
      <c r="G4" s="1091"/>
      <c r="H4" s="1091"/>
      <c r="I4" s="1091"/>
      <c r="J4" s="325"/>
    </row>
    <row r="5" spans="1:10" ht="15" customHeight="1" x14ac:dyDescent="0.2">
      <c r="A5" s="1092" t="str">
        <f>CONCATENATE("PLAZO: ",A36," MESES (",A37,")")</f>
        <v>PLAZO: 18 MESES (540 dias)</v>
      </c>
      <c r="B5" s="1092"/>
      <c r="C5" s="1092"/>
      <c r="E5" s="328" t="s">
        <v>437</v>
      </c>
      <c r="F5" s="318" t="s">
        <v>438</v>
      </c>
    </row>
    <row r="7" spans="1:10" x14ac:dyDescent="0.2">
      <c r="C7" s="330" t="s">
        <v>412</v>
      </c>
      <c r="D7" s="1093"/>
      <c r="E7" s="1093"/>
      <c r="F7" s="1093"/>
      <c r="H7" s="330" t="s">
        <v>413</v>
      </c>
      <c r="I7" s="331">
        <f ca="1">NOW()</f>
        <v>42304.713902662035</v>
      </c>
    </row>
    <row r="8" spans="1:10" x14ac:dyDescent="0.2">
      <c r="C8" s="330" t="str">
        <f>IF(D7=0,"MONTO ESTIMADO CON IVA:","MONTO DE CONTRATO CON IVA:")</f>
        <v>MONTO ESTIMADO CON IVA:</v>
      </c>
      <c r="D8" s="332">
        <f>'4. CC D'!J11</f>
        <v>13200000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13200000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20</v>
      </c>
      <c r="F14" s="327"/>
    </row>
    <row r="15" spans="1:10" x14ac:dyDescent="0.2">
      <c r="B15" s="330" t="s">
        <v>422</v>
      </c>
      <c r="C15" s="1094"/>
      <c r="D15" s="1094"/>
      <c r="E15" s="339" t="s">
        <v>423</v>
      </c>
      <c r="F15" s="340"/>
      <c r="H15" s="341" t="s">
        <v>424</v>
      </c>
      <c r="I15" s="334">
        <v>10</v>
      </c>
    </row>
    <row r="16" spans="1:10" ht="12.75" thickBot="1" x14ac:dyDescent="0.25">
      <c r="F16" s="342"/>
    </row>
    <row r="17" spans="1:11" ht="42" customHeight="1"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1" ht="12.75" customHeight="1" x14ac:dyDescent="0.2">
      <c r="A18" s="351">
        <v>0</v>
      </c>
      <c r="B18" s="352">
        <f>D14/100</f>
        <v>0.2</v>
      </c>
      <c r="C18" s="352">
        <v>0</v>
      </c>
      <c r="D18" s="353">
        <f>ROUND(B18*D11,0)</f>
        <v>2640000</v>
      </c>
      <c r="E18" s="354">
        <f>D18</f>
        <v>2640000</v>
      </c>
      <c r="F18" s="355">
        <f t="shared" ref="F18:F36" si="0">E18/$E$36</f>
        <v>0.2</v>
      </c>
      <c r="G18" s="484" t="s">
        <v>543</v>
      </c>
      <c r="H18" s="357">
        <f t="shared" ref="H18:H33" si="1">ROUND(D18*0.1,0)</f>
        <v>264000</v>
      </c>
      <c r="I18" s="358">
        <f t="shared" ref="I18:I36" si="2">ROUNDUP((D18+H18-J18),-(LEN(D18)-$I$15))</f>
        <v>264000</v>
      </c>
      <c r="J18" s="358">
        <f t="shared" ref="J18:J33" si="3">ROUNDUP(D18*$D$12/100,-(LEN(D18)-$I$15))</f>
        <v>2640000</v>
      </c>
    </row>
    <row r="19" spans="1:11" x14ac:dyDescent="0.2">
      <c r="A19" s="359">
        <v>1</v>
      </c>
      <c r="B19" s="360">
        <v>2.5000000000000001E-2</v>
      </c>
      <c r="C19" s="360">
        <f t="shared" ref="C19:C33" si="4">B19+C18</f>
        <v>2.5000000000000001E-2</v>
      </c>
      <c r="D19" s="361">
        <f t="shared" ref="D19:D31" si="5">ROUND(B19*$D$11*(100-$D$14)/100,0)</f>
        <v>264000</v>
      </c>
      <c r="E19" s="362">
        <f t="shared" ref="E19:E33" si="6">E18+D19</f>
        <v>2904000</v>
      </c>
      <c r="F19" s="363">
        <f t="shared" si="0"/>
        <v>0.22</v>
      </c>
      <c r="G19" s="470" t="s">
        <v>470</v>
      </c>
      <c r="H19" s="365">
        <f t="shared" si="1"/>
        <v>26400</v>
      </c>
      <c r="I19" s="366">
        <f t="shared" si="2"/>
        <v>26400</v>
      </c>
      <c r="J19" s="366">
        <f t="shared" si="3"/>
        <v>264000</v>
      </c>
    </row>
    <row r="20" spans="1:11" x14ac:dyDescent="0.2">
      <c r="A20" s="359">
        <v>2</v>
      </c>
      <c r="B20" s="360">
        <v>0.03</v>
      </c>
      <c r="C20" s="360">
        <f t="shared" si="4"/>
        <v>5.5E-2</v>
      </c>
      <c r="D20" s="361">
        <f t="shared" si="5"/>
        <v>316800</v>
      </c>
      <c r="E20" s="362">
        <f t="shared" si="6"/>
        <v>3220800</v>
      </c>
      <c r="F20" s="363">
        <f t="shared" si="0"/>
        <v>0.24399999999999999</v>
      </c>
      <c r="G20" s="470" t="s">
        <v>471</v>
      </c>
      <c r="H20" s="365">
        <f t="shared" si="1"/>
        <v>31680</v>
      </c>
      <c r="I20" s="366">
        <f t="shared" si="2"/>
        <v>31680</v>
      </c>
      <c r="J20" s="366">
        <f t="shared" si="3"/>
        <v>316800</v>
      </c>
      <c r="K20" s="367">
        <f>+SUM(J18:J20)</f>
        <v>3220800</v>
      </c>
    </row>
    <row r="21" spans="1:11" x14ac:dyDescent="0.2">
      <c r="A21" s="359">
        <v>3</v>
      </c>
      <c r="B21" s="360">
        <v>3.5000000000000003E-2</v>
      </c>
      <c r="C21" s="360">
        <f t="shared" si="4"/>
        <v>0.09</v>
      </c>
      <c r="D21" s="361">
        <f t="shared" si="5"/>
        <v>369600</v>
      </c>
      <c r="E21" s="362">
        <f t="shared" si="6"/>
        <v>3590400</v>
      </c>
      <c r="F21" s="363">
        <f t="shared" si="0"/>
        <v>0.27200000000000002</v>
      </c>
      <c r="G21" s="470" t="s">
        <v>472</v>
      </c>
      <c r="H21" s="365">
        <f t="shared" si="1"/>
        <v>36960</v>
      </c>
      <c r="I21" s="366">
        <f t="shared" si="2"/>
        <v>36960</v>
      </c>
      <c r="J21" s="366">
        <f t="shared" si="3"/>
        <v>369600</v>
      </c>
    </row>
    <row r="22" spans="1:11" x14ac:dyDescent="0.2">
      <c r="A22" s="359">
        <v>4</v>
      </c>
      <c r="B22" s="360">
        <v>0.05</v>
      </c>
      <c r="C22" s="360">
        <f t="shared" si="4"/>
        <v>0.14000000000000001</v>
      </c>
      <c r="D22" s="361">
        <f t="shared" si="5"/>
        <v>528000</v>
      </c>
      <c r="E22" s="362">
        <f t="shared" si="6"/>
        <v>4118400</v>
      </c>
      <c r="F22" s="363">
        <f t="shared" si="0"/>
        <v>0.312</v>
      </c>
      <c r="G22" s="470" t="s">
        <v>473</v>
      </c>
      <c r="H22" s="365">
        <f t="shared" si="1"/>
        <v>52800</v>
      </c>
      <c r="I22" s="366">
        <f t="shared" si="2"/>
        <v>52800</v>
      </c>
      <c r="J22" s="366">
        <f t="shared" si="3"/>
        <v>528000</v>
      </c>
      <c r="K22" s="368"/>
    </row>
    <row r="23" spans="1:11" x14ac:dyDescent="0.2">
      <c r="A23" s="359">
        <v>5</v>
      </c>
      <c r="B23" s="360">
        <v>0.05</v>
      </c>
      <c r="C23" s="360">
        <f t="shared" si="4"/>
        <v>0.19</v>
      </c>
      <c r="D23" s="361">
        <f t="shared" si="5"/>
        <v>528000</v>
      </c>
      <c r="E23" s="362">
        <f t="shared" si="6"/>
        <v>4646400</v>
      </c>
      <c r="F23" s="363">
        <f t="shared" si="0"/>
        <v>0.35199999999999998</v>
      </c>
      <c r="G23" s="470" t="s">
        <v>474</v>
      </c>
      <c r="H23" s="365">
        <f t="shared" si="1"/>
        <v>52800</v>
      </c>
      <c r="I23" s="366">
        <f t="shared" si="2"/>
        <v>52800</v>
      </c>
      <c r="J23" s="366">
        <f t="shared" si="3"/>
        <v>528000</v>
      </c>
      <c r="K23" s="368"/>
    </row>
    <row r="24" spans="1:11" x14ac:dyDescent="0.2">
      <c r="A24" s="359">
        <v>6</v>
      </c>
      <c r="B24" s="360">
        <v>0.09</v>
      </c>
      <c r="C24" s="360">
        <f t="shared" si="4"/>
        <v>0.28000000000000003</v>
      </c>
      <c r="D24" s="361">
        <f t="shared" si="5"/>
        <v>950400</v>
      </c>
      <c r="E24" s="362">
        <f t="shared" si="6"/>
        <v>5596800</v>
      </c>
      <c r="F24" s="363">
        <f t="shared" si="0"/>
        <v>0.42399999999999999</v>
      </c>
      <c r="G24" s="470" t="s">
        <v>475</v>
      </c>
      <c r="H24" s="365">
        <f t="shared" si="1"/>
        <v>95040</v>
      </c>
      <c r="I24" s="366">
        <f t="shared" si="2"/>
        <v>95040</v>
      </c>
      <c r="J24" s="366">
        <f t="shared" si="3"/>
        <v>950400</v>
      </c>
      <c r="K24" s="368"/>
    </row>
    <row r="25" spans="1:11" x14ac:dyDescent="0.2">
      <c r="A25" s="359">
        <v>7</v>
      </c>
      <c r="B25" s="360">
        <v>0.09</v>
      </c>
      <c r="C25" s="360">
        <f t="shared" si="4"/>
        <v>0.37</v>
      </c>
      <c r="D25" s="361">
        <f t="shared" si="5"/>
        <v>950400</v>
      </c>
      <c r="E25" s="362">
        <f t="shared" si="6"/>
        <v>6547200</v>
      </c>
      <c r="F25" s="363">
        <f t="shared" si="0"/>
        <v>0.496</v>
      </c>
      <c r="G25" s="470" t="s">
        <v>476</v>
      </c>
      <c r="H25" s="365">
        <f t="shared" si="1"/>
        <v>95040</v>
      </c>
      <c r="I25" s="366">
        <f t="shared" si="2"/>
        <v>95040</v>
      </c>
      <c r="J25" s="366">
        <f t="shared" si="3"/>
        <v>950400</v>
      </c>
      <c r="K25" s="369"/>
    </row>
    <row r="26" spans="1:11" x14ac:dyDescent="0.2">
      <c r="A26" s="359">
        <v>8</v>
      </c>
      <c r="B26" s="360">
        <v>0.1</v>
      </c>
      <c r="C26" s="360">
        <f t="shared" si="4"/>
        <v>0.47</v>
      </c>
      <c r="D26" s="361">
        <f t="shared" si="5"/>
        <v>1056000</v>
      </c>
      <c r="E26" s="362">
        <f t="shared" si="6"/>
        <v>7603200</v>
      </c>
      <c r="F26" s="363">
        <f t="shared" si="0"/>
        <v>0.57599999999999996</v>
      </c>
      <c r="G26" s="470" t="s">
        <v>477</v>
      </c>
      <c r="H26" s="365">
        <f t="shared" si="1"/>
        <v>105600</v>
      </c>
      <c r="I26" s="366">
        <f t="shared" si="2"/>
        <v>105600</v>
      </c>
      <c r="J26" s="366">
        <f t="shared" si="3"/>
        <v>1056000</v>
      </c>
      <c r="K26" s="368"/>
    </row>
    <row r="27" spans="1:11" x14ac:dyDescent="0.2">
      <c r="A27" s="359">
        <v>9</v>
      </c>
      <c r="B27" s="360">
        <v>0.1</v>
      </c>
      <c r="C27" s="360">
        <f t="shared" si="4"/>
        <v>0.56999999999999995</v>
      </c>
      <c r="D27" s="361">
        <f t="shared" si="5"/>
        <v>1056000</v>
      </c>
      <c r="E27" s="362">
        <f t="shared" si="6"/>
        <v>8659200</v>
      </c>
      <c r="F27" s="363">
        <f t="shared" si="0"/>
        <v>0.65600000000000003</v>
      </c>
      <c r="G27" s="470" t="s">
        <v>478</v>
      </c>
      <c r="H27" s="365">
        <f t="shared" si="1"/>
        <v>105600</v>
      </c>
      <c r="I27" s="366">
        <f t="shared" si="2"/>
        <v>105600</v>
      </c>
      <c r="J27" s="366">
        <f t="shared" si="3"/>
        <v>1056000</v>
      </c>
      <c r="K27" s="368"/>
    </row>
    <row r="28" spans="1:11" x14ac:dyDescent="0.2">
      <c r="A28" s="359">
        <v>10</v>
      </c>
      <c r="B28" s="360">
        <v>0.1</v>
      </c>
      <c r="C28" s="360">
        <f t="shared" si="4"/>
        <v>0.66999999999999993</v>
      </c>
      <c r="D28" s="361">
        <f t="shared" si="5"/>
        <v>1056000</v>
      </c>
      <c r="E28" s="362">
        <f t="shared" si="6"/>
        <v>9715200</v>
      </c>
      <c r="F28" s="363">
        <f t="shared" si="0"/>
        <v>0.73599999999999999</v>
      </c>
      <c r="G28" s="470" t="s">
        <v>479</v>
      </c>
      <c r="H28" s="365">
        <f t="shared" si="1"/>
        <v>105600</v>
      </c>
      <c r="I28" s="366">
        <f t="shared" si="2"/>
        <v>105600</v>
      </c>
      <c r="J28" s="366">
        <f t="shared" si="3"/>
        <v>1056000</v>
      </c>
      <c r="K28" s="368"/>
    </row>
    <row r="29" spans="1:11" x14ac:dyDescent="0.2">
      <c r="A29" s="359">
        <v>11</v>
      </c>
      <c r="B29" s="360">
        <v>0.1</v>
      </c>
      <c r="C29" s="360">
        <f t="shared" si="4"/>
        <v>0.76999999999999991</v>
      </c>
      <c r="D29" s="361">
        <f t="shared" si="5"/>
        <v>1056000</v>
      </c>
      <c r="E29" s="362">
        <f t="shared" si="6"/>
        <v>10771200</v>
      </c>
      <c r="F29" s="363">
        <f t="shared" si="0"/>
        <v>0.81599999999999995</v>
      </c>
      <c r="G29" s="470" t="s">
        <v>480</v>
      </c>
      <c r="H29" s="365">
        <f t="shared" si="1"/>
        <v>105600</v>
      </c>
      <c r="I29" s="366">
        <f t="shared" si="2"/>
        <v>105600</v>
      </c>
      <c r="J29" s="366">
        <f t="shared" si="3"/>
        <v>1056000</v>
      </c>
      <c r="K29" s="368"/>
    </row>
    <row r="30" spans="1:11" x14ac:dyDescent="0.2">
      <c r="A30" s="359">
        <v>12</v>
      </c>
      <c r="B30" s="360">
        <v>0.08</v>
      </c>
      <c r="C30" s="360">
        <f t="shared" si="4"/>
        <v>0.84999999999999987</v>
      </c>
      <c r="D30" s="361">
        <f t="shared" si="5"/>
        <v>844800</v>
      </c>
      <c r="E30" s="362">
        <f t="shared" si="6"/>
        <v>11616000</v>
      </c>
      <c r="F30" s="363">
        <f t="shared" si="0"/>
        <v>0.88</v>
      </c>
      <c r="G30" s="470" t="s">
        <v>481</v>
      </c>
      <c r="H30" s="365">
        <f t="shared" si="1"/>
        <v>84480</v>
      </c>
      <c r="I30" s="366">
        <f t="shared" si="2"/>
        <v>84480</v>
      </c>
      <c r="J30" s="366">
        <f t="shared" si="3"/>
        <v>844800</v>
      </c>
      <c r="K30" s="368"/>
    </row>
    <row r="31" spans="1:11" x14ac:dyDescent="0.2">
      <c r="A31" s="359">
        <v>13</v>
      </c>
      <c r="B31" s="360">
        <v>0.06</v>
      </c>
      <c r="C31" s="360">
        <f t="shared" si="4"/>
        <v>0.90999999999999992</v>
      </c>
      <c r="D31" s="361">
        <f t="shared" si="5"/>
        <v>633600</v>
      </c>
      <c r="E31" s="362">
        <f t="shared" si="6"/>
        <v>12249600</v>
      </c>
      <c r="F31" s="363">
        <f t="shared" si="0"/>
        <v>0.92800000000000005</v>
      </c>
      <c r="G31" s="470" t="s">
        <v>482</v>
      </c>
      <c r="H31" s="365">
        <f t="shared" si="1"/>
        <v>63360</v>
      </c>
      <c r="I31" s="366">
        <f t="shared" si="2"/>
        <v>63360</v>
      </c>
      <c r="J31" s="366">
        <f t="shared" si="3"/>
        <v>633600</v>
      </c>
      <c r="K31" s="368"/>
    </row>
    <row r="32" spans="1:11" x14ac:dyDescent="0.2">
      <c r="A32" s="359">
        <v>14</v>
      </c>
      <c r="B32" s="360">
        <v>0.04</v>
      </c>
      <c r="C32" s="360">
        <f t="shared" si="4"/>
        <v>0.95</v>
      </c>
      <c r="D32" s="361">
        <f>ROUND(B32*$D$11*(100-$D$14)/100,0)</f>
        <v>422400</v>
      </c>
      <c r="E32" s="362">
        <f t="shared" si="6"/>
        <v>12672000</v>
      </c>
      <c r="F32" s="363">
        <f t="shared" si="0"/>
        <v>0.96</v>
      </c>
      <c r="G32" s="470" t="s">
        <v>483</v>
      </c>
      <c r="H32" s="365">
        <f t="shared" si="1"/>
        <v>42240</v>
      </c>
      <c r="I32" s="366">
        <f t="shared" si="2"/>
        <v>42240</v>
      </c>
      <c r="J32" s="366">
        <f t="shared" si="3"/>
        <v>422400</v>
      </c>
      <c r="K32" s="370">
        <f>+SUM(J21:J32)</f>
        <v>9451200</v>
      </c>
    </row>
    <row r="33" spans="1:21" x14ac:dyDescent="0.2">
      <c r="A33" s="359">
        <v>15</v>
      </c>
      <c r="B33" s="360">
        <v>0.02</v>
      </c>
      <c r="C33" s="360">
        <f t="shared" si="4"/>
        <v>0.97</v>
      </c>
      <c r="D33" s="361">
        <f>ROUND(B33*$D$11*(100-$D$14)/100,0)</f>
        <v>211200</v>
      </c>
      <c r="E33" s="362">
        <f t="shared" si="6"/>
        <v>12883200</v>
      </c>
      <c r="F33" s="363">
        <f t="shared" si="0"/>
        <v>0.97599999999999998</v>
      </c>
      <c r="G33" s="470" t="s">
        <v>484</v>
      </c>
      <c r="H33" s="365">
        <f t="shared" si="1"/>
        <v>21120</v>
      </c>
      <c r="I33" s="366">
        <f t="shared" si="2"/>
        <v>21120</v>
      </c>
      <c r="J33" s="366">
        <f t="shared" si="3"/>
        <v>211200</v>
      </c>
      <c r="K33" s="368"/>
    </row>
    <row r="34" spans="1:21" x14ac:dyDescent="0.2">
      <c r="A34" s="359">
        <v>16</v>
      </c>
      <c r="B34" s="360">
        <v>0.01</v>
      </c>
      <c r="C34" s="360">
        <f>B34+C33</f>
        <v>0.98</v>
      </c>
      <c r="D34" s="361">
        <f>ROUND(B34*$D$11*(100-$D$14)/100,0)</f>
        <v>105600</v>
      </c>
      <c r="E34" s="362">
        <f>E33+D34</f>
        <v>12988800</v>
      </c>
      <c r="F34" s="363">
        <f t="shared" si="0"/>
        <v>0.98399999999999999</v>
      </c>
      <c r="G34" s="470" t="s">
        <v>485</v>
      </c>
      <c r="H34" s="365">
        <f>ROUND(D34*0.1,0)</f>
        <v>10560</v>
      </c>
      <c r="I34" s="366">
        <f t="shared" si="2"/>
        <v>10560</v>
      </c>
      <c r="J34" s="366">
        <f>ROUNDUP(D34*$D$12/100,-(LEN(D34)-$I$15))</f>
        <v>105600</v>
      </c>
      <c r="K34" s="368"/>
    </row>
    <row r="35" spans="1:21" x14ac:dyDescent="0.2">
      <c r="A35" s="359">
        <v>17</v>
      </c>
      <c r="B35" s="360">
        <v>0.01</v>
      </c>
      <c r="C35" s="360">
        <f>B35+C34</f>
        <v>0.99</v>
      </c>
      <c r="D35" s="361">
        <f>ROUND(B35*$D$11*(100-$D$14)/100,0)</f>
        <v>105600</v>
      </c>
      <c r="E35" s="362">
        <f>E34+D35</f>
        <v>13094400</v>
      </c>
      <c r="F35" s="363">
        <f t="shared" si="0"/>
        <v>0.99199999999999999</v>
      </c>
      <c r="G35" s="470" t="s">
        <v>486</v>
      </c>
      <c r="H35" s="365">
        <f>ROUND(D35*0.1,0)</f>
        <v>10560</v>
      </c>
      <c r="I35" s="366">
        <f t="shared" si="2"/>
        <v>10560</v>
      </c>
      <c r="J35" s="366">
        <f>ROUNDUP(D35*$D$12/100,-(LEN(D35)-$I$15))</f>
        <v>105600</v>
      </c>
      <c r="K35" s="368"/>
    </row>
    <row r="36" spans="1:21" ht="12.75" thickBot="1" x14ac:dyDescent="0.25">
      <c r="A36" s="371">
        <v>18</v>
      </c>
      <c r="B36" s="372">
        <v>0.01</v>
      </c>
      <c r="C36" s="372">
        <f>B36+C35</f>
        <v>1</v>
      </c>
      <c r="D36" s="373">
        <f>ROUND(B36*$D$11*(100-$D$14)/100,0)</f>
        <v>105600</v>
      </c>
      <c r="E36" s="374">
        <f>E35+D36</f>
        <v>13200000</v>
      </c>
      <c r="F36" s="375">
        <f t="shared" si="0"/>
        <v>1</v>
      </c>
      <c r="G36" s="485" t="s">
        <v>487</v>
      </c>
      <c r="H36" s="377">
        <f>ROUND(D36*0.1,0)</f>
        <v>10560</v>
      </c>
      <c r="I36" s="378">
        <f t="shared" si="2"/>
        <v>10560</v>
      </c>
      <c r="J36" s="378">
        <f>ROUNDUP(D36*$D$12/100,-(LEN(D36)-$I$15))</f>
        <v>105600</v>
      </c>
      <c r="K36" s="370">
        <f>+SUM(J33:J36)</f>
        <v>528000</v>
      </c>
    </row>
    <row r="37" spans="1:21" ht="20.25" customHeight="1" thickBot="1" x14ac:dyDescent="0.25">
      <c r="A37" s="480" t="str">
        <f>A36*30 &amp; " dias"</f>
        <v>540 dias</v>
      </c>
      <c r="B37" s="481">
        <f>SUM(B19:B36)</f>
        <v>1</v>
      </c>
      <c r="C37" s="482"/>
      <c r="D37" s="483">
        <f>SUM(D18:D36)</f>
        <v>13200000</v>
      </c>
      <c r="E37" s="318"/>
      <c r="H37" s="318"/>
      <c r="I37" s="382">
        <f>SUM(I18:I36)</f>
        <v>1320000</v>
      </c>
      <c r="J37" s="382">
        <f>SUM(J18:J36)</f>
        <v>13200000</v>
      </c>
      <c r="K37" s="368"/>
    </row>
    <row r="38" spans="1:21" ht="15" customHeight="1" x14ac:dyDescent="0.2">
      <c r="A38" s="324"/>
      <c r="F38" s="327"/>
      <c r="G38" s="327"/>
      <c r="H38" s="330" t="s">
        <v>432</v>
      </c>
      <c r="I38" s="1088">
        <f>I37+J37</f>
        <v>14520000</v>
      </c>
      <c r="J38" s="1089"/>
    </row>
    <row r="39" spans="1:21" x14ac:dyDescent="0.2">
      <c r="A39" s="323" t="s">
        <v>433</v>
      </c>
      <c r="B39" s="323"/>
      <c r="C39" s="323"/>
      <c r="H39" s="330" t="s">
        <v>434</v>
      </c>
      <c r="I39" s="341">
        <f>I38/1.1-D11</f>
        <v>0</v>
      </c>
    </row>
    <row r="40" spans="1:21" x14ac:dyDescent="0.2">
      <c r="B40" s="383"/>
    </row>
    <row r="41" spans="1:21" x14ac:dyDescent="0.2">
      <c r="B41" s="383"/>
    </row>
    <row r="43" spans="1:21" s="473" customFormat="1" ht="12.75" customHeight="1" x14ac:dyDescent="0.2">
      <c r="A43" s="471"/>
      <c r="B43" s="472" t="s">
        <v>542</v>
      </c>
      <c r="C43" s="472" t="s">
        <v>470</v>
      </c>
      <c r="D43" s="472" t="s">
        <v>471</v>
      </c>
      <c r="E43" s="472" t="s">
        <v>472</v>
      </c>
      <c r="F43" s="472" t="s">
        <v>473</v>
      </c>
      <c r="G43" s="472" t="s">
        <v>474</v>
      </c>
      <c r="H43" s="472" t="s">
        <v>475</v>
      </c>
      <c r="I43" s="472" t="s">
        <v>476</v>
      </c>
      <c r="J43" s="472" t="s">
        <v>477</v>
      </c>
      <c r="K43" s="472" t="s">
        <v>478</v>
      </c>
      <c r="L43" s="472" t="s">
        <v>479</v>
      </c>
      <c r="M43" s="472" t="s">
        <v>480</v>
      </c>
      <c r="N43" s="472" t="s">
        <v>481</v>
      </c>
      <c r="O43" s="472" t="s">
        <v>482</v>
      </c>
      <c r="P43" s="472" t="s">
        <v>483</v>
      </c>
      <c r="Q43" s="472" t="s">
        <v>484</v>
      </c>
      <c r="R43" s="472" t="s">
        <v>485</v>
      </c>
      <c r="S43" s="472" t="s">
        <v>486</v>
      </c>
      <c r="T43" s="472" t="s">
        <v>487</v>
      </c>
    </row>
    <row r="44" spans="1:21" x14ac:dyDescent="0.2">
      <c r="A44" s="384" t="s">
        <v>435</v>
      </c>
      <c r="B44" s="361">
        <v>0</v>
      </c>
      <c r="C44" s="361">
        <v>0</v>
      </c>
      <c r="D44" s="361">
        <v>0</v>
      </c>
      <c r="E44" s="361">
        <v>0</v>
      </c>
      <c r="F44" s="361">
        <v>0</v>
      </c>
      <c r="G44" s="361">
        <v>0</v>
      </c>
      <c r="H44" s="361">
        <v>0</v>
      </c>
      <c r="I44" s="361">
        <v>0</v>
      </c>
      <c r="J44" s="361">
        <v>0</v>
      </c>
      <c r="K44" s="361">
        <v>0</v>
      </c>
      <c r="L44" s="361">
        <v>0</v>
      </c>
      <c r="M44" s="361">
        <v>0</v>
      </c>
      <c r="N44" s="361">
        <v>0</v>
      </c>
      <c r="O44" s="361">
        <v>0</v>
      </c>
      <c r="P44" s="361">
        <v>0</v>
      </c>
      <c r="Q44" s="361">
        <v>0</v>
      </c>
      <c r="R44" s="361">
        <v>0</v>
      </c>
      <c r="S44" s="361">
        <v>0</v>
      </c>
      <c r="T44" s="361">
        <v>0</v>
      </c>
      <c r="U44" s="327">
        <f>SUM(B44:T44)</f>
        <v>0</v>
      </c>
    </row>
    <row r="45" spans="1:21" x14ac:dyDescent="0.2">
      <c r="A45" s="384" t="s">
        <v>436</v>
      </c>
      <c r="B45" s="361">
        <f>$J18</f>
        <v>2640000</v>
      </c>
      <c r="C45" s="361">
        <f>$J19</f>
        <v>264000</v>
      </c>
      <c r="D45" s="361">
        <f>$J20</f>
        <v>316800</v>
      </c>
      <c r="E45" s="361">
        <f>$J21</f>
        <v>369600</v>
      </c>
      <c r="F45" s="361">
        <f>$J22</f>
        <v>528000</v>
      </c>
      <c r="G45" s="361">
        <f>$J23</f>
        <v>528000</v>
      </c>
      <c r="H45" s="361">
        <f>$J24</f>
        <v>950400</v>
      </c>
      <c r="I45" s="361">
        <f>$J25</f>
        <v>950400</v>
      </c>
      <c r="J45" s="361">
        <f>$J26</f>
        <v>1056000</v>
      </c>
      <c r="K45" s="361">
        <f>$J27</f>
        <v>1056000</v>
      </c>
      <c r="L45" s="361">
        <f>$J28</f>
        <v>1056000</v>
      </c>
      <c r="M45" s="361">
        <f>$J29</f>
        <v>1056000</v>
      </c>
      <c r="N45" s="361">
        <f>$J30</f>
        <v>844800</v>
      </c>
      <c r="O45" s="361">
        <f>$J31</f>
        <v>633600</v>
      </c>
      <c r="P45" s="361">
        <f>$J32</f>
        <v>422400</v>
      </c>
      <c r="Q45" s="361">
        <f>$J33</f>
        <v>211200</v>
      </c>
      <c r="R45" s="361">
        <f>$J34</f>
        <v>105600</v>
      </c>
      <c r="S45" s="361">
        <f>$J35</f>
        <v>105600</v>
      </c>
      <c r="T45" s="361">
        <f>$J36</f>
        <v>105600</v>
      </c>
      <c r="U45" s="327">
        <f>SUM(B45:T45)</f>
        <v>13200000</v>
      </c>
    </row>
    <row r="46" spans="1:21" x14ac:dyDescent="0.2">
      <c r="B46" s="361">
        <f>B44+B45</f>
        <v>2640000</v>
      </c>
      <c r="C46" s="361">
        <f t="shared" ref="C46:U46" si="7">C44+C45</f>
        <v>264000</v>
      </c>
      <c r="D46" s="361">
        <f t="shared" si="7"/>
        <v>316800</v>
      </c>
      <c r="E46" s="361">
        <f t="shared" si="7"/>
        <v>369600</v>
      </c>
      <c r="F46" s="361">
        <f t="shared" si="7"/>
        <v>528000</v>
      </c>
      <c r="G46" s="361">
        <f t="shared" si="7"/>
        <v>528000</v>
      </c>
      <c r="H46" s="361">
        <f t="shared" si="7"/>
        <v>950400</v>
      </c>
      <c r="I46" s="361">
        <f t="shared" si="7"/>
        <v>950400</v>
      </c>
      <c r="J46" s="361">
        <f t="shared" si="7"/>
        <v>1056000</v>
      </c>
      <c r="K46" s="361">
        <f t="shared" si="7"/>
        <v>1056000</v>
      </c>
      <c r="L46" s="361">
        <f t="shared" si="7"/>
        <v>1056000</v>
      </c>
      <c r="M46" s="361">
        <f t="shared" si="7"/>
        <v>1056000</v>
      </c>
      <c r="N46" s="361">
        <f t="shared" si="7"/>
        <v>844800</v>
      </c>
      <c r="O46" s="361">
        <f t="shared" si="7"/>
        <v>633600</v>
      </c>
      <c r="P46" s="361">
        <f t="shared" si="7"/>
        <v>422400</v>
      </c>
      <c r="Q46" s="361">
        <f t="shared" si="7"/>
        <v>211200</v>
      </c>
      <c r="R46" s="361">
        <f t="shared" si="7"/>
        <v>105600</v>
      </c>
      <c r="S46" s="361">
        <f t="shared" si="7"/>
        <v>105600</v>
      </c>
      <c r="T46" s="361">
        <f t="shared" si="7"/>
        <v>105600</v>
      </c>
      <c r="U46" s="361">
        <f t="shared" si="7"/>
        <v>13200000</v>
      </c>
    </row>
    <row r="47" spans="1:21" x14ac:dyDescent="0.2">
      <c r="B47" s="560">
        <f>SUM(B46:T46)</f>
        <v>13200000</v>
      </c>
    </row>
  </sheetData>
  <mergeCells count="6">
    <mergeCell ref="I38:J38"/>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58"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8"/>
  <sheetViews>
    <sheetView showGridLines="0" topLeftCell="A37" zoomScale="80" zoomScaleNormal="80" workbookViewId="0">
      <selection activeCell="B45" sqref="B45:T54"/>
    </sheetView>
  </sheetViews>
  <sheetFormatPr defaultColWidth="11.42578125" defaultRowHeight="12" x14ac:dyDescent="0.2"/>
  <cols>
    <col min="1" max="1" width="17.42578125" style="319" customWidth="1"/>
    <col min="2" max="2" width="14.28515625" style="319" customWidth="1"/>
    <col min="3" max="3" width="16.85546875" style="319" customWidth="1"/>
    <col min="4" max="4" width="13.7109375" style="319" bestFit="1" customWidth="1"/>
    <col min="5" max="5" width="13.5703125" style="319" customWidth="1"/>
    <col min="6" max="6" width="18.28515625" style="319" customWidth="1"/>
    <col min="7" max="7" width="17.5703125" style="319" bestFit="1" customWidth="1"/>
    <col min="8" max="8" width="17.42578125" style="319" bestFit="1" customWidth="1"/>
    <col min="9" max="9" width="13.85546875" style="319" bestFit="1" customWidth="1"/>
    <col min="10" max="10" width="16.42578125" style="319" bestFit="1" customWidth="1"/>
    <col min="11" max="11" width="13.7109375" style="319" bestFit="1" customWidth="1"/>
    <col min="12" max="12" width="15.7109375" style="319" bestFit="1" customWidth="1"/>
    <col min="13" max="13" width="15.28515625" style="319" bestFit="1" customWidth="1"/>
    <col min="14" max="20" width="13.7109375" style="319" bestFit="1" customWidth="1"/>
    <col min="21" max="21" width="14.7109375" style="319" bestFit="1" customWidth="1"/>
    <col min="22" max="16384" width="11.42578125" style="319"/>
  </cols>
  <sheetData>
    <row r="1" spans="1:21" ht="15.75" customHeight="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444</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42304.713902662035</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A57</f>
        <v>393750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393750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48.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v>
      </c>
      <c r="C18" s="352">
        <v>0</v>
      </c>
      <c r="D18" s="353">
        <f>ROUND(B18*D11,0)</f>
        <v>0</v>
      </c>
      <c r="E18" s="354">
        <f>D18</f>
        <v>0</v>
      </c>
      <c r="F18" s="355">
        <f t="shared" ref="F18:F36" si="0">E18/$E$36</f>
        <v>0</v>
      </c>
      <c r="G18" s="484" t="s">
        <v>543</v>
      </c>
      <c r="H18" s="357">
        <f t="shared" ref="H18:H33" si="1">ROUND(D18*0.1,0)</f>
        <v>0</v>
      </c>
      <c r="I18" s="358">
        <f t="shared" ref="I18:I36" si="2">ROUNDUP((D18+H18-J18),-(LEN(D18)-$I$15))</f>
        <v>0</v>
      </c>
      <c r="J18" s="358">
        <f t="shared" ref="J18:J33" si="3">ROUNDUP(D18*$D$12/100,-(LEN(D18)-$I$15))</f>
        <v>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9844</v>
      </c>
      <c r="E19" s="362">
        <f t="shared" ref="E19:E33" si="6">E18+D19</f>
        <v>9844</v>
      </c>
      <c r="F19" s="363">
        <f t="shared" si="0"/>
        <v>2.5000380948510998E-2</v>
      </c>
      <c r="G19" s="470" t="s">
        <v>470</v>
      </c>
      <c r="H19" s="365">
        <f t="shared" si="1"/>
        <v>984</v>
      </c>
      <c r="I19" s="366">
        <f t="shared" si="2"/>
        <v>984</v>
      </c>
      <c r="J19" s="366">
        <f t="shared" si="3"/>
        <v>9844</v>
      </c>
      <c r="K19" s="318"/>
      <c r="L19" s="318"/>
      <c r="M19" s="318"/>
      <c r="N19" s="318"/>
      <c r="O19" s="318"/>
      <c r="P19" s="318"/>
      <c r="Q19" s="318"/>
      <c r="R19" s="318"/>
      <c r="S19" s="318"/>
      <c r="T19" s="318"/>
      <c r="U19" s="318"/>
    </row>
    <row r="20" spans="1:21" x14ac:dyDescent="0.2">
      <c r="A20" s="359">
        <v>2</v>
      </c>
      <c r="B20" s="360">
        <v>0.03</v>
      </c>
      <c r="C20" s="360">
        <f t="shared" si="4"/>
        <v>5.5E-2</v>
      </c>
      <c r="D20" s="361">
        <f t="shared" si="5"/>
        <v>11813</v>
      </c>
      <c r="E20" s="362">
        <f t="shared" si="6"/>
        <v>21657</v>
      </c>
      <c r="F20" s="363">
        <f t="shared" si="0"/>
        <v>5.5001346018072196E-2</v>
      </c>
      <c r="G20" s="470" t="s">
        <v>471</v>
      </c>
      <c r="H20" s="365">
        <f t="shared" si="1"/>
        <v>1181</v>
      </c>
      <c r="I20" s="366">
        <f t="shared" si="2"/>
        <v>1181</v>
      </c>
      <c r="J20" s="366">
        <f t="shared" si="3"/>
        <v>11813</v>
      </c>
      <c r="K20" s="367">
        <f>+SUM(J18:J20)</f>
        <v>21657</v>
      </c>
      <c r="L20" s="318"/>
      <c r="M20" s="318"/>
      <c r="N20" s="318"/>
      <c r="O20" s="318"/>
      <c r="P20" s="318"/>
      <c r="Q20" s="318"/>
      <c r="R20" s="318"/>
      <c r="S20" s="318"/>
      <c r="T20" s="318"/>
      <c r="U20" s="318"/>
    </row>
    <row r="21" spans="1:21" x14ac:dyDescent="0.2">
      <c r="A21" s="359">
        <v>3</v>
      </c>
      <c r="B21" s="360">
        <v>3.5000000000000003E-2</v>
      </c>
      <c r="C21" s="360">
        <f t="shared" si="4"/>
        <v>0.09</v>
      </c>
      <c r="D21" s="361">
        <f t="shared" si="5"/>
        <v>13781</v>
      </c>
      <c r="E21" s="362">
        <f t="shared" si="6"/>
        <v>35438</v>
      </c>
      <c r="F21" s="363">
        <f t="shared" si="0"/>
        <v>9.0000355551943606E-2</v>
      </c>
      <c r="G21" s="470" t="s">
        <v>472</v>
      </c>
      <c r="H21" s="365">
        <f t="shared" si="1"/>
        <v>1378</v>
      </c>
      <c r="I21" s="366">
        <f t="shared" si="2"/>
        <v>1378</v>
      </c>
      <c r="J21" s="366">
        <f t="shared" si="3"/>
        <v>13781</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19688</v>
      </c>
      <c r="E22" s="362">
        <f t="shared" si="6"/>
        <v>55126</v>
      </c>
      <c r="F22" s="363">
        <f t="shared" si="0"/>
        <v>0.1400011174489656</v>
      </c>
      <c r="G22" s="470" t="s">
        <v>473</v>
      </c>
      <c r="H22" s="365">
        <f t="shared" si="1"/>
        <v>1969</v>
      </c>
      <c r="I22" s="366">
        <f t="shared" si="2"/>
        <v>1969</v>
      </c>
      <c r="J22" s="366">
        <f t="shared" si="3"/>
        <v>19688</v>
      </c>
      <c r="K22" s="368"/>
      <c r="L22" s="318"/>
      <c r="M22" s="318"/>
      <c r="N22" s="318"/>
      <c r="O22" s="318"/>
      <c r="P22" s="318"/>
      <c r="Q22" s="318"/>
      <c r="R22" s="318"/>
      <c r="S22" s="318"/>
      <c r="T22" s="318"/>
      <c r="U22" s="318"/>
    </row>
    <row r="23" spans="1:21" x14ac:dyDescent="0.2">
      <c r="A23" s="359">
        <v>5</v>
      </c>
      <c r="B23" s="360">
        <v>0.05</v>
      </c>
      <c r="C23" s="360">
        <f t="shared" si="4"/>
        <v>0.19</v>
      </c>
      <c r="D23" s="361">
        <f t="shared" si="5"/>
        <v>19688</v>
      </c>
      <c r="E23" s="362">
        <f t="shared" si="6"/>
        <v>74814</v>
      </c>
      <c r="F23" s="363">
        <f t="shared" si="0"/>
        <v>0.19000187934598758</v>
      </c>
      <c r="G23" s="470" t="s">
        <v>474</v>
      </c>
      <c r="H23" s="365">
        <f t="shared" si="1"/>
        <v>1969</v>
      </c>
      <c r="I23" s="366">
        <f t="shared" si="2"/>
        <v>1969</v>
      </c>
      <c r="J23" s="366">
        <f t="shared" si="3"/>
        <v>19688</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35438</v>
      </c>
      <c r="E24" s="362">
        <f t="shared" si="6"/>
        <v>110252</v>
      </c>
      <c r="F24" s="363">
        <f t="shared" si="0"/>
        <v>0.28000223489793119</v>
      </c>
      <c r="G24" s="470" t="s">
        <v>475</v>
      </c>
      <c r="H24" s="365">
        <f t="shared" si="1"/>
        <v>3544</v>
      </c>
      <c r="I24" s="366">
        <f t="shared" si="2"/>
        <v>3544</v>
      </c>
      <c r="J24" s="366">
        <f t="shared" si="3"/>
        <v>35438</v>
      </c>
      <c r="K24" s="368"/>
      <c r="L24" s="318"/>
      <c r="M24" s="318"/>
      <c r="N24" s="318"/>
      <c r="O24" s="318"/>
      <c r="P24" s="318"/>
      <c r="Q24" s="318"/>
      <c r="R24" s="318"/>
      <c r="S24" s="318"/>
      <c r="T24" s="318"/>
      <c r="U24" s="318"/>
    </row>
    <row r="25" spans="1:21" x14ac:dyDescent="0.2">
      <c r="A25" s="359">
        <v>7</v>
      </c>
      <c r="B25" s="360">
        <v>0.09</v>
      </c>
      <c r="C25" s="360">
        <f t="shared" si="4"/>
        <v>0.37</v>
      </c>
      <c r="D25" s="361">
        <f t="shared" si="5"/>
        <v>35438</v>
      </c>
      <c r="E25" s="362">
        <f t="shared" si="6"/>
        <v>145690</v>
      </c>
      <c r="F25" s="363">
        <f t="shared" si="0"/>
        <v>0.37000259044987477</v>
      </c>
      <c r="G25" s="470" t="s">
        <v>476</v>
      </c>
      <c r="H25" s="365">
        <f t="shared" si="1"/>
        <v>3544</v>
      </c>
      <c r="I25" s="366">
        <f t="shared" si="2"/>
        <v>3544</v>
      </c>
      <c r="J25" s="366">
        <f t="shared" si="3"/>
        <v>35438</v>
      </c>
      <c r="K25" s="369"/>
      <c r="L25" s="318"/>
      <c r="M25" s="318"/>
      <c r="N25" s="318"/>
      <c r="O25" s="318"/>
      <c r="P25" s="318"/>
      <c r="Q25" s="318"/>
      <c r="R25" s="318"/>
      <c r="S25" s="318"/>
      <c r="T25" s="318"/>
      <c r="U25" s="318"/>
    </row>
    <row r="26" spans="1:21" x14ac:dyDescent="0.2">
      <c r="A26" s="359">
        <v>8</v>
      </c>
      <c r="B26" s="360">
        <v>0.1</v>
      </c>
      <c r="C26" s="360">
        <f t="shared" si="4"/>
        <v>0.47</v>
      </c>
      <c r="D26" s="361">
        <f t="shared" si="5"/>
        <v>39375</v>
      </c>
      <c r="E26" s="362">
        <f t="shared" si="6"/>
        <v>185065</v>
      </c>
      <c r="F26" s="363">
        <f t="shared" si="0"/>
        <v>0.47000157458717878</v>
      </c>
      <c r="G26" s="470" t="s">
        <v>477</v>
      </c>
      <c r="H26" s="365">
        <f t="shared" si="1"/>
        <v>3938</v>
      </c>
      <c r="I26" s="366">
        <f t="shared" si="2"/>
        <v>3938</v>
      </c>
      <c r="J26" s="366">
        <f t="shared" si="3"/>
        <v>39375</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39375</v>
      </c>
      <c r="E27" s="362">
        <f t="shared" si="6"/>
        <v>224440</v>
      </c>
      <c r="F27" s="363">
        <f t="shared" si="0"/>
        <v>0.57000055872448285</v>
      </c>
      <c r="G27" s="470" t="s">
        <v>478</v>
      </c>
      <c r="H27" s="365">
        <f t="shared" si="1"/>
        <v>3938</v>
      </c>
      <c r="I27" s="366">
        <f t="shared" si="2"/>
        <v>3938</v>
      </c>
      <c r="J27" s="366">
        <f t="shared" si="3"/>
        <v>39375</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39375</v>
      </c>
      <c r="E28" s="362">
        <f t="shared" si="6"/>
        <v>263815</v>
      </c>
      <c r="F28" s="363">
        <f t="shared" si="0"/>
        <v>0.66999954286178676</v>
      </c>
      <c r="G28" s="470" t="s">
        <v>479</v>
      </c>
      <c r="H28" s="365">
        <f t="shared" si="1"/>
        <v>3938</v>
      </c>
      <c r="I28" s="366">
        <f t="shared" si="2"/>
        <v>3938</v>
      </c>
      <c r="J28" s="366">
        <f t="shared" si="3"/>
        <v>39375</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39375</v>
      </c>
      <c r="E29" s="362">
        <f t="shared" si="6"/>
        <v>303190</v>
      </c>
      <c r="F29" s="363">
        <f t="shared" si="0"/>
        <v>0.76999852699909077</v>
      </c>
      <c r="G29" s="470" t="s">
        <v>480</v>
      </c>
      <c r="H29" s="365">
        <f t="shared" si="1"/>
        <v>3938</v>
      </c>
      <c r="I29" s="366">
        <f t="shared" si="2"/>
        <v>3938</v>
      </c>
      <c r="J29" s="366">
        <f t="shared" si="3"/>
        <v>39375</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31500</v>
      </c>
      <c r="E30" s="362">
        <f t="shared" si="6"/>
        <v>334690</v>
      </c>
      <c r="F30" s="363">
        <f t="shared" si="0"/>
        <v>0.849997714308934</v>
      </c>
      <c r="G30" s="470" t="s">
        <v>481</v>
      </c>
      <c r="H30" s="365">
        <f t="shared" si="1"/>
        <v>3150</v>
      </c>
      <c r="I30" s="366">
        <f t="shared" si="2"/>
        <v>3150</v>
      </c>
      <c r="J30" s="366">
        <f t="shared" si="3"/>
        <v>31500</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23625</v>
      </c>
      <c r="E31" s="362">
        <f t="shared" si="6"/>
        <v>358315</v>
      </c>
      <c r="F31" s="363">
        <f t="shared" si="0"/>
        <v>0.90999710479131646</v>
      </c>
      <c r="G31" s="470" t="s">
        <v>482</v>
      </c>
      <c r="H31" s="365">
        <f t="shared" si="1"/>
        <v>2363</v>
      </c>
      <c r="I31" s="366">
        <f t="shared" si="2"/>
        <v>2363</v>
      </c>
      <c r="J31" s="366">
        <f t="shared" si="3"/>
        <v>23625</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15750</v>
      </c>
      <c r="E32" s="362">
        <f t="shared" si="6"/>
        <v>374065</v>
      </c>
      <c r="F32" s="363">
        <f t="shared" si="0"/>
        <v>0.94999669844623802</v>
      </c>
      <c r="G32" s="470" t="s">
        <v>483</v>
      </c>
      <c r="H32" s="365">
        <f t="shared" si="1"/>
        <v>1575</v>
      </c>
      <c r="I32" s="366">
        <f t="shared" si="2"/>
        <v>1575</v>
      </c>
      <c r="J32" s="366">
        <f t="shared" si="3"/>
        <v>15750</v>
      </c>
      <c r="K32" s="370">
        <f>+SUM(J21:J32)</f>
        <v>352408</v>
      </c>
      <c r="L32" s="318"/>
      <c r="M32" s="318"/>
      <c r="N32" s="318"/>
      <c r="O32" s="318"/>
      <c r="P32" s="318"/>
      <c r="Q32" s="318"/>
      <c r="R32" s="318"/>
      <c r="S32" s="318"/>
      <c r="T32" s="318"/>
      <c r="U32" s="318"/>
    </row>
    <row r="33" spans="1:21" x14ac:dyDescent="0.2">
      <c r="A33" s="359">
        <v>15</v>
      </c>
      <c r="B33" s="360">
        <v>0.02</v>
      </c>
      <c r="C33" s="360">
        <f t="shared" si="4"/>
        <v>0.97</v>
      </c>
      <c r="D33" s="361">
        <f>ROUND(B33*$D$11*(100-$D$14)/100,0)</f>
        <v>7875</v>
      </c>
      <c r="E33" s="362">
        <f t="shared" si="6"/>
        <v>381940</v>
      </c>
      <c r="F33" s="363">
        <f t="shared" si="0"/>
        <v>0.9699964952736988</v>
      </c>
      <c r="G33" s="470" t="s">
        <v>484</v>
      </c>
      <c r="H33" s="365">
        <f t="shared" si="1"/>
        <v>788</v>
      </c>
      <c r="I33" s="366">
        <f t="shared" si="2"/>
        <v>788</v>
      </c>
      <c r="J33" s="366">
        <f t="shared" si="3"/>
        <v>7875</v>
      </c>
      <c r="K33" s="368"/>
      <c r="L33" s="318"/>
      <c r="M33" s="318"/>
      <c r="N33" s="318"/>
      <c r="O33" s="318"/>
      <c r="P33" s="318"/>
      <c r="Q33" s="318"/>
      <c r="R33" s="318"/>
      <c r="S33" s="318"/>
      <c r="T33" s="318"/>
      <c r="U33" s="318"/>
    </row>
    <row r="34" spans="1:21" x14ac:dyDescent="0.2">
      <c r="A34" s="359">
        <v>16</v>
      </c>
      <c r="B34" s="360">
        <v>0.01</v>
      </c>
      <c r="C34" s="360">
        <f>B34+C33</f>
        <v>0.98</v>
      </c>
      <c r="D34" s="361">
        <f>ROUND(B34*$D$11*(100-$D$14)/100,0)</f>
        <v>3938</v>
      </c>
      <c r="E34" s="362">
        <f>E33+D34</f>
        <v>385878</v>
      </c>
      <c r="F34" s="363">
        <f t="shared" si="0"/>
        <v>0.9799976635157992</v>
      </c>
      <c r="G34" s="470" t="s">
        <v>485</v>
      </c>
      <c r="H34" s="365">
        <f>ROUND(D34*0.1,0)</f>
        <v>394</v>
      </c>
      <c r="I34" s="366">
        <f t="shared" si="2"/>
        <v>394</v>
      </c>
      <c r="J34" s="366">
        <f>ROUNDUP(D34*$D$12/100,-(LEN(D34)-$I$15))</f>
        <v>3938</v>
      </c>
      <c r="K34" s="368"/>
      <c r="L34" s="318"/>
      <c r="M34" s="318"/>
      <c r="N34" s="318"/>
      <c r="O34" s="318"/>
      <c r="P34" s="318"/>
      <c r="Q34" s="318"/>
      <c r="R34" s="318"/>
      <c r="S34" s="318"/>
      <c r="T34" s="318"/>
      <c r="U34" s="318"/>
    </row>
    <row r="35" spans="1:21" x14ac:dyDescent="0.2">
      <c r="A35" s="359">
        <v>17</v>
      </c>
      <c r="B35" s="360">
        <v>0.01</v>
      </c>
      <c r="C35" s="360">
        <f>B35+C34</f>
        <v>0.99</v>
      </c>
      <c r="D35" s="361">
        <f>ROUND(B35*$D$11*(100-$D$14)/100,0)</f>
        <v>3938</v>
      </c>
      <c r="E35" s="362">
        <f>E34+D35</f>
        <v>389816</v>
      </c>
      <c r="F35" s="363">
        <f t="shared" si="0"/>
        <v>0.9899988317578996</v>
      </c>
      <c r="G35" s="470" t="s">
        <v>486</v>
      </c>
      <c r="H35" s="365">
        <f>ROUND(D35*0.1,0)</f>
        <v>394</v>
      </c>
      <c r="I35" s="366">
        <f t="shared" si="2"/>
        <v>394</v>
      </c>
      <c r="J35" s="366">
        <f>ROUNDUP(D35*$D$12/100,-(LEN(D35)-$I$15))</f>
        <v>3938</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3938</v>
      </c>
      <c r="E36" s="374">
        <f>E35+D36</f>
        <v>393754</v>
      </c>
      <c r="F36" s="375">
        <f t="shared" si="0"/>
        <v>1</v>
      </c>
      <c r="G36" s="485" t="s">
        <v>487</v>
      </c>
      <c r="H36" s="377">
        <f>ROUND(D36*0.1,0)</f>
        <v>394</v>
      </c>
      <c r="I36" s="378">
        <f t="shared" si="2"/>
        <v>394</v>
      </c>
      <c r="J36" s="378">
        <f>ROUNDUP(D36*$D$12/100,-(LEN(D36)-$I$15))</f>
        <v>3938</v>
      </c>
      <c r="K36" s="370">
        <f>+SUM(J33:J36)</f>
        <v>19689</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393754</v>
      </c>
      <c r="E37" s="318"/>
      <c r="F37" s="324"/>
      <c r="G37" s="324"/>
      <c r="H37" s="318"/>
      <c r="I37" s="382">
        <f>SUM(I18:I36)</f>
        <v>39379</v>
      </c>
      <c r="J37" s="382">
        <f>SUM(J18:J36)</f>
        <v>393754</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88">
        <f>I37+J37</f>
        <v>433133</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7.2727272727061063</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83"/>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29"/>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29"/>
      <c r="C43" s="327"/>
      <c r="D43" s="327"/>
      <c r="E43" s="327"/>
      <c r="F43" s="318"/>
      <c r="G43" s="318"/>
      <c r="H43" s="324"/>
      <c r="I43" s="318"/>
      <c r="J43" s="318"/>
      <c r="K43" s="318"/>
      <c r="L43" s="318"/>
      <c r="M43" s="318"/>
      <c r="N43" s="318"/>
      <c r="O43" s="318"/>
      <c r="P43" s="318"/>
      <c r="Q43" s="318"/>
      <c r="R43" s="318"/>
      <c r="S43" s="318"/>
      <c r="T43" s="318"/>
      <c r="U43" s="318"/>
    </row>
    <row r="44" spans="1:21" x14ac:dyDescent="0.2">
      <c r="A44" s="318"/>
      <c r="B44" s="329"/>
      <c r="C44" s="327"/>
      <c r="D44" s="327"/>
      <c r="E44" s="327"/>
      <c r="F44" s="318"/>
      <c r="G44" s="318"/>
      <c r="H44" s="324"/>
      <c r="I44" s="318"/>
      <c r="J44" s="318"/>
      <c r="K44" s="318"/>
      <c r="L44" s="318"/>
      <c r="M44" s="318"/>
      <c r="N44" s="318"/>
      <c r="O44" s="318"/>
      <c r="P44" s="318"/>
      <c r="Q44" s="318"/>
      <c r="R44" s="318"/>
      <c r="S44" s="318"/>
      <c r="T44" s="318"/>
      <c r="U44" s="318"/>
    </row>
    <row r="45" spans="1:21" x14ac:dyDescent="0.2">
      <c r="A45" s="318"/>
      <c r="B45" s="329"/>
      <c r="C45" s="327"/>
      <c r="D45" s="327"/>
      <c r="E45" s="327"/>
      <c r="F45" s="318"/>
      <c r="G45" s="318"/>
      <c r="H45" s="324"/>
      <c r="I45" s="318"/>
      <c r="J45" s="318"/>
      <c r="K45" s="318"/>
      <c r="L45" s="318"/>
      <c r="M45" s="318"/>
      <c r="N45" s="318"/>
      <c r="O45" s="318"/>
      <c r="P45" s="318"/>
      <c r="Q45" s="318"/>
      <c r="R45" s="318"/>
      <c r="S45" s="318"/>
      <c r="T45" s="318"/>
      <c r="U45" s="318"/>
    </row>
    <row r="46" spans="1:21" x14ac:dyDescent="0.2">
      <c r="A46" s="318"/>
      <c r="B46" s="329"/>
      <c r="C46" s="327"/>
      <c r="D46" s="327"/>
      <c r="E46" s="327"/>
      <c r="F46" s="318"/>
      <c r="G46" s="318"/>
      <c r="H46" s="324"/>
      <c r="I46" s="318"/>
      <c r="J46" s="318"/>
      <c r="K46" s="318"/>
      <c r="L46" s="318"/>
      <c r="M46" s="318"/>
      <c r="N46" s="318"/>
      <c r="O46" s="318"/>
      <c r="P46" s="318"/>
      <c r="Q46" s="318"/>
      <c r="R46" s="318"/>
      <c r="S46" s="318"/>
      <c r="T46" s="318"/>
      <c r="U46" s="318"/>
    </row>
    <row r="47" spans="1:21" s="571" customFormat="1" ht="12.75" customHeight="1" x14ac:dyDescent="0.2">
      <c r="A47" s="570"/>
      <c r="B47" s="570" t="s">
        <v>542</v>
      </c>
      <c r="C47" s="570" t="s">
        <v>470</v>
      </c>
      <c r="D47" s="570" t="s">
        <v>471</v>
      </c>
      <c r="E47" s="570" t="s">
        <v>472</v>
      </c>
      <c r="F47" s="570" t="s">
        <v>473</v>
      </c>
      <c r="G47" s="570" t="s">
        <v>474</v>
      </c>
      <c r="H47" s="570" t="s">
        <v>475</v>
      </c>
      <c r="I47" s="570" t="s">
        <v>476</v>
      </c>
      <c r="J47" s="570" t="s">
        <v>477</v>
      </c>
      <c r="K47" s="570" t="s">
        <v>478</v>
      </c>
      <c r="L47" s="570" t="s">
        <v>479</v>
      </c>
      <c r="M47" s="570" t="s">
        <v>480</v>
      </c>
      <c r="N47" s="570" t="s">
        <v>481</v>
      </c>
      <c r="O47" s="570" t="s">
        <v>482</v>
      </c>
      <c r="P47" s="570" t="s">
        <v>483</v>
      </c>
      <c r="Q47" s="570" t="s">
        <v>484</v>
      </c>
      <c r="R47" s="570" t="s">
        <v>485</v>
      </c>
      <c r="S47" s="570" t="s">
        <v>486</v>
      </c>
      <c r="T47" s="570" t="s">
        <v>487</v>
      </c>
    </row>
    <row r="48" spans="1:21" s="574" customFormat="1" x14ac:dyDescent="0.2">
      <c r="A48" s="572" t="s">
        <v>435</v>
      </c>
      <c r="B48" s="573">
        <v>0</v>
      </c>
      <c r="C48" s="573">
        <v>0</v>
      </c>
      <c r="D48" s="573">
        <v>0</v>
      </c>
      <c r="E48" s="573">
        <v>0</v>
      </c>
      <c r="F48" s="573">
        <v>0</v>
      </c>
      <c r="G48" s="573">
        <v>0</v>
      </c>
      <c r="H48" s="573">
        <v>0</v>
      </c>
      <c r="I48" s="573">
        <v>0</v>
      </c>
      <c r="J48" s="573">
        <v>0</v>
      </c>
      <c r="K48" s="573">
        <v>0</v>
      </c>
      <c r="L48" s="573">
        <v>0</v>
      </c>
      <c r="M48" s="573">
        <v>0</v>
      </c>
      <c r="N48" s="573">
        <v>0</v>
      </c>
      <c r="O48" s="573">
        <v>0</v>
      </c>
      <c r="P48" s="573">
        <v>0</v>
      </c>
      <c r="Q48" s="573">
        <v>0</v>
      </c>
      <c r="R48" s="573">
        <v>0</v>
      </c>
      <c r="S48" s="573">
        <v>0</v>
      </c>
      <c r="T48" s="573">
        <v>0</v>
      </c>
      <c r="U48" s="574">
        <f>SUM(B48:T48)</f>
        <v>0</v>
      </c>
    </row>
    <row r="49" spans="1:21" s="574" customFormat="1" x14ac:dyDescent="0.2">
      <c r="A49" s="572" t="s">
        <v>436</v>
      </c>
      <c r="B49" s="573">
        <f>$J18</f>
        <v>0</v>
      </c>
      <c r="C49" s="573">
        <f>$J19</f>
        <v>9844</v>
      </c>
      <c r="D49" s="573">
        <f>$J20</f>
        <v>11813</v>
      </c>
      <c r="E49" s="573">
        <f>$J21</f>
        <v>13781</v>
      </c>
      <c r="F49" s="573">
        <f>$J22</f>
        <v>19688</v>
      </c>
      <c r="G49" s="573">
        <f>$J23</f>
        <v>19688</v>
      </c>
      <c r="H49" s="573">
        <f>$J24</f>
        <v>35438</v>
      </c>
      <c r="I49" s="573">
        <f>$J25</f>
        <v>35438</v>
      </c>
      <c r="J49" s="573">
        <f>$J26</f>
        <v>39375</v>
      </c>
      <c r="K49" s="573">
        <f>$J27</f>
        <v>39375</v>
      </c>
      <c r="L49" s="573">
        <f>$J28</f>
        <v>39375</v>
      </c>
      <c r="M49" s="573">
        <f>$J29</f>
        <v>39375</v>
      </c>
      <c r="N49" s="573">
        <f>$J30</f>
        <v>31500</v>
      </c>
      <c r="O49" s="573">
        <f>$J31</f>
        <v>23625</v>
      </c>
      <c r="P49" s="573">
        <f>$J32</f>
        <v>15750</v>
      </c>
      <c r="Q49" s="573">
        <f>$J33</f>
        <v>7875</v>
      </c>
      <c r="R49" s="573">
        <f>$J34</f>
        <v>3938</v>
      </c>
      <c r="S49" s="573">
        <f>$J35</f>
        <v>3938</v>
      </c>
      <c r="T49" s="573">
        <f>$J36</f>
        <v>3938</v>
      </c>
      <c r="U49" s="558">
        <f>SUM(B49:T49)</f>
        <v>393754</v>
      </c>
    </row>
    <row r="50" spans="1:21" x14ac:dyDescent="0.2">
      <c r="A50" s="575" t="s">
        <v>575</v>
      </c>
      <c r="B50" s="576">
        <f>SUM(B48:B49)</f>
        <v>0</v>
      </c>
      <c r="C50" s="576">
        <f t="shared" ref="C50:T50" si="7">SUM(C48:C49)</f>
        <v>9844</v>
      </c>
      <c r="D50" s="576">
        <f t="shared" si="7"/>
        <v>11813</v>
      </c>
      <c r="E50" s="576">
        <f t="shared" si="7"/>
        <v>13781</v>
      </c>
      <c r="F50" s="576">
        <f t="shared" si="7"/>
        <v>19688</v>
      </c>
      <c r="G50" s="576">
        <f t="shared" si="7"/>
        <v>19688</v>
      </c>
      <c r="H50" s="576">
        <f t="shared" si="7"/>
        <v>35438</v>
      </c>
      <c r="I50" s="576">
        <f t="shared" si="7"/>
        <v>35438</v>
      </c>
      <c r="J50" s="576">
        <f t="shared" si="7"/>
        <v>39375</v>
      </c>
      <c r="K50" s="576">
        <f t="shared" si="7"/>
        <v>39375</v>
      </c>
      <c r="L50" s="576">
        <f t="shared" si="7"/>
        <v>39375</v>
      </c>
      <c r="M50" s="576">
        <f t="shared" si="7"/>
        <v>39375</v>
      </c>
      <c r="N50" s="576">
        <f t="shared" si="7"/>
        <v>31500</v>
      </c>
      <c r="O50" s="576">
        <f t="shared" si="7"/>
        <v>23625</v>
      </c>
      <c r="P50" s="576">
        <f t="shared" si="7"/>
        <v>15750</v>
      </c>
      <c r="Q50" s="576">
        <f t="shared" si="7"/>
        <v>7875</v>
      </c>
      <c r="R50" s="576">
        <f t="shared" si="7"/>
        <v>3938</v>
      </c>
      <c r="S50" s="576">
        <f t="shared" si="7"/>
        <v>3938</v>
      </c>
      <c r="T50" s="576">
        <f t="shared" si="7"/>
        <v>3938</v>
      </c>
      <c r="U50" s="576">
        <f>SUM(B50:T50)</f>
        <v>393754</v>
      </c>
    </row>
    <row r="51" spans="1:21" s="558" customFormat="1" x14ac:dyDescent="0.2">
      <c r="A51" s="577" t="s">
        <v>440</v>
      </c>
      <c r="B51" s="577">
        <v>0</v>
      </c>
      <c r="C51" s="577">
        <f>C57</f>
        <v>21875</v>
      </c>
      <c r="D51" s="577">
        <f t="shared" ref="D51:T51" si="8">C51</f>
        <v>21875</v>
      </c>
      <c r="E51" s="577">
        <f t="shared" si="8"/>
        <v>21875</v>
      </c>
      <c r="F51" s="577">
        <f t="shared" si="8"/>
        <v>21875</v>
      </c>
      <c r="G51" s="577">
        <f t="shared" si="8"/>
        <v>21875</v>
      </c>
      <c r="H51" s="577">
        <f t="shared" si="8"/>
        <v>21875</v>
      </c>
      <c r="I51" s="577">
        <f t="shared" si="8"/>
        <v>21875</v>
      </c>
      <c r="J51" s="577">
        <f t="shared" si="8"/>
        <v>21875</v>
      </c>
      <c r="K51" s="577">
        <f t="shared" si="8"/>
        <v>21875</v>
      </c>
      <c r="L51" s="577">
        <f t="shared" si="8"/>
        <v>21875</v>
      </c>
      <c r="M51" s="577">
        <f t="shared" si="8"/>
        <v>21875</v>
      </c>
      <c r="N51" s="577">
        <f t="shared" si="8"/>
        <v>21875</v>
      </c>
      <c r="O51" s="577">
        <f t="shared" si="8"/>
        <v>21875</v>
      </c>
      <c r="P51" s="577">
        <f t="shared" si="8"/>
        <v>21875</v>
      </c>
      <c r="Q51" s="577">
        <f t="shared" si="8"/>
        <v>21875</v>
      </c>
      <c r="R51" s="577">
        <f t="shared" si="8"/>
        <v>21875</v>
      </c>
      <c r="S51" s="577">
        <f t="shared" si="8"/>
        <v>21875</v>
      </c>
      <c r="T51" s="577">
        <f t="shared" si="8"/>
        <v>21875</v>
      </c>
      <c r="U51" s="576">
        <f t="shared" ref="U51:U53" si="9">SUM(B51:T51)</f>
        <v>393750</v>
      </c>
    </row>
    <row r="52" spans="1:21" s="558" customFormat="1" x14ac:dyDescent="0.2">
      <c r="A52" s="577" t="s">
        <v>542</v>
      </c>
      <c r="B52" s="577">
        <f>A55*10%</f>
        <v>87500</v>
      </c>
      <c r="C52" s="577"/>
      <c r="D52" s="577"/>
      <c r="E52" s="577"/>
      <c r="F52" s="577"/>
      <c r="G52" s="577"/>
      <c r="H52" s="577"/>
      <c r="I52" s="577"/>
      <c r="J52" s="577"/>
      <c r="K52" s="577"/>
      <c r="L52" s="577"/>
      <c r="M52" s="577"/>
      <c r="N52" s="577"/>
      <c r="O52" s="577"/>
      <c r="P52" s="577"/>
      <c r="Q52" s="577"/>
      <c r="R52" s="577"/>
      <c r="S52" s="577"/>
      <c r="T52" s="577"/>
      <c r="U52" s="576">
        <f t="shared" si="9"/>
        <v>87500</v>
      </c>
    </row>
    <row r="53" spans="1:21" s="558" customFormat="1" x14ac:dyDescent="0.2">
      <c r="A53" s="577"/>
      <c r="B53" s="577">
        <f>SUM(B50:B52)</f>
        <v>87500</v>
      </c>
      <c r="C53" s="577">
        <f t="shared" ref="C53:T53" si="10">SUM(C50:C52)</f>
        <v>31719</v>
      </c>
      <c r="D53" s="577">
        <f t="shared" si="10"/>
        <v>33688</v>
      </c>
      <c r="E53" s="577">
        <f t="shared" si="10"/>
        <v>35656</v>
      </c>
      <c r="F53" s="577">
        <f t="shared" si="10"/>
        <v>41563</v>
      </c>
      <c r="G53" s="577">
        <f t="shared" si="10"/>
        <v>41563</v>
      </c>
      <c r="H53" s="577">
        <f t="shared" si="10"/>
        <v>57313</v>
      </c>
      <c r="I53" s="577">
        <f t="shared" si="10"/>
        <v>57313</v>
      </c>
      <c r="J53" s="577">
        <f t="shared" si="10"/>
        <v>61250</v>
      </c>
      <c r="K53" s="577">
        <f t="shared" si="10"/>
        <v>61250</v>
      </c>
      <c r="L53" s="577">
        <f t="shared" si="10"/>
        <v>61250</v>
      </c>
      <c r="M53" s="577">
        <f t="shared" si="10"/>
        <v>61250</v>
      </c>
      <c r="N53" s="577">
        <f t="shared" si="10"/>
        <v>53375</v>
      </c>
      <c r="O53" s="577">
        <f t="shared" si="10"/>
        <v>45500</v>
      </c>
      <c r="P53" s="577">
        <f t="shared" si="10"/>
        <v>37625</v>
      </c>
      <c r="Q53" s="577">
        <f t="shared" si="10"/>
        <v>29750</v>
      </c>
      <c r="R53" s="577">
        <f t="shared" si="10"/>
        <v>25813</v>
      </c>
      <c r="S53" s="577">
        <f t="shared" si="10"/>
        <v>25813</v>
      </c>
      <c r="T53" s="577">
        <f t="shared" si="10"/>
        <v>25813</v>
      </c>
      <c r="U53" s="576">
        <f t="shared" si="9"/>
        <v>875004</v>
      </c>
    </row>
    <row r="54" spans="1:21" s="574" customFormat="1" x14ac:dyDescent="0.2">
      <c r="C54" s="574">
        <f>B54/A55</f>
        <v>0</v>
      </c>
    </row>
    <row r="55" spans="1:21" s="574" customFormat="1" x14ac:dyDescent="0.2">
      <c r="A55" s="574">
        <f>'4. CC D'!K13</f>
        <v>875000</v>
      </c>
    </row>
    <row r="56" spans="1:21" s="574" customFormat="1" x14ac:dyDescent="0.2">
      <c r="A56" s="574">
        <f>A55*0.1</f>
        <v>87500</v>
      </c>
    </row>
    <row r="57" spans="1:21" s="574" customFormat="1" x14ac:dyDescent="0.2">
      <c r="A57" s="574">
        <f>A55*0.45</f>
        <v>393750</v>
      </c>
      <c r="C57" s="574">
        <f>A57/18</f>
        <v>21875</v>
      </c>
    </row>
    <row r="58" spans="1:21" s="574" customFormat="1" x14ac:dyDescent="0.2"/>
  </sheetData>
  <mergeCells count="6">
    <mergeCell ref="I38:J38"/>
    <mergeCell ref="A1:J1"/>
    <mergeCell ref="B3:I4"/>
    <mergeCell ref="A5:C5"/>
    <mergeCell ref="D7:F7"/>
    <mergeCell ref="C15:D15"/>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showGridLines="0" zoomScale="80" zoomScaleNormal="80" workbookViewId="0">
      <selection activeCell="G54" sqref="G54"/>
    </sheetView>
  </sheetViews>
  <sheetFormatPr defaultColWidth="9.140625" defaultRowHeight="12" x14ac:dyDescent="0.2"/>
  <cols>
    <col min="1" max="1" width="9.42578125" style="319" bestFit="1" customWidth="1"/>
    <col min="2" max="2" width="14.85546875" style="319" customWidth="1"/>
    <col min="3" max="3" width="11.7109375" style="319" bestFit="1" customWidth="1"/>
    <col min="4" max="4" width="13.42578125" style="319" customWidth="1"/>
    <col min="5" max="5" width="11" style="319" bestFit="1" customWidth="1"/>
    <col min="6" max="6" width="11.42578125" style="319" bestFit="1" customWidth="1"/>
    <col min="7" max="7" width="16.7109375" style="319" bestFit="1" customWidth="1"/>
    <col min="8" max="8" width="11" style="319" bestFit="1" customWidth="1"/>
    <col min="9" max="9" width="13.140625" style="319" bestFit="1" customWidth="1"/>
    <col min="10" max="10" width="14.28515625" style="319" customWidth="1"/>
    <col min="11" max="11" width="13.28515625" style="319" bestFit="1" customWidth="1"/>
    <col min="12" max="12" width="15.7109375" style="319" bestFit="1" customWidth="1"/>
    <col min="13" max="13" width="15.28515625" style="319" bestFit="1" customWidth="1"/>
    <col min="14" max="14" width="11.7109375" style="319" bestFit="1" customWidth="1"/>
    <col min="15" max="15" width="13.28515625" style="319" bestFit="1" customWidth="1"/>
    <col min="16" max="16" width="12" style="319" bestFit="1" customWidth="1"/>
    <col min="17" max="17" width="11" style="319" bestFit="1" customWidth="1"/>
    <col min="18" max="19" width="11.42578125" style="319" bestFit="1" customWidth="1"/>
    <col min="20" max="20" width="11" style="319" bestFit="1" customWidth="1"/>
    <col min="21" max="21" width="9.42578125" style="319" bestFit="1" customWidth="1"/>
    <col min="22" max="16384" width="9.140625" style="319"/>
  </cols>
  <sheetData>
    <row r="1" spans="1:2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377</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42304.713902662035</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85">
        <f>'4. CC D'!K12</f>
        <v>24800000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24800000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20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48.75"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0.2</v>
      </c>
      <c r="C18" s="352">
        <v>0</v>
      </c>
      <c r="D18" s="353">
        <f>ROUND(B18*D11,0)</f>
        <v>4960000</v>
      </c>
      <c r="E18" s="354">
        <f>D18</f>
        <v>4960000</v>
      </c>
      <c r="F18" s="355">
        <f t="shared" ref="F18:F36" si="0">E18/$E$36</f>
        <v>0.2</v>
      </c>
      <c r="G18" s="484" t="s">
        <v>543</v>
      </c>
      <c r="H18" s="357">
        <f t="shared" ref="H18:H33" si="1">ROUND(D18*0.1,0)</f>
        <v>496000</v>
      </c>
      <c r="I18" s="358">
        <f t="shared" ref="I18:I36" si="2">ROUNDUP((D18+H18-J18),-(LEN(D18)-$I$15))</f>
        <v>496000</v>
      </c>
      <c r="J18" s="358">
        <f t="shared" ref="J18:J33" si="3">ROUNDUP(D18*$D$12/100,-(LEN(D18)-$I$15))</f>
        <v>4960000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496000</v>
      </c>
      <c r="E19" s="362">
        <f t="shared" ref="E19:E33" si="6">E18+D19</f>
        <v>5456000</v>
      </c>
      <c r="F19" s="363">
        <f t="shared" si="0"/>
        <v>0.22</v>
      </c>
      <c r="G19" s="470" t="s">
        <v>470</v>
      </c>
      <c r="H19" s="365">
        <f t="shared" si="1"/>
        <v>49600</v>
      </c>
      <c r="I19" s="366">
        <f t="shared" si="2"/>
        <v>49600</v>
      </c>
      <c r="J19" s="366">
        <f t="shared" si="3"/>
        <v>496000</v>
      </c>
      <c r="K19" s="318"/>
      <c r="L19" s="318"/>
      <c r="M19" s="318"/>
      <c r="N19" s="318"/>
      <c r="O19" s="318"/>
      <c r="P19" s="318"/>
      <c r="Q19" s="318"/>
      <c r="R19" s="318"/>
      <c r="S19" s="318"/>
      <c r="T19" s="318"/>
      <c r="U19" s="318"/>
    </row>
    <row r="20" spans="1:21" x14ac:dyDescent="0.2">
      <c r="A20" s="359">
        <v>2</v>
      </c>
      <c r="B20" s="360">
        <v>0.03</v>
      </c>
      <c r="C20" s="360">
        <f t="shared" si="4"/>
        <v>5.5E-2</v>
      </c>
      <c r="D20" s="361">
        <f t="shared" si="5"/>
        <v>595200</v>
      </c>
      <c r="E20" s="362">
        <f t="shared" si="6"/>
        <v>6051200</v>
      </c>
      <c r="F20" s="363">
        <f t="shared" si="0"/>
        <v>0.24399999999999999</v>
      </c>
      <c r="G20" s="470" t="s">
        <v>471</v>
      </c>
      <c r="H20" s="365">
        <f t="shared" si="1"/>
        <v>59520</v>
      </c>
      <c r="I20" s="366">
        <f t="shared" si="2"/>
        <v>59520</v>
      </c>
      <c r="J20" s="366">
        <f t="shared" si="3"/>
        <v>595200</v>
      </c>
      <c r="K20" s="367">
        <f>+SUM(J18:J20)</f>
        <v>6051200</v>
      </c>
      <c r="L20" s="318"/>
      <c r="M20" s="318"/>
      <c r="N20" s="318"/>
      <c r="O20" s="318"/>
      <c r="P20" s="318"/>
      <c r="Q20" s="318"/>
      <c r="R20" s="318"/>
      <c r="S20" s="318"/>
      <c r="T20" s="318"/>
      <c r="U20" s="318"/>
    </row>
    <row r="21" spans="1:21" x14ac:dyDescent="0.2">
      <c r="A21" s="359">
        <v>3</v>
      </c>
      <c r="B21" s="360">
        <v>3.5000000000000003E-2</v>
      </c>
      <c r="C21" s="360">
        <f t="shared" si="4"/>
        <v>0.09</v>
      </c>
      <c r="D21" s="361">
        <f t="shared" si="5"/>
        <v>694400</v>
      </c>
      <c r="E21" s="362">
        <f t="shared" si="6"/>
        <v>6745600</v>
      </c>
      <c r="F21" s="363">
        <f t="shared" si="0"/>
        <v>0.27200000000000002</v>
      </c>
      <c r="G21" s="470" t="s">
        <v>472</v>
      </c>
      <c r="H21" s="365">
        <f t="shared" si="1"/>
        <v>69440</v>
      </c>
      <c r="I21" s="366">
        <f t="shared" si="2"/>
        <v>69440</v>
      </c>
      <c r="J21" s="366">
        <f t="shared" si="3"/>
        <v>694400</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992000</v>
      </c>
      <c r="E22" s="362">
        <f t="shared" si="6"/>
        <v>7737600</v>
      </c>
      <c r="F22" s="363">
        <f t="shared" si="0"/>
        <v>0.312</v>
      </c>
      <c r="G22" s="470" t="s">
        <v>473</v>
      </c>
      <c r="H22" s="365">
        <f t="shared" si="1"/>
        <v>99200</v>
      </c>
      <c r="I22" s="366">
        <f t="shared" si="2"/>
        <v>99200</v>
      </c>
      <c r="J22" s="366">
        <f t="shared" si="3"/>
        <v>992000</v>
      </c>
      <c r="K22" s="368"/>
      <c r="L22" s="318"/>
      <c r="M22" s="318"/>
      <c r="N22" s="318"/>
      <c r="O22" s="318"/>
      <c r="P22" s="318"/>
      <c r="Q22" s="318"/>
      <c r="R22" s="318"/>
      <c r="S22" s="318"/>
      <c r="T22" s="318"/>
      <c r="U22" s="318"/>
    </row>
    <row r="23" spans="1:21" x14ac:dyDescent="0.2">
      <c r="A23" s="359">
        <v>5</v>
      </c>
      <c r="B23" s="360">
        <v>0.05</v>
      </c>
      <c r="C23" s="360">
        <f t="shared" si="4"/>
        <v>0.19</v>
      </c>
      <c r="D23" s="361">
        <f t="shared" si="5"/>
        <v>992000</v>
      </c>
      <c r="E23" s="362">
        <f t="shared" si="6"/>
        <v>8729600</v>
      </c>
      <c r="F23" s="363">
        <f t="shared" si="0"/>
        <v>0.35199999999999998</v>
      </c>
      <c r="G23" s="470" t="s">
        <v>474</v>
      </c>
      <c r="H23" s="365">
        <f t="shared" si="1"/>
        <v>99200</v>
      </c>
      <c r="I23" s="366">
        <f t="shared" si="2"/>
        <v>99200</v>
      </c>
      <c r="J23" s="366">
        <f t="shared" si="3"/>
        <v>992000</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1785600</v>
      </c>
      <c r="E24" s="362">
        <f t="shared" si="6"/>
        <v>10515200</v>
      </c>
      <c r="F24" s="363">
        <f t="shared" si="0"/>
        <v>0.42399999999999999</v>
      </c>
      <c r="G24" s="470" t="s">
        <v>475</v>
      </c>
      <c r="H24" s="365">
        <f t="shared" si="1"/>
        <v>178560</v>
      </c>
      <c r="I24" s="366">
        <f t="shared" si="2"/>
        <v>178560</v>
      </c>
      <c r="J24" s="366">
        <f t="shared" si="3"/>
        <v>1785600</v>
      </c>
      <c r="K24" s="368"/>
      <c r="L24" s="318"/>
      <c r="M24" s="318"/>
      <c r="N24" s="318"/>
      <c r="O24" s="318"/>
      <c r="P24" s="318"/>
      <c r="Q24" s="318"/>
      <c r="R24" s="318"/>
      <c r="S24" s="318"/>
      <c r="T24" s="318"/>
      <c r="U24" s="318"/>
    </row>
    <row r="25" spans="1:21" x14ac:dyDescent="0.2">
      <c r="A25" s="359">
        <v>7</v>
      </c>
      <c r="B25" s="360">
        <v>0.09</v>
      </c>
      <c r="C25" s="360">
        <f t="shared" si="4"/>
        <v>0.37</v>
      </c>
      <c r="D25" s="361">
        <f t="shared" si="5"/>
        <v>1785600</v>
      </c>
      <c r="E25" s="362">
        <f t="shared" si="6"/>
        <v>12300800</v>
      </c>
      <c r="F25" s="363">
        <f t="shared" si="0"/>
        <v>0.496</v>
      </c>
      <c r="G25" s="470" t="s">
        <v>476</v>
      </c>
      <c r="H25" s="365">
        <f t="shared" si="1"/>
        <v>178560</v>
      </c>
      <c r="I25" s="366">
        <f t="shared" si="2"/>
        <v>178560</v>
      </c>
      <c r="J25" s="366">
        <f t="shared" si="3"/>
        <v>1785600</v>
      </c>
      <c r="K25" s="369"/>
      <c r="L25" s="318"/>
      <c r="M25" s="318"/>
      <c r="N25" s="318"/>
      <c r="O25" s="318"/>
      <c r="P25" s="318"/>
      <c r="Q25" s="318"/>
      <c r="R25" s="318"/>
      <c r="S25" s="318"/>
      <c r="T25" s="318"/>
      <c r="U25" s="318"/>
    </row>
    <row r="26" spans="1:21" x14ac:dyDescent="0.2">
      <c r="A26" s="359">
        <v>8</v>
      </c>
      <c r="B26" s="360">
        <v>0.1</v>
      </c>
      <c r="C26" s="360">
        <f t="shared" si="4"/>
        <v>0.47</v>
      </c>
      <c r="D26" s="361">
        <f t="shared" si="5"/>
        <v>1984000</v>
      </c>
      <c r="E26" s="362">
        <f t="shared" si="6"/>
        <v>14284800</v>
      </c>
      <c r="F26" s="363">
        <f t="shared" si="0"/>
        <v>0.57599999999999996</v>
      </c>
      <c r="G26" s="470" t="s">
        <v>477</v>
      </c>
      <c r="H26" s="365">
        <f t="shared" si="1"/>
        <v>198400</v>
      </c>
      <c r="I26" s="366">
        <f t="shared" si="2"/>
        <v>198400</v>
      </c>
      <c r="J26" s="366">
        <f t="shared" si="3"/>
        <v>1984000</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1984000</v>
      </c>
      <c r="E27" s="362">
        <f t="shared" si="6"/>
        <v>16268800</v>
      </c>
      <c r="F27" s="363">
        <f t="shared" si="0"/>
        <v>0.65600000000000003</v>
      </c>
      <c r="G27" s="470" t="s">
        <v>478</v>
      </c>
      <c r="H27" s="365">
        <f t="shared" si="1"/>
        <v>198400</v>
      </c>
      <c r="I27" s="366">
        <f t="shared" si="2"/>
        <v>198400</v>
      </c>
      <c r="J27" s="366">
        <f t="shared" si="3"/>
        <v>1984000</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1984000</v>
      </c>
      <c r="E28" s="362">
        <f t="shared" si="6"/>
        <v>18252800</v>
      </c>
      <c r="F28" s="363">
        <f t="shared" si="0"/>
        <v>0.73599999999999999</v>
      </c>
      <c r="G28" s="470" t="s">
        <v>479</v>
      </c>
      <c r="H28" s="365">
        <f t="shared" si="1"/>
        <v>198400</v>
      </c>
      <c r="I28" s="366">
        <f t="shared" si="2"/>
        <v>198400</v>
      </c>
      <c r="J28" s="366">
        <f t="shared" si="3"/>
        <v>1984000</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1984000</v>
      </c>
      <c r="E29" s="362">
        <f t="shared" si="6"/>
        <v>20236800</v>
      </c>
      <c r="F29" s="363">
        <f t="shared" si="0"/>
        <v>0.81599999999999995</v>
      </c>
      <c r="G29" s="470" t="s">
        <v>480</v>
      </c>
      <c r="H29" s="365">
        <f t="shared" si="1"/>
        <v>198400</v>
      </c>
      <c r="I29" s="366">
        <f t="shared" si="2"/>
        <v>198400</v>
      </c>
      <c r="J29" s="366">
        <f t="shared" si="3"/>
        <v>1984000</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1587200</v>
      </c>
      <c r="E30" s="362">
        <f t="shared" si="6"/>
        <v>21824000</v>
      </c>
      <c r="F30" s="363">
        <f t="shared" si="0"/>
        <v>0.88</v>
      </c>
      <c r="G30" s="470" t="s">
        <v>481</v>
      </c>
      <c r="H30" s="365">
        <f t="shared" si="1"/>
        <v>158720</v>
      </c>
      <c r="I30" s="366">
        <f t="shared" si="2"/>
        <v>158720</v>
      </c>
      <c r="J30" s="366">
        <f t="shared" si="3"/>
        <v>1587200</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1190400</v>
      </c>
      <c r="E31" s="362">
        <f t="shared" si="6"/>
        <v>23014400</v>
      </c>
      <c r="F31" s="363">
        <f t="shared" si="0"/>
        <v>0.92800000000000005</v>
      </c>
      <c r="G31" s="470" t="s">
        <v>482</v>
      </c>
      <c r="H31" s="365">
        <f t="shared" si="1"/>
        <v>119040</v>
      </c>
      <c r="I31" s="366">
        <f t="shared" si="2"/>
        <v>119040</v>
      </c>
      <c r="J31" s="366">
        <f t="shared" si="3"/>
        <v>1190400</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793600</v>
      </c>
      <c r="E32" s="362">
        <f t="shared" si="6"/>
        <v>23808000</v>
      </c>
      <c r="F32" s="363">
        <f t="shared" si="0"/>
        <v>0.96</v>
      </c>
      <c r="G32" s="470" t="s">
        <v>483</v>
      </c>
      <c r="H32" s="365">
        <f t="shared" si="1"/>
        <v>79360</v>
      </c>
      <c r="I32" s="366">
        <f t="shared" si="2"/>
        <v>79360</v>
      </c>
      <c r="J32" s="366">
        <f t="shared" si="3"/>
        <v>793600</v>
      </c>
      <c r="K32" s="370">
        <f>+SUM(J21:J32)</f>
        <v>17756800</v>
      </c>
      <c r="L32" s="318"/>
      <c r="M32" s="318"/>
      <c r="N32" s="318"/>
      <c r="O32" s="318"/>
      <c r="P32" s="318"/>
      <c r="Q32" s="318"/>
      <c r="R32" s="318"/>
      <c r="S32" s="318"/>
      <c r="T32" s="318"/>
      <c r="U32" s="318"/>
    </row>
    <row r="33" spans="1:21" x14ac:dyDescent="0.2">
      <c r="A33" s="359">
        <v>15</v>
      </c>
      <c r="B33" s="360">
        <v>0.02</v>
      </c>
      <c r="C33" s="360">
        <f t="shared" si="4"/>
        <v>0.97</v>
      </c>
      <c r="D33" s="361">
        <f>ROUND(B33*$D$11*(100-$D$14)/100,0)</f>
        <v>396800</v>
      </c>
      <c r="E33" s="362">
        <f t="shared" si="6"/>
        <v>24204800</v>
      </c>
      <c r="F33" s="363">
        <f t="shared" si="0"/>
        <v>0.97599999999999998</v>
      </c>
      <c r="G33" s="470" t="s">
        <v>484</v>
      </c>
      <c r="H33" s="365">
        <f t="shared" si="1"/>
        <v>39680</v>
      </c>
      <c r="I33" s="366">
        <f t="shared" si="2"/>
        <v>39680</v>
      </c>
      <c r="J33" s="366">
        <f t="shared" si="3"/>
        <v>396800</v>
      </c>
      <c r="K33" s="368"/>
      <c r="L33" s="318"/>
      <c r="M33" s="318"/>
      <c r="N33" s="318"/>
      <c r="O33" s="318"/>
      <c r="P33" s="318"/>
      <c r="Q33" s="318"/>
      <c r="R33" s="318"/>
      <c r="S33" s="318"/>
      <c r="T33" s="318"/>
      <c r="U33" s="318"/>
    </row>
    <row r="34" spans="1:21" x14ac:dyDescent="0.2">
      <c r="A34" s="359">
        <v>16</v>
      </c>
      <c r="B34" s="360">
        <v>0.01</v>
      </c>
      <c r="C34" s="360">
        <f>B34+C33</f>
        <v>0.98</v>
      </c>
      <c r="D34" s="361">
        <f>ROUND(B34*$D$11*(100-$D$14)/100,0)</f>
        <v>198400</v>
      </c>
      <c r="E34" s="362">
        <f>E33+D34</f>
        <v>24403200</v>
      </c>
      <c r="F34" s="363">
        <f t="shared" si="0"/>
        <v>0.98399999999999999</v>
      </c>
      <c r="G34" s="470" t="s">
        <v>485</v>
      </c>
      <c r="H34" s="365">
        <f>ROUND(D34*0.1,0)</f>
        <v>19840</v>
      </c>
      <c r="I34" s="366">
        <f t="shared" si="2"/>
        <v>19840</v>
      </c>
      <c r="J34" s="366">
        <f>ROUNDUP(D34*$D$12/100,-(LEN(D34)-$I$15))</f>
        <v>198400</v>
      </c>
      <c r="K34" s="368"/>
      <c r="L34" s="318"/>
      <c r="M34" s="318"/>
      <c r="N34" s="318"/>
      <c r="O34" s="318"/>
      <c r="P34" s="318"/>
      <c r="Q34" s="318"/>
      <c r="R34" s="318"/>
      <c r="S34" s="318"/>
      <c r="T34" s="318"/>
      <c r="U34" s="318"/>
    </row>
    <row r="35" spans="1:21" x14ac:dyDescent="0.2">
      <c r="A35" s="359">
        <v>17</v>
      </c>
      <c r="B35" s="360">
        <v>0.01</v>
      </c>
      <c r="C35" s="360">
        <f>B35+C34</f>
        <v>0.99</v>
      </c>
      <c r="D35" s="361">
        <f>ROUND(B35*$D$11*(100-$D$14)/100,0)</f>
        <v>198400</v>
      </c>
      <c r="E35" s="362">
        <f>E34+D35</f>
        <v>24601600</v>
      </c>
      <c r="F35" s="363">
        <f t="shared" si="0"/>
        <v>0.99199999999999999</v>
      </c>
      <c r="G35" s="470" t="s">
        <v>486</v>
      </c>
      <c r="H35" s="365">
        <f>ROUND(D35*0.1,0)</f>
        <v>19840</v>
      </c>
      <c r="I35" s="366">
        <f t="shared" si="2"/>
        <v>19840</v>
      </c>
      <c r="J35" s="366">
        <f>ROUNDUP(D35*$D$12/100,-(LEN(D35)-$I$15))</f>
        <v>198400</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198400</v>
      </c>
      <c r="E36" s="374">
        <f>E35+D36</f>
        <v>24800000</v>
      </c>
      <c r="F36" s="375">
        <f t="shared" si="0"/>
        <v>1</v>
      </c>
      <c r="G36" s="485" t="s">
        <v>487</v>
      </c>
      <c r="H36" s="377">
        <f>ROUND(D36*0.1,0)</f>
        <v>19840</v>
      </c>
      <c r="I36" s="378">
        <f t="shared" si="2"/>
        <v>19840</v>
      </c>
      <c r="J36" s="378">
        <f>ROUNDUP(D36*$D$12/100,-(LEN(D36)-$I$15))</f>
        <v>198400</v>
      </c>
      <c r="K36" s="370">
        <f>+SUM(J33:J36)</f>
        <v>992000</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24800000</v>
      </c>
      <c r="E37" s="318"/>
      <c r="F37" s="318"/>
      <c r="G37" s="318"/>
      <c r="H37" s="318"/>
      <c r="I37" s="382">
        <f>SUM(I18:I36)</f>
        <v>2480000</v>
      </c>
      <c r="J37" s="382">
        <f>SUM(J18:J36)</f>
        <v>24800000</v>
      </c>
      <c r="K37" s="368"/>
      <c r="L37" s="318"/>
      <c r="M37" s="318"/>
      <c r="N37" s="318"/>
      <c r="O37" s="318"/>
      <c r="P37" s="318"/>
      <c r="Q37" s="318"/>
      <c r="R37" s="318"/>
      <c r="S37" s="318"/>
      <c r="T37" s="318"/>
      <c r="U37" s="318"/>
    </row>
    <row r="38" spans="1:21" x14ac:dyDescent="0.2">
      <c r="A38" s="324"/>
      <c r="B38" s="329"/>
      <c r="C38" s="327"/>
      <c r="D38" s="327"/>
      <c r="E38" s="327"/>
      <c r="F38" s="327"/>
      <c r="G38" s="327"/>
      <c r="H38" s="330" t="s">
        <v>432</v>
      </c>
      <c r="I38" s="1088">
        <f>I37+J37</f>
        <v>27280000</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0</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29"/>
      <c r="C41" s="327"/>
      <c r="D41" s="327"/>
      <c r="E41" s="327"/>
      <c r="F41" s="318"/>
      <c r="G41" s="318"/>
      <c r="H41" s="324"/>
      <c r="I41" s="318"/>
      <c r="J41" s="318"/>
      <c r="K41" s="318"/>
      <c r="L41" s="318"/>
      <c r="M41" s="318"/>
      <c r="N41" s="318"/>
      <c r="O41" s="318"/>
      <c r="P41" s="318"/>
      <c r="Q41" s="318"/>
      <c r="R41" s="318"/>
      <c r="S41" s="318"/>
      <c r="T41" s="318"/>
      <c r="U41" s="318"/>
    </row>
    <row r="42" spans="1:21" s="473" customFormat="1" ht="12.75" customHeight="1" x14ac:dyDescent="0.2">
      <c r="A42" s="471"/>
      <c r="B42" s="472" t="s">
        <v>542</v>
      </c>
      <c r="C42" s="472" t="s">
        <v>470</v>
      </c>
      <c r="D42" s="472" t="s">
        <v>471</v>
      </c>
      <c r="E42" s="472" t="s">
        <v>472</v>
      </c>
      <c r="F42" s="472" t="s">
        <v>473</v>
      </c>
      <c r="G42" s="472" t="s">
        <v>474</v>
      </c>
      <c r="H42" s="472" t="s">
        <v>475</v>
      </c>
      <c r="I42" s="472" t="s">
        <v>476</v>
      </c>
      <c r="J42" s="472" t="s">
        <v>477</v>
      </c>
      <c r="K42" s="472" t="s">
        <v>478</v>
      </c>
      <c r="L42" s="472" t="s">
        <v>479</v>
      </c>
      <c r="M42" s="472" t="s">
        <v>480</v>
      </c>
      <c r="N42" s="472" t="s">
        <v>481</v>
      </c>
      <c r="O42" s="472" t="s">
        <v>482</v>
      </c>
      <c r="P42" s="472" t="s">
        <v>483</v>
      </c>
      <c r="Q42" s="472" t="s">
        <v>484</v>
      </c>
      <c r="R42" s="472" t="s">
        <v>485</v>
      </c>
      <c r="S42" s="472" t="s">
        <v>486</v>
      </c>
      <c r="T42" s="472" t="s">
        <v>487</v>
      </c>
    </row>
    <row r="43" spans="1:21" x14ac:dyDescent="0.2">
      <c r="A43" s="384" t="s">
        <v>435</v>
      </c>
      <c r="B43" s="361">
        <v>0</v>
      </c>
      <c r="C43" s="361">
        <v>0</v>
      </c>
      <c r="D43" s="361">
        <v>0</v>
      </c>
      <c r="E43" s="361">
        <v>0</v>
      </c>
      <c r="F43" s="361">
        <v>0</v>
      </c>
      <c r="G43" s="361">
        <v>0</v>
      </c>
      <c r="H43" s="361">
        <v>0</v>
      </c>
      <c r="I43" s="361">
        <v>0</v>
      </c>
      <c r="J43" s="361">
        <v>0</v>
      </c>
      <c r="K43" s="361">
        <v>0</v>
      </c>
      <c r="L43" s="361">
        <v>0</v>
      </c>
      <c r="M43" s="361">
        <v>0</v>
      </c>
      <c r="N43" s="361">
        <v>0</v>
      </c>
      <c r="O43" s="361">
        <v>0</v>
      </c>
      <c r="P43" s="361">
        <v>0</v>
      </c>
      <c r="Q43" s="361">
        <v>0</v>
      </c>
      <c r="R43" s="361">
        <v>0</v>
      </c>
      <c r="S43" s="361">
        <v>0</v>
      </c>
      <c r="T43" s="361">
        <v>0</v>
      </c>
      <c r="U43" s="327">
        <f>SUM(B43:T43)</f>
        <v>0</v>
      </c>
    </row>
    <row r="44" spans="1:21" x14ac:dyDescent="0.2">
      <c r="A44" s="384" t="s">
        <v>436</v>
      </c>
      <c r="B44" s="361">
        <f>$J18</f>
        <v>4960000</v>
      </c>
      <c r="C44" s="361">
        <f>$J19</f>
        <v>496000</v>
      </c>
      <c r="D44" s="361">
        <f>$J20</f>
        <v>595200</v>
      </c>
      <c r="E44" s="361">
        <f>$J21</f>
        <v>694400</v>
      </c>
      <c r="F44" s="361">
        <f>$J22</f>
        <v>992000</v>
      </c>
      <c r="G44" s="361">
        <f>$J23</f>
        <v>992000</v>
      </c>
      <c r="H44" s="361">
        <f>$J24</f>
        <v>1785600</v>
      </c>
      <c r="I44" s="361">
        <f>$J25</f>
        <v>1785600</v>
      </c>
      <c r="J44" s="361">
        <f>$J26</f>
        <v>1984000</v>
      </c>
      <c r="K44" s="361">
        <f>$J27</f>
        <v>1984000</v>
      </c>
      <c r="L44" s="361">
        <f>$J28</f>
        <v>1984000</v>
      </c>
      <c r="M44" s="361">
        <f>$J29</f>
        <v>1984000</v>
      </c>
      <c r="N44" s="361">
        <f>$J30</f>
        <v>1587200</v>
      </c>
      <c r="O44" s="361">
        <f>$J31</f>
        <v>1190400</v>
      </c>
      <c r="P44" s="361">
        <f>$J32</f>
        <v>793600</v>
      </c>
      <c r="Q44" s="361">
        <f>$J33</f>
        <v>396800</v>
      </c>
      <c r="R44" s="361">
        <f>$J34</f>
        <v>198400</v>
      </c>
      <c r="S44" s="361">
        <f>$J35</f>
        <v>198400</v>
      </c>
      <c r="T44" s="361">
        <f>$J36</f>
        <v>198400</v>
      </c>
      <c r="U44" s="327">
        <f>SUM(B44:T44)</f>
        <v>24800000</v>
      </c>
    </row>
    <row r="45" spans="1:21" x14ac:dyDescent="0.2">
      <c r="A45" s="318"/>
      <c r="B45" s="361">
        <f>B43+B44</f>
        <v>4960000</v>
      </c>
      <c r="C45" s="361">
        <f t="shared" ref="C45:U45" si="7">C43+C44</f>
        <v>496000</v>
      </c>
      <c r="D45" s="361">
        <f t="shared" si="7"/>
        <v>595200</v>
      </c>
      <c r="E45" s="361">
        <f t="shared" si="7"/>
        <v>694400</v>
      </c>
      <c r="F45" s="361">
        <f t="shared" si="7"/>
        <v>992000</v>
      </c>
      <c r="G45" s="361">
        <f t="shared" si="7"/>
        <v>992000</v>
      </c>
      <c r="H45" s="361">
        <f t="shared" si="7"/>
        <v>1785600</v>
      </c>
      <c r="I45" s="361">
        <f t="shared" si="7"/>
        <v>1785600</v>
      </c>
      <c r="J45" s="361">
        <f t="shared" si="7"/>
        <v>1984000</v>
      </c>
      <c r="K45" s="361">
        <f t="shared" si="7"/>
        <v>1984000</v>
      </c>
      <c r="L45" s="361">
        <f t="shared" si="7"/>
        <v>1984000</v>
      </c>
      <c r="M45" s="361">
        <f t="shared" si="7"/>
        <v>1984000</v>
      </c>
      <c r="N45" s="361">
        <f t="shared" si="7"/>
        <v>1587200</v>
      </c>
      <c r="O45" s="361">
        <f t="shared" si="7"/>
        <v>1190400</v>
      </c>
      <c r="P45" s="361">
        <f t="shared" si="7"/>
        <v>793600</v>
      </c>
      <c r="Q45" s="361">
        <f t="shared" si="7"/>
        <v>396800</v>
      </c>
      <c r="R45" s="361">
        <f t="shared" si="7"/>
        <v>198400</v>
      </c>
      <c r="S45" s="361">
        <f t="shared" si="7"/>
        <v>198400</v>
      </c>
      <c r="T45" s="361">
        <f t="shared" si="7"/>
        <v>198400</v>
      </c>
      <c r="U45" s="361">
        <f t="shared" si="7"/>
        <v>24800000</v>
      </c>
    </row>
    <row r="46" spans="1:21" x14ac:dyDescent="0.2">
      <c r="B46" s="562">
        <f>SUM(B45:T45)</f>
        <v>24800000</v>
      </c>
    </row>
  </sheetData>
  <mergeCells count="6">
    <mergeCell ref="I38:J38"/>
    <mergeCell ref="A1:J1"/>
    <mergeCell ref="B3:I4"/>
    <mergeCell ref="A5:C5"/>
    <mergeCell ref="D7:F7"/>
    <mergeCell ref="C15:D1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topLeftCell="J1" zoomScale="70" zoomScaleNormal="70" workbookViewId="0">
      <selection activeCell="AG30" sqref="AG30"/>
    </sheetView>
  </sheetViews>
  <sheetFormatPr defaultColWidth="11.42578125" defaultRowHeight="12.75" x14ac:dyDescent="0.2"/>
  <cols>
    <col min="17" max="17" width="4.5703125" customWidth="1"/>
  </cols>
  <sheetData/>
  <printOptions horizontalCentered="1" vertic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showGridLines="0" topLeftCell="A25" zoomScale="80" zoomScaleNormal="80" workbookViewId="0">
      <selection activeCell="A47" sqref="A47:XFD54"/>
    </sheetView>
  </sheetViews>
  <sheetFormatPr defaultColWidth="11.42578125" defaultRowHeight="12" x14ac:dyDescent="0.2"/>
  <cols>
    <col min="1" max="1" width="16.42578125" style="319" bestFit="1" customWidth="1"/>
    <col min="2" max="2" width="13.5703125" style="319" customWidth="1"/>
    <col min="3" max="3" width="13.7109375" style="319" customWidth="1"/>
    <col min="4" max="4" width="14.5703125" style="319" customWidth="1"/>
    <col min="5" max="5" width="14.42578125" style="319" customWidth="1"/>
    <col min="6" max="6" width="15.7109375" style="319" customWidth="1"/>
    <col min="7" max="7" width="17.85546875" style="319" customWidth="1"/>
    <col min="8" max="8" width="14.140625" style="319" customWidth="1"/>
    <col min="9" max="9" width="13.28515625" style="319" bestFit="1" customWidth="1"/>
    <col min="10" max="10" width="17.140625" style="319" bestFit="1" customWidth="1"/>
    <col min="11" max="11" width="14" style="319" bestFit="1" customWidth="1"/>
    <col min="12" max="12" width="16.5703125" style="319" bestFit="1" customWidth="1"/>
    <col min="13" max="13" width="16.140625" style="319" bestFit="1" customWidth="1"/>
    <col min="14" max="14" width="13" style="319" bestFit="1" customWidth="1"/>
    <col min="15" max="15" width="14" style="319" bestFit="1" customWidth="1"/>
    <col min="16" max="20" width="13" style="319" bestFit="1" customWidth="1"/>
    <col min="21" max="21" width="11.5703125" style="319" bestFit="1" customWidth="1"/>
    <col min="22" max="16384" width="11.42578125" style="319"/>
  </cols>
  <sheetData>
    <row r="1" spans="1:2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443</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42304.713902662035</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A54</f>
        <v>740250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D8/1.1</f>
        <v>672954.54545454541</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36.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v>
      </c>
      <c r="C18" s="352">
        <v>0</v>
      </c>
      <c r="D18" s="353">
        <f>ROUND(B18*D11,0)</f>
        <v>0</v>
      </c>
      <c r="E18" s="354">
        <f>D18</f>
        <v>0</v>
      </c>
      <c r="F18" s="355">
        <f t="shared" ref="F18:F36" si="0">E18/$E$36</f>
        <v>0</v>
      </c>
      <c r="G18" s="484" t="s">
        <v>543</v>
      </c>
      <c r="H18" s="357">
        <f t="shared" ref="H18:H33" si="1">ROUND(D18*0.1,0)</f>
        <v>0</v>
      </c>
      <c r="I18" s="358">
        <f t="shared" ref="I18:I36" si="2">ROUNDUP((D18+H18-J18),-(LEN(D18)-$I$15))</f>
        <v>0</v>
      </c>
      <c r="J18" s="358">
        <f t="shared" ref="J18:J33" si="3">ROUNDUP(D18*$D$12/100,-(LEN(D18)-$I$15))</f>
        <v>0</v>
      </c>
      <c r="K18" s="318"/>
      <c r="L18" s="318"/>
      <c r="M18" s="318"/>
      <c r="N18" s="318"/>
      <c r="O18" s="318"/>
      <c r="P18" s="318"/>
      <c r="Q18" s="318"/>
      <c r="R18" s="318"/>
      <c r="S18" s="318"/>
      <c r="T18" s="318"/>
      <c r="U18" s="318"/>
    </row>
    <row r="19" spans="1:21" x14ac:dyDescent="0.2">
      <c r="A19" s="359">
        <v>1</v>
      </c>
      <c r="B19" s="360">
        <v>2.5000000000000001E-2</v>
      </c>
      <c r="C19" s="360">
        <f t="shared" ref="C19:C33" si="4">B19+C18</f>
        <v>2.5000000000000001E-2</v>
      </c>
      <c r="D19" s="361">
        <f t="shared" ref="D19:D31" si="5">ROUND(B19*$D$11*(100-$D$14)/100,0)</f>
        <v>16824</v>
      </c>
      <c r="E19" s="362">
        <f t="shared" ref="E19:E33" si="6">E18+D19</f>
        <v>16824</v>
      </c>
      <c r="F19" s="363">
        <f t="shared" si="0"/>
        <v>2.5000222897850373E-2</v>
      </c>
      <c r="G19" s="470" t="s">
        <v>470</v>
      </c>
      <c r="H19" s="365">
        <f t="shared" si="1"/>
        <v>1682</v>
      </c>
      <c r="I19" s="366">
        <f t="shared" si="2"/>
        <v>1682</v>
      </c>
      <c r="J19" s="366">
        <f t="shared" si="3"/>
        <v>16824</v>
      </c>
      <c r="K19" s="318"/>
      <c r="L19" s="318"/>
      <c r="M19" s="318"/>
      <c r="N19" s="318"/>
      <c r="O19" s="318"/>
      <c r="P19" s="318"/>
      <c r="Q19" s="318"/>
      <c r="R19" s="318"/>
      <c r="S19" s="318"/>
      <c r="T19" s="318"/>
      <c r="U19" s="318"/>
    </row>
    <row r="20" spans="1:21" x14ac:dyDescent="0.2">
      <c r="A20" s="359">
        <v>2</v>
      </c>
      <c r="B20" s="360">
        <v>0.03</v>
      </c>
      <c r="C20" s="360">
        <f t="shared" si="4"/>
        <v>5.5E-2</v>
      </c>
      <c r="D20" s="361">
        <f t="shared" si="5"/>
        <v>20189</v>
      </c>
      <c r="E20" s="362">
        <f t="shared" si="6"/>
        <v>37013</v>
      </c>
      <c r="F20" s="363">
        <f t="shared" si="0"/>
        <v>5.5000787572404654E-2</v>
      </c>
      <c r="G20" s="470" t="s">
        <v>471</v>
      </c>
      <c r="H20" s="365">
        <f t="shared" si="1"/>
        <v>2019</v>
      </c>
      <c r="I20" s="366">
        <f t="shared" si="2"/>
        <v>2019</v>
      </c>
      <c r="J20" s="366">
        <f t="shared" si="3"/>
        <v>20189</v>
      </c>
      <c r="K20" s="367">
        <f>+SUM(J18:J20)</f>
        <v>37013</v>
      </c>
      <c r="L20" s="318"/>
      <c r="M20" s="318"/>
      <c r="N20" s="318"/>
      <c r="O20" s="318"/>
      <c r="P20" s="318"/>
      <c r="Q20" s="318"/>
      <c r="R20" s="318"/>
      <c r="S20" s="318"/>
      <c r="T20" s="318"/>
      <c r="U20" s="318"/>
    </row>
    <row r="21" spans="1:21" x14ac:dyDescent="0.2">
      <c r="A21" s="359">
        <v>3</v>
      </c>
      <c r="B21" s="360">
        <v>3.5000000000000003E-2</v>
      </c>
      <c r="C21" s="360">
        <f t="shared" si="4"/>
        <v>0.09</v>
      </c>
      <c r="D21" s="361">
        <f t="shared" si="5"/>
        <v>23553</v>
      </c>
      <c r="E21" s="362">
        <f t="shared" si="6"/>
        <v>60566</v>
      </c>
      <c r="F21" s="363">
        <f t="shared" si="0"/>
        <v>9.0000208037993676E-2</v>
      </c>
      <c r="G21" s="470" t="s">
        <v>472</v>
      </c>
      <c r="H21" s="365">
        <f t="shared" si="1"/>
        <v>2355</v>
      </c>
      <c r="I21" s="366">
        <f t="shared" si="2"/>
        <v>2355</v>
      </c>
      <c r="J21" s="366">
        <f t="shared" si="3"/>
        <v>23553</v>
      </c>
      <c r="K21" s="318"/>
      <c r="L21" s="318"/>
      <c r="M21" s="318"/>
      <c r="N21" s="318"/>
      <c r="O21" s="318"/>
      <c r="P21" s="318"/>
      <c r="Q21" s="318"/>
      <c r="R21" s="318"/>
      <c r="S21" s="318"/>
      <c r="T21" s="318"/>
      <c r="U21" s="318"/>
    </row>
    <row r="22" spans="1:21" x14ac:dyDescent="0.2">
      <c r="A22" s="359">
        <v>4</v>
      </c>
      <c r="B22" s="360">
        <v>0.05</v>
      </c>
      <c r="C22" s="360">
        <f t="shared" si="4"/>
        <v>0.14000000000000001</v>
      </c>
      <c r="D22" s="361">
        <f t="shared" si="5"/>
        <v>33648</v>
      </c>
      <c r="E22" s="362">
        <f t="shared" si="6"/>
        <v>94214</v>
      </c>
      <c r="F22" s="363">
        <f t="shared" si="0"/>
        <v>0.14000065383369442</v>
      </c>
      <c r="G22" s="470" t="s">
        <v>473</v>
      </c>
      <c r="H22" s="365">
        <f t="shared" si="1"/>
        <v>3365</v>
      </c>
      <c r="I22" s="366">
        <f t="shared" si="2"/>
        <v>3365</v>
      </c>
      <c r="J22" s="366">
        <f t="shared" si="3"/>
        <v>33648</v>
      </c>
      <c r="K22" s="368"/>
      <c r="L22" s="318"/>
      <c r="M22" s="318"/>
      <c r="N22" s="318"/>
      <c r="O22" s="318"/>
      <c r="P22" s="318"/>
      <c r="Q22" s="318"/>
      <c r="R22" s="318"/>
      <c r="S22" s="318"/>
      <c r="T22" s="318"/>
      <c r="U22" s="318"/>
    </row>
    <row r="23" spans="1:21" x14ac:dyDescent="0.2">
      <c r="A23" s="359">
        <v>5</v>
      </c>
      <c r="B23" s="360">
        <v>0.05</v>
      </c>
      <c r="C23" s="360">
        <f t="shared" si="4"/>
        <v>0.19</v>
      </c>
      <c r="D23" s="361">
        <f t="shared" si="5"/>
        <v>33648</v>
      </c>
      <c r="E23" s="362">
        <f t="shared" si="6"/>
        <v>127862</v>
      </c>
      <c r="F23" s="363">
        <f t="shared" si="0"/>
        <v>0.19000109962939518</v>
      </c>
      <c r="G23" s="470" t="s">
        <v>474</v>
      </c>
      <c r="H23" s="365">
        <f t="shared" si="1"/>
        <v>3365</v>
      </c>
      <c r="I23" s="366">
        <f t="shared" si="2"/>
        <v>3365</v>
      </c>
      <c r="J23" s="366">
        <f t="shared" si="3"/>
        <v>33648</v>
      </c>
      <c r="K23" s="368"/>
      <c r="L23" s="318"/>
      <c r="M23" s="318"/>
      <c r="N23" s="318"/>
      <c r="O23" s="318"/>
      <c r="P23" s="318"/>
      <c r="Q23" s="318"/>
      <c r="R23" s="318"/>
      <c r="S23" s="318"/>
      <c r="T23" s="318"/>
      <c r="U23" s="318"/>
    </row>
    <row r="24" spans="1:21" x14ac:dyDescent="0.2">
      <c r="A24" s="359">
        <v>6</v>
      </c>
      <c r="B24" s="360">
        <v>0.09</v>
      </c>
      <c r="C24" s="360">
        <f t="shared" si="4"/>
        <v>0.28000000000000003</v>
      </c>
      <c r="D24" s="361">
        <f t="shared" si="5"/>
        <v>60566</v>
      </c>
      <c r="E24" s="362">
        <f t="shared" si="6"/>
        <v>188428</v>
      </c>
      <c r="F24" s="363">
        <f t="shared" si="0"/>
        <v>0.28000130766738884</v>
      </c>
      <c r="G24" s="470" t="s">
        <v>475</v>
      </c>
      <c r="H24" s="365">
        <f t="shared" si="1"/>
        <v>6057</v>
      </c>
      <c r="I24" s="366">
        <f t="shared" si="2"/>
        <v>6057</v>
      </c>
      <c r="J24" s="366">
        <f t="shared" si="3"/>
        <v>60566</v>
      </c>
      <c r="K24" s="368"/>
      <c r="L24" s="318"/>
      <c r="M24" s="318"/>
      <c r="N24" s="318"/>
      <c r="O24" s="318"/>
      <c r="P24" s="318"/>
      <c r="Q24" s="318"/>
      <c r="R24" s="318"/>
      <c r="S24" s="318"/>
      <c r="T24" s="318"/>
      <c r="U24" s="318"/>
    </row>
    <row r="25" spans="1:21" x14ac:dyDescent="0.2">
      <c r="A25" s="359">
        <v>7</v>
      </c>
      <c r="B25" s="360">
        <v>0.09</v>
      </c>
      <c r="C25" s="360">
        <f t="shared" si="4"/>
        <v>0.37</v>
      </c>
      <c r="D25" s="361">
        <f t="shared" si="5"/>
        <v>60566</v>
      </c>
      <c r="E25" s="362">
        <f t="shared" si="6"/>
        <v>248994</v>
      </c>
      <c r="F25" s="363">
        <f t="shared" si="0"/>
        <v>0.37000151570538253</v>
      </c>
      <c r="G25" s="470" t="s">
        <v>476</v>
      </c>
      <c r="H25" s="365">
        <f t="shared" si="1"/>
        <v>6057</v>
      </c>
      <c r="I25" s="366">
        <f t="shared" si="2"/>
        <v>6057</v>
      </c>
      <c r="J25" s="366">
        <f t="shared" si="3"/>
        <v>60566</v>
      </c>
      <c r="K25" s="369"/>
      <c r="L25" s="318"/>
      <c r="M25" s="318"/>
      <c r="N25" s="318"/>
      <c r="O25" s="318"/>
      <c r="P25" s="318"/>
      <c r="Q25" s="318"/>
      <c r="R25" s="318"/>
      <c r="S25" s="318"/>
      <c r="T25" s="318"/>
      <c r="U25" s="318"/>
    </row>
    <row r="26" spans="1:21" x14ac:dyDescent="0.2">
      <c r="A26" s="359">
        <v>8</v>
      </c>
      <c r="B26" s="360">
        <v>0.1</v>
      </c>
      <c r="C26" s="360">
        <f t="shared" si="4"/>
        <v>0.47</v>
      </c>
      <c r="D26" s="361">
        <f t="shared" si="5"/>
        <v>67295</v>
      </c>
      <c r="E26" s="362">
        <f t="shared" si="6"/>
        <v>316289</v>
      </c>
      <c r="F26" s="363">
        <f t="shared" si="0"/>
        <v>0.47000092131111487</v>
      </c>
      <c r="G26" s="470" t="s">
        <v>477</v>
      </c>
      <c r="H26" s="365">
        <f t="shared" si="1"/>
        <v>6730</v>
      </c>
      <c r="I26" s="366">
        <f t="shared" si="2"/>
        <v>6730</v>
      </c>
      <c r="J26" s="366">
        <f t="shared" si="3"/>
        <v>67295</v>
      </c>
      <c r="K26" s="368"/>
      <c r="L26" s="318"/>
      <c r="M26" s="318"/>
      <c r="N26" s="318"/>
      <c r="O26" s="318"/>
      <c r="P26" s="318"/>
      <c r="Q26" s="318"/>
      <c r="R26" s="318"/>
      <c r="S26" s="318"/>
      <c r="T26" s="318"/>
      <c r="U26" s="318"/>
    </row>
    <row r="27" spans="1:21" x14ac:dyDescent="0.2">
      <c r="A27" s="359">
        <v>9</v>
      </c>
      <c r="B27" s="360">
        <v>0.1</v>
      </c>
      <c r="C27" s="360">
        <f t="shared" si="4"/>
        <v>0.56999999999999995</v>
      </c>
      <c r="D27" s="361">
        <f t="shared" si="5"/>
        <v>67295</v>
      </c>
      <c r="E27" s="362">
        <f t="shared" si="6"/>
        <v>383584</v>
      </c>
      <c r="F27" s="363">
        <f t="shared" si="0"/>
        <v>0.57000032691684721</v>
      </c>
      <c r="G27" s="470" t="s">
        <v>478</v>
      </c>
      <c r="H27" s="365">
        <f t="shared" si="1"/>
        <v>6730</v>
      </c>
      <c r="I27" s="366">
        <f t="shared" si="2"/>
        <v>6730</v>
      </c>
      <c r="J27" s="366">
        <f t="shared" si="3"/>
        <v>67295</v>
      </c>
      <c r="K27" s="368"/>
      <c r="L27" s="318"/>
      <c r="M27" s="318"/>
      <c r="N27" s="318"/>
      <c r="O27" s="318"/>
      <c r="P27" s="318"/>
      <c r="Q27" s="318"/>
      <c r="R27" s="318"/>
      <c r="S27" s="318"/>
      <c r="T27" s="318"/>
      <c r="U27" s="318"/>
    </row>
    <row r="28" spans="1:21" x14ac:dyDescent="0.2">
      <c r="A28" s="359">
        <v>10</v>
      </c>
      <c r="B28" s="360">
        <v>0.1</v>
      </c>
      <c r="C28" s="360">
        <f t="shared" si="4"/>
        <v>0.66999999999999993</v>
      </c>
      <c r="D28" s="361">
        <f t="shared" si="5"/>
        <v>67295</v>
      </c>
      <c r="E28" s="362">
        <f t="shared" si="6"/>
        <v>450879</v>
      </c>
      <c r="F28" s="363">
        <f t="shared" si="0"/>
        <v>0.66999973252257961</v>
      </c>
      <c r="G28" s="470" t="s">
        <v>479</v>
      </c>
      <c r="H28" s="365">
        <f t="shared" si="1"/>
        <v>6730</v>
      </c>
      <c r="I28" s="366">
        <f t="shared" si="2"/>
        <v>6730</v>
      </c>
      <c r="J28" s="366">
        <f t="shared" si="3"/>
        <v>67295</v>
      </c>
      <c r="K28" s="368"/>
      <c r="L28" s="318"/>
      <c r="M28" s="318"/>
      <c r="N28" s="318"/>
      <c r="O28" s="318"/>
      <c r="P28" s="318"/>
      <c r="Q28" s="318"/>
      <c r="R28" s="318"/>
      <c r="S28" s="318"/>
      <c r="T28" s="318"/>
      <c r="U28" s="318"/>
    </row>
    <row r="29" spans="1:21" x14ac:dyDescent="0.2">
      <c r="A29" s="359">
        <v>11</v>
      </c>
      <c r="B29" s="360">
        <v>0.1</v>
      </c>
      <c r="C29" s="360">
        <f t="shared" si="4"/>
        <v>0.76999999999999991</v>
      </c>
      <c r="D29" s="361">
        <f t="shared" si="5"/>
        <v>67295</v>
      </c>
      <c r="E29" s="362">
        <f t="shared" si="6"/>
        <v>518174</v>
      </c>
      <c r="F29" s="363">
        <f t="shared" si="0"/>
        <v>0.76999913812831189</v>
      </c>
      <c r="G29" s="470" t="s">
        <v>480</v>
      </c>
      <c r="H29" s="365">
        <f t="shared" si="1"/>
        <v>6730</v>
      </c>
      <c r="I29" s="366">
        <f t="shared" si="2"/>
        <v>6730</v>
      </c>
      <c r="J29" s="366">
        <f t="shared" si="3"/>
        <v>67295</v>
      </c>
      <c r="K29" s="368"/>
      <c r="L29" s="318"/>
      <c r="M29" s="318"/>
      <c r="N29" s="318"/>
      <c r="O29" s="318"/>
      <c r="P29" s="318"/>
      <c r="Q29" s="318"/>
      <c r="R29" s="318"/>
      <c r="S29" s="318"/>
      <c r="T29" s="318"/>
      <c r="U29" s="318"/>
    </row>
    <row r="30" spans="1:21" x14ac:dyDescent="0.2">
      <c r="A30" s="359">
        <v>12</v>
      </c>
      <c r="B30" s="360">
        <v>0.08</v>
      </c>
      <c r="C30" s="360">
        <f t="shared" si="4"/>
        <v>0.84999999999999987</v>
      </c>
      <c r="D30" s="361">
        <f t="shared" si="5"/>
        <v>53836</v>
      </c>
      <c r="E30" s="362">
        <f t="shared" si="6"/>
        <v>572010</v>
      </c>
      <c r="F30" s="363">
        <f t="shared" si="0"/>
        <v>0.8499986626128978</v>
      </c>
      <c r="G30" s="470" t="s">
        <v>481</v>
      </c>
      <c r="H30" s="365">
        <f t="shared" si="1"/>
        <v>5384</v>
      </c>
      <c r="I30" s="366">
        <f t="shared" si="2"/>
        <v>5384</v>
      </c>
      <c r="J30" s="366">
        <f t="shared" si="3"/>
        <v>53836</v>
      </c>
      <c r="K30" s="368"/>
      <c r="L30" s="318"/>
      <c r="M30" s="318"/>
      <c r="N30" s="318"/>
      <c r="O30" s="318"/>
      <c r="P30" s="318"/>
      <c r="Q30" s="318"/>
      <c r="R30" s="318"/>
      <c r="S30" s="318"/>
      <c r="T30" s="318"/>
      <c r="U30" s="318"/>
    </row>
    <row r="31" spans="1:21" x14ac:dyDescent="0.2">
      <c r="A31" s="359">
        <v>13</v>
      </c>
      <c r="B31" s="360">
        <v>0.06</v>
      </c>
      <c r="C31" s="360">
        <f t="shared" si="4"/>
        <v>0.90999999999999992</v>
      </c>
      <c r="D31" s="361">
        <f t="shared" si="5"/>
        <v>40377</v>
      </c>
      <c r="E31" s="362">
        <f t="shared" si="6"/>
        <v>612387</v>
      </c>
      <c r="F31" s="363">
        <f t="shared" si="0"/>
        <v>0.90999830597633713</v>
      </c>
      <c r="G31" s="470" t="s">
        <v>482</v>
      </c>
      <c r="H31" s="365">
        <f t="shared" si="1"/>
        <v>4038</v>
      </c>
      <c r="I31" s="366">
        <f t="shared" si="2"/>
        <v>4038</v>
      </c>
      <c r="J31" s="366">
        <f t="shared" si="3"/>
        <v>40377</v>
      </c>
      <c r="K31" s="368"/>
      <c r="L31" s="318"/>
      <c r="M31" s="318"/>
      <c r="N31" s="318"/>
      <c r="O31" s="318"/>
      <c r="P31" s="318"/>
      <c r="Q31" s="318"/>
      <c r="R31" s="318"/>
      <c r="S31" s="318"/>
      <c r="T31" s="318"/>
      <c r="U31" s="318"/>
    </row>
    <row r="32" spans="1:21" x14ac:dyDescent="0.2">
      <c r="A32" s="359">
        <v>14</v>
      </c>
      <c r="B32" s="360">
        <v>0.04</v>
      </c>
      <c r="C32" s="360">
        <f t="shared" si="4"/>
        <v>0.95</v>
      </c>
      <c r="D32" s="361">
        <f>ROUND(B32*$D$11*(100-$D$14)/100,0)</f>
        <v>26918</v>
      </c>
      <c r="E32" s="362">
        <f t="shared" si="6"/>
        <v>639305</v>
      </c>
      <c r="F32" s="363">
        <f t="shared" si="0"/>
        <v>0.94999806821863009</v>
      </c>
      <c r="G32" s="470" t="s">
        <v>483</v>
      </c>
      <c r="H32" s="365">
        <f t="shared" si="1"/>
        <v>2692</v>
      </c>
      <c r="I32" s="366">
        <f t="shared" si="2"/>
        <v>2692</v>
      </c>
      <c r="J32" s="366">
        <f t="shared" si="3"/>
        <v>26918</v>
      </c>
      <c r="K32" s="370">
        <f>+SUM(J21:J32)</f>
        <v>602292</v>
      </c>
      <c r="L32" s="318"/>
      <c r="M32" s="318"/>
      <c r="N32" s="318"/>
      <c r="O32" s="318"/>
      <c r="P32" s="318"/>
      <c r="Q32" s="318"/>
      <c r="R32" s="318"/>
      <c r="S32" s="318"/>
      <c r="T32" s="318"/>
      <c r="U32" s="318"/>
    </row>
    <row r="33" spans="1:21" x14ac:dyDescent="0.2">
      <c r="A33" s="359">
        <v>15</v>
      </c>
      <c r="B33" s="360">
        <v>0.02</v>
      </c>
      <c r="C33" s="360">
        <f t="shared" si="4"/>
        <v>0.97</v>
      </c>
      <c r="D33" s="361">
        <f>ROUND(B33*$D$11*(100-$D$14)/100,0)</f>
        <v>13459</v>
      </c>
      <c r="E33" s="362">
        <f t="shared" si="6"/>
        <v>652764</v>
      </c>
      <c r="F33" s="363">
        <f t="shared" si="0"/>
        <v>0.96999794933977657</v>
      </c>
      <c r="G33" s="470" t="s">
        <v>484</v>
      </c>
      <c r="H33" s="365">
        <f t="shared" si="1"/>
        <v>1346</v>
      </c>
      <c r="I33" s="366">
        <f t="shared" si="2"/>
        <v>1346</v>
      </c>
      <c r="J33" s="366">
        <f t="shared" si="3"/>
        <v>13459</v>
      </c>
      <c r="K33" s="368"/>
      <c r="L33" s="318"/>
      <c r="M33" s="318"/>
      <c r="N33" s="318"/>
      <c r="O33" s="318"/>
      <c r="P33" s="318"/>
      <c r="Q33" s="318"/>
      <c r="R33" s="318"/>
      <c r="S33" s="318"/>
      <c r="T33" s="318"/>
      <c r="U33" s="318"/>
    </row>
    <row r="34" spans="1:21" x14ac:dyDescent="0.2">
      <c r="A34" s="359">
        <v>16</v>
      </c>
      <c r="B34" s="360">
        <v>0.01</v>
      </c>
      <c r="C34" s="360">
        <f>B34+C33</f>
        <v>0.98</v>
      </c>
      <c r="D34" s="361">
        <f>ROUND(B34*$D$11*(100-$D$14)/100,0)</f>
        <v>6730</v>
      </c>
      <c r="E34" s="362">
        <f>E33+D34</f>
        <v>659494</v>
      </c>
      <c r="F34" s="363">
        <f t="shared" si="0"/>
        <v>0.97999863289318434</v>
      </c>
      <c r="G34" s="470" t="s">
        <v>485</v>
      </c>
      <c r="H34" s="365">
        <f>ROUND(D34*0.1,0)</f>
        <v>673</v>
      </c>
      <c r="I34" s="366">
        <f t="shared" si="2"/>
        <v>673</v>
      </c>
      <c r="J34" s="366">
        <f>ROUNDUP(D34*$D$12/100,-(LEN(D34)-$I$15))</f>
        <v>6730</v>
      </c>
      <c r="K34" s="368"/>
      <c r="L34" s="318"/>
      <c r="M34" s="318"/>
      <c r="N34" s="318"/>
      <c r="O34" s="318"/>
      <c r="P34" s="318"/>
      <c r="Q34" s="318"/>
      <c r="R34" s="318"/>
      <c r="S34" s="318"/>
      <c r="T34" s="318"/>
      <c r="U34" s="318"/>
    </row>
    <row r="35" spans="1:21" x14ac:dyDescent="0.2">
      <c r="A35" s="359">
        <v>17</v>
      </c>
      <c r="B35" s="360">
        <v>0.01</v>
      </c>
      <c r="C35" s="360">
        <f>B35+C34</f>
        <v>0.99</v>
      </c>
      <c r="D35" s="361">
        <f>ROUND(B35*$D$11*(100-$D$14)/100,0)</f>
        <v>6730</v>
      </c>
      <c r="E35" s="362">
        <f>E34+D35</f>
        <v>666224</v>
      </c>
      <c r="F35" s="363">
        <f t="shared" si="0"/>
        <v>0.98999931644659223</v>
      </c>
      <c r="G35" s="470" t="s">
        <v>486</v>
      </c>
      <c r="H35" s="365">
        <f>ROUND(D35*0.1,0)</f>
        <v>673</v>
      </c>
      <c r="I35" s="366">
        <f t="shared" si="2"/>
        <v>673</v>
      </c>
      <c r="J35" s="366">
        <f>ROUNDUP(D35*$D$12/100,-(LEN(D35)-$I$15))</f>
        <v>6730</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6730</v>
      </c>
      <c r="E36" s="374">
        <f>E35+D36</f>
        <v>672954</v>
      </c>
      <c r="F36" s="375">
        <f t="shared" si="0"/>
        <v>1</v>
      </c>
      <c r="G36" s="485" t="s">
        <v>487</v>
      </c>
      <c r="H36" s="377">
        <f>ROUND(D36*0.1,0)</f>
        <v>673</v>
      </c>
      <c r="I36" s="378">
        <f t="shared" si="2"/>
        <v>673</v>
      </c>
      <c r="J36" s="378">
        <f>ROUNDUP(D36*$D$12/100,-(LEN(D36)-$I$15))</f>
        <v>6730</v>
      </c>
      <c r="K36" s="370">
        <f>+SUM(J33:J36)</f>
        <v>33649</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672954</v>
      </c>
      <c r="E37" s="318"/>
      <c r="F37" s="324"/>
      <c r="G37" s="324"/>
      <c r="H37" s="318"/>
      <c r="I37" s="382">
        <f>SUM(I18:I36)</f>
        <v>67299</v>
      </c>
      <c r="J37" s="382">
        <f>SUM(J18:J36)</f>
        <v>672954</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88">
        <f>I37+J37</f>
        <v>740253</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2.7272727272938937</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29"/>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29"/>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29"/>
      <c r="C43" s="327"/>
      <c r="D43" s="327"/>
      <c r="E43" s="327"/>
      <c r="F43" s="318"/>
      <c r="G43" s="318"/>
      <c r="H43" s="324"/>
      <c r="I43" s="318"/>
      <c r="J43" s="318"/>
      <c r="K43" s="318"/>
      <c r="L43" s="318"/>
      <c r="M43" s="318"/>
      <c r="N43" s="318"/>
      <c r="O43" s="318"/>
      <c r="P43" s="318"/>
      <c r="Q43" s="318"/>
      <c r="R43" s="318"/>
      <c r="S43" s="318"/>
      <c r="T43" s="318"/>
      <c r="U43" s="318"/>
    </row>
    <row r="44" spans="1:21" s="473" customFormat="1" ht="12.75" customHeight="1" x14ac:dyDescent="0.2">
      <c r="A44" s="471"/>
      <c r="B44" s="472" t="s">
        <v>542</v>
      </c>
      <c r="C44" s="472" t="s">
        <v>470</v>
      </c>
      <c r="D44" s="472" t="s">
        <v>471</v>
      </c>
      <c r="E44" s="472" t="s">
        <v>472</v>
      </c>
      <c r="F44" s="472" t="s">
        <v>473</v>
      </c>
      <c r="G44" s="472" t="s">
        <v>474</v>
      </c>
      <c r="H44" s="472" t="s">
        <v>475</v>
      </c>
      <c r="I44" s="472" t="s">
        <v>476</v>
      </c>
      <c r="J44" s="472" t="s">
        <v>477</v>
      </c>
      <c r="K44" s="472" t="s">
        <v>478</v>
      </c>
      <c r="L44" s="472" t="s">
        <v>479</v>
      </c>
      <c r="M44" s="472" t="s">
        <v>480</v>
      </c>
      <c r="N44" s="472" t="s">
        <v>481</v>
      </c>
      <c r="O44" s="472" t="s">
        <v>482</v>
      </c>
      <c r="P44" s="472" t="s">
        <v>483</v>
      </c>
      <c r="Q44" s="472" t="s">
        <v>484</v>
      </c>
      <c r="R44" s="472" t="s">
        <v>485</v>
      </c>
      <c r="S44" s="472" t="s">
        <v>486</v>
      </c>
      <c r="T44" s="472" t="s">
        <v>487</v>
      </c>
    </row>
    <row r="45" spans="1:21" x14ac:dyDescent="0.2">
      <c r="A45" s="384" t="s">
        <v>435</v>
      </c>
      <c r="B45" s="361">
        <f>I18</f>
        <v>0</v>
      </c>
      <c r="C45" s="361">
        <f>I19</f>
        <v>1682</v>
      </c>
      <c r="D45" s="361">
        <f>I20</f>
        <v>2019</v>
      </c>
      <c r="E45" s="361">
        <f>I21</f>
        <v>2355</v>
      </c>
      <c r="F45" s="361">
        <f>I22</f>
        <v>3365</v>
      </c>
      <c r="G45" s="361">
        <f>I23</f>
        <v>3365</v>
      </c>
      <c r="H45" s="361">
        <f>I24</f>
        <v>6057</v>
      </c>
      <c r="I45" s="361">
        <f>I25</f>
        <v>6057</v>
      </c>
      <c r="J45" s="361">
        <f>I26</f>
        <v>6730</v>
      </c>
      <c r="K45" s="361">
        <f>I27</f>
        <v>6730</v>
      </c>
      <c r="L45" s="361">
        <f>I28</f>
        <v>6730</v>
      </c>
      <c r="M45" s="361">
        <f>I29</f>
        <v>6730</v>
      </c>
      <c r="N45" s="361">
        <f>I30</f>
        <v>5384</v>
      </c>
      <c r="O45" s="361">
        <f>I31</f>
        <v>4038</v>
      </c>
      <c r="P45" s="361">
        <f>I32</f>
        <v>2692</v>
      </c>
      <c r="Q45" s="361">
        <f>I33</f>
        <v>1346</v>
      </c>
      <c r="R45" s="361">
        <f>I34</f>
        <v>673</v>
      </c>
      <c r="S45" s="361">
        <f>I35</f>
        <v>673</v>
      </c>
      <c r="T45" s="361">
        <f>I36</f>
        <v>673</v>
      </c>
      <c r="U45" s="327">
        <f>SUM(B45:T45)</f>
        <v>67299</v>
      </c>
    </row>
    <row r="46" spans="1:21" x14ac:dyDescent="0.2">
      <c r="A46" s="384" t="s">
        <v>436</v>
      </c>
      <c r="B46" s="361">
        <f>$J18</f>
        <v>0</v>
      </c>
      <c r="C46" s="361">
        <f>$J19</f>
        <v>16824</v>
      </c>
      <c r="D46" s="361">
        <f>$J20</f>
        <v>20189</v>
      </c>
      <c r="E46" s="361">
        <f>$J21</f>
        <v>23553</v>
      </c>
      <c r="F46" s="361">
        <f>$J22</f>
        <v>33648</v>
      </c>
      <c r="G46" s="361">
        <f>$J23</f>
        <v>33648</v>
      </c>
      <c r="H46" s="361">
        <f>$J24</f>
        <v>60566</v>
      </c>
      <c r="I46" s="361">
        <f>$J25</f>
        <v>60566</v>
      </c>
      <c r="J46" s="361">
        <f>$J26</f>
        <v>67295</v>
      </c>
      <c r="K46" s="361">
        <f>$J27</f>
        <v>67295</v>
      </c>
      <c r="L46" s="361">
        <f>$J28</f>
        <v>67295</v>
      </c>
      <c r="M46" s="361">
        <f>$J29</f>
        <v>67295</v>
      </c>
      <c r="N46" s="361">
        <f>$J30</f>
        <v>53836</v>
      </c>
      <c r="O46" s="361">
        <f>$J31</f>
        <v>40377</v>
      </c>
      <c r="P46" s="361">
        <f>$J32</f>
        <v>26918</v>
      </c>
      <c r="Q46" s="361">
        <f>$J33</f>
        <v>13459</v>
      </c>
      <c r="R46" s="361">
        <f>$J34</f>
        <v>6730</v>
      </c>
      <c r="S46" s="361">
        <f>$J35</f>
        <v>6730</v>
      </c>
      <c r="T46" s="361">
        <f>$J36</f>
        <v>6730</v>
      </c>
      <c r="U46" s="327">
        <f>SUM(B46:T46)</f>
        <v>672954</v>
      </c>
    </row>
    <row r="47" spans="1:21" x14ac:dyDescent="0.2">
      <c r="A47" s="575" t="s">
        <v>575</v>
      </c>
      <c r="B47" s="576">
        <f>B45+B46</f>
        <v>0</v>
      </c>
      <c r="C47" s="576">
        <f t="shared" ref="C47:T47" si="7">C45+C46</f>
        <v>18506</v>
      </c>
      <c r="D47" s="576">
        <f t="shared" si="7"/>
        <v>22208</v>
      </c>
      <c r="E47" s="576">
        <f t="shared" si="7"/>
        <v>25908</v>
      </c>
      <c r="F47" s="576">
        <f t="shared" si="7"/>
        <v>37013</v>
      </c>
      <c r="G47" s="576">
        <f t="shared" si="7"/>
        <v>37013</v>
      </c>
      <c r="H47" s="576">
        <f t="shared" si="7"/>
        <v>66623</v>
      </c>
      <c r="I47" s="576">
        <f t="shared" si="7"/>
        <v>66623</v>
      </c>
      <c r="J47" s="576">
        <f t="shared" si="7"/>
        <v>74025</v>
      </c>
      <c r="K47" s="576">
        <f t="shared" si="7"/>
        <v>74025</v>
      </c>
      <c r="L47" s="576">
        <f t="shared" si="7"/>
        <v>74025</v>
      </c>
      <c r="M47" s="576">
        <f t="shared" si="7"/>
        <v>74025</v>
      </c>
      <c r="N47" s="576">
        <f t="shared" si="7"/>
        <v>59220</v>
      </c>
      <c r="O47" s="576">
        <f t="shared" si="7"/>
        <v>44415</v>
      </c>
      <c r="P47" s="576">
        <f t="shared" si="7"/>
        <v>29610</v>
      </c>
      <c r="Q47" s="576">
        <f t="shared" si="7"/>
        <v>14805</v>
      </c>
      <c r="R47" s="576">
        <f t="shared" si="7"/>
        <v>7403</v>
      </c>
      <c r="S47" s="576">
        <f t="shared" si="7"/>
        <v>7403</v>
      </c>
      <c r="T47" s="576">
        <f t="shared" si="7"/>
        <v>7403</v>
      </c>
      <c r="U47" s="576">
        <f>SUM(B47:T47)</f>
        <v>740253</v>
      </c>
    </row>
    <row r="48" spans="1:21" s="558" customFormat="1" x14ac:dyDescent="0.2">
      <c r="A48" s="577" t="s">
        <v>440</v>
      </c>
      <c r="B48" s="577">
        <v>0</v>
      </c>
      <c r="C48" s="577">
        <f>C54</f>
        <v>41125</v>
      </c>
      <c r="D48" s="577">
        <f t="shared" ref="D48:T48" si="8">C48</f>
        <v>41125</v>
      </c>
      <c r="E48" s="577">
        <f t="shared" si="8"/>
        <v>41125</v>
      </c>
      <c r="F48" s="577">
        <f t="shared" si="8"/>
        <v>41125</v>
      </c>
      <c r="G48" s="577">
        <f t="shared" si="8"/>
        <v>41125</v>
      </c>
      <c r="H48" s="577">
        <f t="shared" si="8"/>
        <v>41125</v>
      </c>
      <c r="I48" s="577">
        <f t="shared" si="8"/>
        <v>41125</v>
      </c>
      <c r="J48" s="577">
        <f t="shared" si="8"/>
        <v>41125</v>
      </c>
      <c r="K48" s="577">
        <f t="shared" si="8"/>
        <v>41125</v>
      </c>
      <c r="L48" s="577">
        <f t="shared" si="8"/>
        <v>41125</v>
      </c>
      <c r="M48" s="577">
        <f t="shared" si="8"/>
        <v>41125</v>
      </c>
      <c r="N48" s="577">
        <f t="shared" si="8"/>
        <v>41125</v>
      </c>
      <c r="O48" s="577">
        <f t="shared" si="8"/>
        <v>41125</v>
      </c>
      <c r="P48" s="577">
        <f t="shared" si="8"/>
        <v>41125</v>
      </c>
      <c r="Q48" s="577">
        <f t="shared" si="8"/>
        <v>41125</v>
      </c>
      <c r="R48" s="577">
        <f t="shared" si="8"/>
        <v>41125</v>
      </c>
      <c r="S48" s="577">
        <f t="shared" si="8"/>
        <v>41125</v>
      </c>
      <c r="T48" s="577">
        <f t="shared" si="8"/>
        <v>41125</v>
      </c>
      <c r="U48" s="576">
        <f t="shared" ref="U48:U49" si="9">SUM(B48:T48)</f>
        <v>740250</v>
      </c>
    </row>
    <row r="49" spans="1:21" s="558" customFormat="1" x14ac:dyDescent="0.2">
      <c r="A49" s="577" t="s">
        <v>542</v>
      </c>
      <c r="B49" s="577">
        <f>A52*10%</f>
        <v>164500</v>
      </c>
      <c r="C49" s="577"/>
      <c r="D49" s="577"/>
      <c r="E49" s="577"/>
      <c r="F49" s="577"/>
      <c r="G49" s="577"/>
      <c r="H49" s="577"/>
      <c r="I49" s="577"/>
      <c r="J49" s="577"/>
      <c r="K49" s="577"/>
      <c r="L49" s="577"/>
      <c r="M49" s="577"/>
      <c r="N49" s="577"/>
      <c r="O49" s="577"/>
      <c r="P49" s="577"/>
      <c r="Q49" s="577"/>
      <c r="R49" s="577"/>
      <c r="S49" s="577"/>
      <c r="T49" s="577"/>
      <c r="U49" s="576">
        <f t="shared" si="9"/>
        <v>164500</v>
      </c>
    </row>
    <row r="50" spans="1:21" s="558" customFormat="1" x14ac:dyDescent="0.2">
      <c r="A50" s="577"/>
      <c r="B50" s="577">
        <f>SUM(B47:B49)</f>
        <v>164500</v>
      </c>
      <c r="C50" s="577">
        <f t="shared" ref="C50:T50" si="10">SUM(C47:C49)</f>
        <v>59631</v>
      </c>
      <c r="D50" s="577">
        <f t="shared" si="10"/>
        <v>63333</v>
      </c>
      <c r="E50" s="577">
        <f t="shared" si="10"/>
        <v>67033</v>
      </c>
      <c r="F50" s="577">
        <f t="shared" si="10"/>
        <v>78138</v>
      </c>
      <c r="G50" s="577">
        <f t="shared" si="10"/>
        <v>78138</v>
      </c>
      <c r="H50" s="577">
        <f t="shared" si="10"/>
        <v>107748</v>
      </c>
      <c r="I50" s="577">
        <f t="shared" si="10"/>
        <v>107748</v>
      </c>
      <c r="J50" s="577">
        <f t="shared" si="10"/>
        <v>115150</v>
      </c>
      <c r="K50" s="577">
        <f t="shared" si="10"/>
        <v>115150</v>
      </c>
      <c r="L50" s="577">
        <f t="shared" si="10"/>
        <v>115150</v>
      </c>
      <c r="M50" s="577">
        <f t="shared" si="10"/>
        <v>115150</v>
      </c>
      <c r="N50" s="577">
        <f t="shared" si="10"/>
        <v>100345</v>
      </c>
      <c r="O50" s="577">
        <f t="shared" si="10"/>
        <v>85540</v>
      </c>
      <c r="P50" s="577">
        <f t="shared" si="10"/>
        <v>70735</v>
      </c>
      <c r="Q50" s="577">
        <f t="shared" si="10"/>
        <v>55930</v>
      </c>
      <c r="R50" s="577">
        <f t="shared" si="10"/>
        <v>48528</v>
      </c>
      <c r="S50" s="577">
        <f t="shared" si="10"/>
        <v>48528</v>
      </c>
      <c r="T50" s="577">
        <f t="shared" si="10"/>
        <v>48528</v>
      </c>
      <c r="U50" s="576">
        <f>SUM(U47:U49)</f>
        <v>1645003</v>
      </c>
    </row>
    <row r="52" spans="1:21" x14ac:dyDescent="0.2">
      <c r="A52" s="319">
        <f>'4. CC D'!K14</f>
        <v>1645000</v>
      </c>
    </row>
    <row r="53" spans="1:21" x14ac:dyDescent="0.2">
      <c r="A53" s="319">
        <f>A52*0.1</f>
        <v>164500</v>
      </c>
    </row>
    <row r="54" spans="1:21" x14ac:dyDescent="0.2">
      <c r="A54" s="319">
        <f>A52*0.45</f>
        <v>740250</v>
      </c>
      <c r="C54" s="319">
        <f>A54/18</f>
        <v>41125</v>
      </c>
    </row>
  </sheetData>
  <mergeCells count="6">
    <mergeCell ref="I38:J38"/>
    <mergeCell ref="A1:J1"/>
    <mergeCell ref="B3:I4"/>
    <mergeCell ref="A5:C5"/>
    <mergeCell ref="D7:F7"/>
    <mergeCell ref="C15:D15"/>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18"/>
  <sheetViews>
    <sheetView showGridLines="0" topLeftCell="A53" zoomScale="85" zoomScaleNormal="85" workbookViewId="0">
      <selection activeCell="C69" sqref="C69"/>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3.28515625" style="318" bestFit="1" customWidth="1"/>
    <col min="12" max="12" width="13.42578125" style="318" customWidth="1"/>
    <col min="13" max="13" width="14.7109375" style="318" customWidth="1"/>
    <col min="14" max="14" width="14.85546875" style="318" bestFit="1" customWidth="1"/>
    <col min="15" max="16" width="14.42578125" style="318" customWidth="1"/>
    <col min="17" max="17" width="16.5703125" style="318" bestFit="1" customWidth="1"/>
    <col min="18" max="18" width="11" style="318" bestFit="1" customWidth="1"/>
    <col min="19"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3.140625" style="318" bestFit="1" customWidth="1"/>
    <col min="268" max="268" width="13.42578125" style="318" customWidth="1"/>
    <col min="269" max="269" width="14.7109375" style="318" customWidth="1"/>
    <col min="270" max="270" width="14.7109375" style="318" bestFit="1" customWidth="1"/>
    <col min="271" max="272" width="14.42578125" style="318" customWidth="1"/>
    <col min="273" max="273" width="14.85546875" style="318" bestFit="1" customWidth="1"/>
    <col min="274" max="274" width="10.85546875" style="318" bestFit="1" customWidth="1"/>
    <col min="275"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3.140625" style="318" bestFit="1" customWidth="1"/>
    <col min="524" max="524" width="13.42578125" style="318" customWidth="1"/>
    <col min="525" max="525" width="14.7109375" style="318" customWidth="1"/>
    <col min="526" max="526" width="14.7109375" style="318" bestFit="1" customWidth="1"/>
    <col min="527" max="528" width="14.42578125" style="318" customWidth="1"/>
    <col min="529" max="529" width="14.85546875" style="318" bestFit="1" customWidth="1"/>
    <col min="530" max="530" width="10.85546875" style="318" bestFit="1" customWidth="1"/>
    <col min="531"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3.140625" style="318" bestFit="1" customWidth="1"/>
    <col min="780" max="780" width="13.42578125" style="318" customWidth="1"/>
    <col min="781" max="781" width="14.7109375" style="318" customWidth="1"/>
    <col min="782" max="782" width="14.7109375" style="318" bestFit="1" customWidth="1"/>
    <col min="783" max="784" width="14.42578125" style="318" customWidth="1"/>
    <col min="785" max="785" width="14.85546875" style="318" bestFit="1" customWidth="1"/>
    <col min="786" max="786" width="10.85546875" style="318" bestFit="1" customWidth="1"/>
    <col min="787"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3.140625" style="318" bestFit="1" customWidth="1"/>
    <col min="1036" max="1036" width="13.42578125" style="318" customWidth="1"/>
    <col min="1037" max="1037" width="14.7109375" style="318" customWidth="1"/>
    <col min="1038" max="1038" width="14.7109375" style="318" bestFit="1" customWidth="1"/>
    <col min="1039" max="1040" width="14.42578125" style="318" customWidth="1"/>
    <col min="1041" max="1041" width="14.85546875" style="318" bestFit="1" customWidth="1"/>
    <col min="1042" max="1042" width="10.85546875" style="318" bestFit="1" customWidth="1"/>
    <col min="1043"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3.140625" style="318" bestFit="1" customWidth="1"/>
    <col min="1292" max="1292" width="13.42578125" style="318" customWidth="1"/>
    <col min="1293" max="1293" width="14.7109375" style="318" customWidth="1"/>
    <col min="1294" max="1294" width="14.7109375" style="318" bestFit="1" customWidth="1"/>
    <col min="1295" max="1296" width="14.42578125" style="318" customWidth="1"/>
    <col min="1297" max="1297" width="14.85546875" style="318" bestFit="1" customWidth="1"/>
    <col min="1298" max="1298" width="10.85546875" style="318" bestFit="1" customWidth="1"/>
    <col min="1299"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3.140625" style="318" bestFit="1" customWidth="1"/>
    <col min="1548" max="1548" width="13.42578125" style="318" customWidth="1"/>
    <col min="1549" max="1549" width="14.7109375" style="318" customWidth="1"/>
    <col min="1550" max="1550" width="14.7109375" style="318" bestFit="1" customWidth="1"/>
    <col min="1551" max="1552" width="14.42578125" style="318" customWidth="1"/>
    <col min="1553" max="1553" width="14.85546875" style="318" bestFit="1" customWidth="1"/>
    <col min="1554" max="1554" width="10.85546875" style="318" bestFit="1" customWidth="1"/>
    <col min="1555"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3.140625" style="318" bestFit="1" customWidth="1"/>
    <col min="1804" max="1804" width="13.42578125" style="318" customWidth="1"/>
    <col min="1805" max="1805" width="14.7109375" style="318" customWidth="1"/>
    <col min="1806" max="1806" width="14.7109375" style="318" bestFit="1" customWidth="1"/>
    <col min="1807" max="1808" width="14.42578125" style="318" customWidth="1"/>
    <col min="1809" max="1809" width="14.85546875" style="318" bestFit="1" customWidth="1"/>
    <col min="1810" max="1810" width="10.85546875" style="318" bestFit="1" customWidth="1"/>
    <col min="1811"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3.140625" style="318" bestFit="1" customWidth="1"/>
    <col min="2060" max="2060" width="13.42578125" style="318" customWidth="1"/>
    <col min="2061" max="2061" width="14.7109375" style="318" customWidth="1"/>
    <col min="2062" max="2062" width="14.7109375" style="318" bestFit="1" customWidth="1"/>
    <col min="2063" max="2064" width="14.42578125" style="318" customWidth="1"/>
    <col min="2065" max="2065" width="14.85546875" style="318" bestFit="1" customWidth="1"/>
    <col min="2066" max="2066" width="10.85546875" style="318" bestFit="1" customWidth="1"/>
    <col min="2067"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3.140625" style="318" bestFit="1" customWidth="1"/>
    <col min="2316" max="2316" width="13.42578125" style="318" customWidth="1"/>
    <col min="2317" max="2317" width="14.7109375" style="318" customWidth="1"/>
    <col min="2318" max="2318" width="14.7109375" style="318" bestFit="1" customWidth="1"/>
    <col min="2319" max="2320" width="14.42578125" style="318" customWidth="1"/>
    <col min="2321" max="2321" width="14.85546875" style="318" bestFit="1" customWidth="1"/>
    <col min="2322" max="2322" width="10.85546875" style="318" bestFit="1" customWidth="1"/>
    <col min="2323"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3.140625" style="318" bestFit="1" customWidth="1"/>
    <col min="2572" max="2572" width="13.42578125" style="318" customWidth="1"/>
    <col min="2573" max="2573" width="14.7109375" style="318" customWidth="1"/>
    <col min="2574" max="2574" width="14.7109375" style="318" bestFit="1" customWidth="1"/>
    <col min="2575" max="2576" width="14.42578125" style="318" customWidth="1"/>
    <col min="2577" max="2577" width="14.85546875" style="318" bestFit="1" customWidth="1"/>
    <col min="2578" max="2578" width="10.85546875" style="318" bestFit="1" customWidth="1"/>
    <col min="2579"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3.140625" style="318" bestFit="1" customWidth="1"/>
    <col min="2828" max="2828" width="13.42578125" style="318" customWidth="1"/>
    <col min="2829" max="2829" width="14.7109375" style="318" customWidth="1"/>
    <col min="2830" max="2830" width="14.7109375" style="318" bestFit="1" customWidth="1"/>
    <col min="2831" max="2832" width="14.42578125" style="318" customWidth="1"/>
    <col min="2833" max="2833" width="14.85546875" style="318" bestFit="1" customWidth="1"/>
    <col min="2834" max="2834" width="10.85546875" style="318" bestFit="1" customWidth="1"/>
    <col min="2835"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3.140625" style="318" bestFit="1" customWidth="1"/>
    <col min="3084" max="3084" width="13.42578125" style="318" customWidth="1"/>
    <col min="3085" max="3085" width="14.7109375" style="318" customWidth="1"/>
    <col min="3086" max="3086" width="14.7109375" style="318" bestFit="1" customWidth="1"/>
    <col min="3087" max="3088" width="14.42578125" style="318" customWidth="1"/>
    <col min="3089" max="3089" width="14.85546875" style="318" bestFit="1" customWidth="1"/>
    <col min="3090" max="3090" width="10.85546875" style="318" bestFit="1" customWidth="1"/>
    <col min="3091"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3.140625" style="318" bestFit="1" customWidth="1"/>
    <col min="3340" max="3340" width="13.42578125" style="318" customWidth="1"/>
    <col min="3341" max="3341" width="14.7109375" style="318" customWidth="1"/>
    <col min="3342" max="3342" width="14.7109375" style="318" bestFit="1" customWidth="1"/>
    <col min="3343" max="3344" width="14.42578125" style="318" customWidth="1"/>
    <col min="3345" max="3345" width="14.85546875" style="318" bestFit="1" customWidth="1"/>
    <col min="3346" max="3346" width="10.85546875" style="318" bestFit="1" customWidth="1"/>
    <col min="3347"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3.140625" style="318" bestFit="1" customWidth="1"/>
    <col min="3596" max="3596" width="13.42578125" style="318" customWidth="1"/>
    <col min="3597" max="3597" width="14.7109375" style="318" customWidth="1"/>
    <col min="3598" max="3598" width="14.7109375" style="318" bestFit="1" customWidth="1"/>
    <col min="3599" max="3600" width="14.42578125" style="318" customWidth="1"/>
    <col min="3601" max="3601" width="14.85546875" style="318" bestFit="1" customWidth="1"/>
    <col min="3602" max="3602" width="10.85546875" style="318" bestFit="1" customWidth="1"/>
    <col min="3603"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3.140625" style="318" bestFit="1" customWidth="1"/>
    <col min="3852" max="3852" width="13.42578125" style="318" customWidth="1"/>
    <col min="3853" max="3853" width="14.7109375" style="318" customWidth="1"/>
    <col min="3854" max="3854" width="14.7109375" style="318" bestFit="1" customWidth="1"/>
    <col min="3855" max="3856" width="14.42578125" style="318" customWidth="1"/>
    <col min="3857" max="3857" width="14.85546875" style="318" bestFit="1" customWidth="1"/>
    <col min="3858" max="3858" width="10.85546875" style="318" bestFit="1" customWidth="1"/>
    <col min="3859"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3.140625" style="318" bestFit="1" customWidth="1"/>
    <col min="4108" max="4108" width="13.42578125" style="318" customWidth="1"/>
    <col min="4109" max="4109" width="14.7109375" style="318" customWidth="1"/>
    <col min="4110" max="4110" width="14.7109375" style="318" bestFit="1" customWidth="1"/>
    <col min="4111" max="4112" width="14.42578125" style="318" customWidth="1"/>
    <col min="4113" max="4113" width="14.85546875" style="318" bestFit="1" customWidth="1"/>
    <col min="4114" max="4114" width="10.85546875" style="318" bestFit="1" customWidth="1"/>
    <col min="4115"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3.140625" style="318" bestFit="1" customWidth="1"/>
    <col min="4364" max="4364" width="13.42578125" style="318" customWidth="1"/>
    <col min="4365" max="4365" width="14.7109375" style="318" customWidth="1"/>
    <col min="4366" max="4366" width="14.7109375" style="318" bestFit="1" customWidth="1"/>
    <col min="4367" max="4368" width="14.42578125" style="318" customWidth="1"/>
    <col min="4369" max="4369" width="14.85546875" style="318" bestFit="1" customWidth="1"/>
    <col min="4370" max="4370" width="10.85546875" style="318" bestFit="1" customWidth="1"/>
    <col min="4371"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3.140625" style="318" bestFit="1" customWidth="1"/>
    <col min="4620" max="4620" width="13.42578125" style="318" customWidth="1"/>
    <col min="4621" max="4621" width="14.7109375" style="318" customWidth="1"/>
    <col min="4622" max="4622" width="14.7109375" style="318" bestFit="1" customWidth="1"/>
    <col min="4623" max="4624" width="14.42578125" style="318" customWidth="1"/>
    <col min="4625" max="4625" width="14.85546875" style="318" bestFit="1" customWidth="1"/>
    <col min="4626" max="4626" width="10.85546875" style="318" bestFit="1" customWidth="1"/>
    <col min="4627"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3.140625" style="318" bestFit="1" customWidth="1"/>
    <col min="4876" max="4876" width="13.42578125" style="318" customWidth="1"/>
    <col min="4877" max="4877" width="14.7109375" style="318" customWidth="1"/>
    <col min="4878" max="4878" width="14.7109375" style="318" bestFit="1" customWidth="1"/>
    <col min="4879" max="4880" width="14.42578125" style="318" customWidth="1"/>
    <col min="4881" max="4881" width="14.85546875" style="318" bestFit="1" customWidth="1"/>
    <col min="4882" max="4882" width="10.85546875" style="318" bestFit="1" customWidth="1"/>
    <col min="4883"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3.140625" style="318" bestFit="1" customWidth="1"/>
    <col min="5132" max="5132" width="13.42578125" style="318" customWidth="1"/>
    <col min="5133" max="5133" width="14.7109375" style="318" customWidth="1"/>
    <col min="5134" max="5134" width="14.7109375" style="318" bestFit="1" customWidth="1"/>
    <col min="5135" max="5136" width="14.42578125" style="318" customWidth="1"/>
    <col min="5137" max="5137" width="14.85546875" style="318" bestFit="1" customWidth="1"/>
    <col min="5138" max="5138" width="10.85546875" style="318" bestFit="1" customWidth="1"/>
    <col min="5139"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3.140625" style="318" bestFit="1" customWidth="1"/>
    <col min="5388" max="5388" width="13.42578125" style="318" customWidth="1"/>
    <col min="5389" max="5389" width="14.7109375" style="318" customWidth="1"/>
    <col min="5390" max="5390" width="14.7109375" style="318" bestFit="1" customWidth="1"/>
    <col min="5391" max="5392" width="14.42578125" style="318" customWidth="1"/>
    <col min="5393" max="5393" width="14.85546875" style="318" bestFit="1" customWidth="1"/>
    <col min="5394" max="5394" width="10.85546875" style="318" bestFit="1" customWidth="1"/>
    <col min="5395"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3.140625" style="318" bestFit="1" customWidth="1"/>
    <col min="5644" max="5644" width="13.42578125" style="318" customWidth="1"/>
    <col min="5645" max="5645" width="14.7109375" style="318" customWidth="1"/>
    <col min="5646" max="5646" width="14.7109375" style="318" bestFit="1" customWidth="1"/>
    <col min="5647" max="5648" width="14.42578125" style="318" customWidth="1"/>
    <col min="5649" max="5649" width="14.85546875" style="318" bestFit="1" customWidth="1"/>
    <col min="5650" max="5650" width="10.85546875" style="318" bestFit="1" customWidth="1"/>
    <col min="5651"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3.140625" style="318" bestFit="1" customWidth="1"/>
    <col min="5900" max="5900" width="13.42578125" style="318" customWidth="1"/>
    <col min="5901" max="5901" width="14.7109375" style="318" customWidth="1"/>
    <col min="5902" max="5902" width="14.7109375" style="318" bestFit="1" customWidth="1"/>
    <col min="5903" max="5904" width="14.42578125" style="318" customWidth="1"/>
    <col min="5905" max="5905" width="14.85546875" style="318" bestFit="1" customWidth="1"/>
    <col min="5906" max="5906" width="10.85546875" style="318" bestFit="1" customWidth="1"/>
    <col min="5907"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3.140625" style="318" bestFit="1" customWidth="1"/>
    <col min="6156" max="6156" width="13.42578125" style="318" customWidth="1"/>
    <col min="6157" max="6157" width="14.7109375" style="318" customWidth="1"/>
    <col min="6158" max="6158" width="14.7109375" style="318" bestFit="1" customWidth="1"/>
    <col min="6159" max="6160" width="14.42578125" style="318" customWidth="1"/>
    <col min="6161" max="6161" width="14.85546875" style="318" bestFit="1" customWidth="1"/>
    <col min="6162" max="6162" width="10.85546875" style="318" bestFit="1" customWidth="1"/>
    <col min="6163"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3.140625" style="318" bestFit="1" customWidth="1"/>
    <col min="6412" max="6412" width="13.42578125" style="318" customWidth="1"/>
    <col min="6413" max="6413" width="14.7109375" style="318" customWidth="1"/>
    <col min="6414" max="6414" width="14.7109375" style="318" bestFit="1" customWidth="1"/>
    <col min="6415" max="6416" width="14.42578125" style="318" customWidth="1"/>
    <col min="6417" max="6417" width="14.85546875" style="318" bestFit="1" customWidth="1"/>
    <col min="6418" max="6418" width="10.85546875" style="318" bestFit="1" customWidth="1"/>
    <col min="6419"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3.140625" style="318" bestFit="1" customWidth="1"/>
    <col min="6668" max="6668" width="13.42578125" style="318" customWidth="1"/>
    <col min="6669" max="6669" width="14.7109375" style="318" customWidth="1"/>
    <col min="6670" max="6670" width="14.7109375" style="318" bestFit="1" customWidth="1"/>
    <col min="6671" max="6672" width="14.42578125" style="318" customWidth="1"/>
    <col min="6673" max="6673" width="14.85546875" style="318" bestFit="1" customWidth="1"/>
    <col min="6674" max="6674" width="10.85546875" style="318" bestFit="1" customWidth="1"/>
    <col min="6675"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3.140625" style="318" bestFit="1" customWidth="1"/>
    <col min="6924" max="6924" width="13.42578125" style="318" customWidth="1"/>
    <col min="6925" max="6925" width="14.7109375" style="318" customWidth="1"/>
    <col min="6926" max="6926" width="14.7109375" style="318" bestFit="1" customWidth="1"/>
    <col min="6927" max="6928" width="14.42578125" style="318" customWidth="1"/>
    <col min="6929" max="6929" width="14.85546875" style="318" bestFit="1" customWidth="1"/>
    <col min="6930" max="6930" width="10.85546875" style="318" bestFit="1" customWidth="1"/>
    <col min="6931"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3.140625" style="318" bestFit="1" customWidth="1"/>
    <col min="7180" max="7180" width="13.42578125" style="318" customWidth="1"/>
    <col min="7181" max="7181" width="14.7109375" style="318" customWidth="1"/>
    <col min="7182" max="7182" width="14.7109375" style="318" bestFit="1" customWidth="1"/>
    <col min="7183" max="7184" width="14.42578125" style="318" customWidth="1"/>
    <col min="7185" max="7185" width="14.85546875" style="318" bestFit="1" customWidth="1"/>
    <col min="7186" max="7186" width="10.85546875" style="318" bestFit="1" customWidth="1"/>
    <col min="7187"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3.140625" style="318" bestFit="1" customWidth="1"/>
    <col min="7436" max="7436" width="13.42578125" style="318" customWidth="1"/>
    <col min="7437" max="7437" width="14.7109375" style="318" customWidth="1"/>
    <col min="7438" max="7438" width="14.7109375" style="318" bestFit="1" customWidth="1"/>
    <col min="7439" max="7440" width="14.42578125" style="318" customWidth="1"/>
    <col min="7441" max="7441" width="14.85546875" style="318" bestFit="1" customWidth="1"/>
    <col min="7442" max="7442" width="10.85546875" style="318" bestFit="1" customWidth="1"/>
    <col min="7443"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3.140625" style="318" bestFit="1" customWidth="1"/>
    <col min="7692" max="7692" width="13.42578125" style="318" customWidth="1"/>
    <col min="7693" max="7693" width="14.7109375" style="318" customWidth="1"/>
    <col min="7694" max="7694" width="14.7109375" style="318" bestFit="1" customWidth="1"/>
    <col min="7695" max="7696" width="14.42578125" style="318" customWidth="1"/>
    <col min="7697" max="7697" width="14.85546875" style="318" bestFit="1" customWidth="1"/>
    <col min="7698" max="7698" width="10.85546875" style="318" bestFit="1" customWidth="1"/>
    <col min="7699"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3.140625" style="318" bestFit="1" customWidth="1"/>
    <col min="7948" max="7948" width="13.42578125" style="318" customWidth="1"/>
    <col min="7949" max="7949" width="14.7109375" style="318" customWidth="1"/>
    <col min="7950" max="7950" width="14.7109375" style="318" bestFit="1" customWidth="1"/>
    <col min="7951" max="7952" width="14.42578125" style="318" customWidth="1"/>
    <col min="7953" max="7953" width="14.85546875" style="318" bestFit="1" customWidth="1"/>
    <col min="7954" max="7954" width="10.85546875" style="318" bestFit="1" customWidth="1"/>
    <col min="7955"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3.140625" style="318" bestFit="1" customWidth="1"/>
    <col min="8204" max="8204" width="13.42578125" style="318" customWidth="1"/>
    <col min="8205" max="8205" width="14.7109375" style="318" customWidth="1"/>
    <col min="8206" max="8206" width="14.7109375" style="318" bestFit="1" customWidth="1"/>
    <col min="8207" max="8208" width="14.42578125" style="318" customWidth="1"/>
    <col min="8209" max="8209" width="14.85546875" style="318" bestFit="1" customWidth="1"/>
    <col min="8210" max="8210" width="10.85546875" style="318" bestFit="1" customWidth="1"/>
    <col min="8211"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3.140625" style="318" bestFit="1" customWidth="1"/>
    <col min="8460" max="8460" width="13.42578125" style="318" customWidth="1"/>
    <col min="8461" max="8461" width="14.7109375" style="318" customWidth="1"/>
    <col min="8462" max="8462" width="14.7109375" style="318" bestFit="1" customWidth="1"/>
    <col min="8463" max="8464" width="14.42578125" style="318" customWidth="1"/>
    <col min="8465" max="8465" width="14.85546875" style="318" bestFit="1" customWidth="1"/>
    <col min="8466" max="8466" width="10.85546875" style="318" bestFit="1" customWidth="1"/>
    <col min="8467"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3.140625" style="318" bestFit="1" customWidth="1"/>
    <col min="8716" max="8716" width="13.42578125" style="318" customWidth="1"/>
    <col min="8717" max="8717" width="14.7109375" style="318" customWidth="1"/>
    <col min="8718" max="8718" width="14.7109375" style="318" bestFit="1" customWidth="1"/>
    <col min="8719" max="8720" width="14.42578125" style="318" customWidth="1"/>
    <col min="8721" max="8721" width="14.85546875" style="318" bestFit="1" customWidth="1"/>
    <col min="8722" max="8722" width="10.85546875" style="318" bestFit="1" customWidth="1"/>
    <col min="8723"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3.140625" style="318" bestFit="1" customWidth="1"/>
    <col min="8972" max="8972" width="13.42578125" style="318" customWidth="1"/>
    <col min="8973" max="8973" width="14.7109375" style="318" customWidth="1"/>
    <col min="8974" max="8974" width="14.7109375" style="318" bestFit="1" customWidth="1"/>
    <col min="8975" max="8976" width="14.42578125" style="318" customWidth="1"/>
    <col min="8977" max="8977" width="14.85546875" style="318" bestFit="1" customWidth="1"/>
    <col min="8978" max="8978" width="10.85546875" style="318" bestFit="1" customWidth="1"/>
    <col min="8979"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3.140625" style="318" bestFit="1" customWidth="1"/>
    <col min="9228" max="9228" width="13.42578125" style="318" customWidth="1"/>
    <col min="9229" max="9229" width="14.7109375" style="318" customWidth="1"/>
    <col min="9230" max="9230" width="14.7109375" style="318" bestFit="1" customWidth="1"/>
    <col min="9231" max="9232" width="14.42578125" style="318" customWidth="1"/>
    <col min="9233" max="9233" width="14.85546875" style="318" bestFit="1" customWidth="1"/>
    <col min="9234" max="9234" width="10.85546875" style="318" bestFit="1" customWidth="1"/>
    <col min="9235"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3.140625" style="318" bestFit="1" customWidth="1"/>
    <col min="9484" max="9484" width="13.42578125" style="318" customWidth="1"/>
    <col min="9485" max="9485" width="14.7109375" style="318" customWidth="1"/>
    <col min="9486" max="9486" width="14.7109375" style="318" bestFit="1" customWidth="1"/>
    <col min="9487" max="9488" width="14.42578125" style="318" customWidth="1"/>
    <col min="9489" max="9489" width="14.85546875" style="318" bestFit="1" customWidth="1"/>
    <col min="9490" max="9490" width="10.85546875" style="318" bestFit="1" customWidth="1"/>
    <col min="9491"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3.140625" style="318" bestFit="1" customWidth="1"/>
    <col min="9740" max="9740" width="13.42578125" style="318" customWidth="1"/>
    <col min="9741" max="9741" width="14.7109375" style="318" customWidth="1"/>
    <col min="9742" max="9742" width="14.7109375" style="318" bestFit="1" customWidth="1"/>
    <col min="9743" max="9744" width="14.42578125" style="318" customWidth="1"/>
    <col min="9745" max="9745" width="14.85546875" style="318" bestFit="1" customWidth="1"/>
    <col min="9746" max="9746" width="10.85546875" style="318" bestFit="1" customWidth="1"/>
    <col min="9747"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3.140625" style="318" bestFit="1" customWidth="1"/>
    <col min="9996" max="9996" width="13.42578125" style="318" customWidth="1"/>
    <col min="9997" max="9997" width="14.7109375" style="318" customWidth="1"/>
    <col min="9998" max="9998" width="14.7109375" style="318" bestFit="1" customWidth="1"/>
    <col min="9999" max="10000" width="14.42578125" style="318" customWidth="1"/>
    <col min="10001" max="10001" width="14.85546875" style="318" bestFit="1" customWidth="1"/>
    <col min="10002" max="10002" width="10.85546875" style="318" bestFit="1" customWidth="1"/>
    <col min="10003"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3.140625" style="318" bestFit="1" customWidth="1"/>
    <col min="10252" max="10252" width="13.42578125" style="318" customWidth="1"/>
    <col min="10253" max="10253" width="14.7109375" style="318" customWidth="1"/>
    <col min="10254" max="10254" width="14.7109375" style="318" bestFit="1" customWidth="1"/>
    <col min="10255" max="10256" width="14.42578125" style="318" customWidth="1"/>
    <col min="10257" max="10257" width="14.85546875" style="318" bestFit="1" customWidth="1"/>
    <col min="10258" max="10258" width="10.85546875" style="318" bestFit="1" customWidth="1"/>
    <col min="10259"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3.140625" style="318" bestFit="1" customWidth="1"/>
    <col min="10508" max="10508" width="13.42578125" style="318" customWidth="1"/>
    <col min="10509" max="10509" width="14.7109375" style="318" customWidth="1"/>
    <col min="10510" max="10510" width="14.7109375" style="318" bestFit="1" customWidth="1"/>
    <col min="10511" max="10512" width="14.42578125" style="318" customWidth="1"/>
    <col min="10513" max="10513" width="14.85546875" style="318" bestFit="1" customWidth="1"/>
    <col min="10514" max="10514" width="10.85546875" style="318" bestFit="1" customWidth="1"/>
    <col min="10515"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3.140625" style="318" bestFit="1" customWidth="1"/>
    <col min="10764" max="10764" width="13.42578125" style="318" customWidth="1"/>
    <col min="10765" max="10765" width="14.7109375" style="318" customWidth="1"/>
    <col min="10766" max="10766" width="14.7109375" style="318" bestFit="1" customWidth="1"/>
    <col min="10767" max="10768" width="14.42578125" style="318" customWidth="1"/>
    <col min="10769" max="10769" width="14.85546875" style="318" bestFit="1" customWidth="1"/>
    <col min="10770" max="10770" width="10.85546875" style="318" bestFit="1" customWidth="1"/>
    <col min="10771"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3.140625" style="318" bestFit="1" customWidth="1"/>
    <col min="11020" max="11020" width="13.42578125" style="318" customWidth="1"/>
    <col min="11021" max="11021" width="14.7109375" style="318" customWidth="1"/>
    <col min="11022" max="11022" width="14.7109375" style="318" bestFit="1" customWidth="1"/>
    <col min="11023" max="11024" width="14.42578125" style="318" customWidth="1"/>
    <col min="11025" max="11025" width="14.85546875" style="318" bestFit="1" customWidth="1"/>
    <col min="11026" max="11026" width="10.85546875" style="318" bestFit="1" customWidth="1"/>
    <col min="11027"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3.140625" style="318" bestFit="1" customWidth="1"/>
    <col min="11276" max="11276" width="13.42578125" style="318" customWidth="1"/>
    <col min="11277" max="11277" width="14.7109375" style="318" customWidth="1"/>
    <col min="11278" max="11278" width="14.7109375" style="318" bestFit="1" customWidth="1"/>
    <col min="11279" max="11280" width="14.42578125" style="318" customWidth="1"/>
    <col min="11281" max="11281" width="14.85546875" style="318" bestFit="1" customWidth="1"/>
    <col min="11282" max="11282" width="10.85546875" style="318" bestFit="1" customWidth="1"/>
    <col min="11283"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3.140625" style="318" bestFit="1" customWidth="1"/>
    <col min="11532" max="11532" width="13.42578125" style="318" customWidth="1"/>
    <col min="11533" max="11533" width="14.7109375" style="318" customWidth="1"/>
    <col min="11534" max="11534" width="14.7109375" style="318" bestFit="1" customWidth="1"/>
    <col min="11535" max="11536" width="14.42578125" style="318" customWidth="1"/>
    <col min="11537" max="11537" width="14.85546875" style="318" bestFit="1" customWidth="1"/>
    <col min="11538" max="11538" width="10.85546875" style="318" bestFit="1" customWidth="1"/>
    <col min="11539"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3.140625" style="318" bestFit="1" customWidth="1"/>
    <col min="11788" max="11788" width="13.42578125" style="318" customWidth="1"/>
    <col min="11789" max="11789" width="14.7109375" style="318" customWidth="1"/>
    <col min="11790" max="11790" width="14.7109375" style="318" bestFit="1" customWidth="1"/>
    <col min="11791" max="11792" width="14.42578125" style="318" customWidth="1"/>
    <col min="11793" max="11793" width="14.85546875" style="318" bestFit="1" customWidth="1"/>
    <col min="11794" max="11794" width="10.85546875" style="318" bestFit="1" customWidth="1"/>
    <col min="11795"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3.140625" style="318" bestFit="1" customWidth="1"/>
    <col min="12044" max="12044" width="13.42578125" style="318" customWidth="1"/>
    <col min="12045" max="12045" width="14.7109375" style="318" customWidth="1"/>
    <col min="12046" max="12046" width="14.7109375" style="318" bestFit="1" customWidth="1"/>
    <col min="12047" max="12048" width="14.42578125" style="318" customWidth="1"/>
    <col min="12049" max="12049" width="14.85546875" style="318" bestFit="1" customWidth="1"/>
    <col min="12050" max="12050" width="10.85546875" style="318" bestFit="1" customWidth="1"/>
    <col min="12051"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3.140625" style="318" bestFit="1" customWidth="1"/>
    <col min="12300" max="12300" width="13.42578125" style="318" customWidth="1"/>
    <col min="12301" max="12301" width="14.7109375" style="318" customWidth="1"/>
    <col min="12302" max="12302" width="14.7109375" style="318" bestFit="1" customWidth="1"/>
    <col min="12303" max="12304" width="14.42578125" style="318" customWidth="1"/>
    <col min="12305" max="12305" width="14.85546875" style="318" bestFit="1" customWidth="1"/>
    <col min="12306" max="12306" width="10.85546875" style="318" bestFit="1" customWidth="1"/>
    <col min="12307"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3.140625" style="318" bestFit="1" customWidth="1"/>
    <col min="12556" max="12556" width="13.42578125" style="318" customWidth="1"/>
    <col min="12557" max="12557" width="14.7109375" style="318" customWidth="1"/>
    <col min="12558" max="12558" width="14.7109375" style="318" bestFit="1" customWidth="1"/>
    <col min="12559" max="12560" width="14.42578125" style="318" customWidth="1"/>
    <col min="12561" max="12561" width="14.85546875" style="318" bestFit="1" customWidth="1"/>
    <col min="12562" max="12562" width="10.85546875" style="318" bestFit="1" customWidth="1"/>
    <col min="12563"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3.140625" style="318" bestFit="1" customWidth="1"/>
    <col min="12812" max="12812" width="13.42578125" style="318" customWidth="1"/>
    <col min="12813" max="12813" width="14.7109375" style="318" customWidth="1"/>
    <col min="12814" max="12814" width="14.7109375" style="318" bestFit="1" customWidth="1"/>
    <col min="12815" max="12816" width="14.42578125" style="318" customWidth="1"/>
    <col min="12817" max="12817" width="14.85546875" style="318" bestFit="1" customWidth="1"/>
    <col min="12818" max="12818" width="10.85546875" style="318" bestFit="1" customWidth="1"/>
    <col min="12819"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3.140625" style="318" bestFit="1" customWidth="1"/>
    <col min="13068" max="13068" width="13.42578125" style="318" customWidth="1"/>
    <col min="13069" max="13069" width="14.7109375" style="318" customWidth="1"/>
    <col min="13070" max="13070" width="14.7109375" style="318" bestFit="1" customWidth="1"/>
    <col min="13071" max="13072" width="14.42578125" style="318" customWidth="1"/>
    <col min="13073" max="13073" width="14.85546875" style="318" bestFit="1" customWidth="1"/>
    <col min="13074" max="13074" width="10.85546875" style="318" bestFit="1" customWidth="1"/>
    <col min="13075"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3.140625" style="318" bestFit="1" customWidth="1"/>
    <col min="13324" max="13324" width="13.42578125" style="318" customWidth="1"/>
    <col min="13325" max="13325" width="14.7109375" style="318" customWidth="1"/>
    <col min="13326" max="13326" width="14.7109375" style="318" bestFit="1" customWidth="1"/>
    <col min="13327" max="13328" width="14.42578125" style="318" customWidth="1"/>
    <col min="13329" max="13329" width="14.85546875" style="318" bestFit="1" customWidth="1"/>
    <col min="13330" max="13330" width="10.85546875" style="318" bestFit="1" customWidth="1"/>
    <col min="13331"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3.140625" style="318" bestFit="1" customWidth="1"/>
    <col min="13580" max="13580" width="13.42578125" style="318" customWidth="1"/>
    <col min="13581" max="13581" width="14.7109375" style="318" customWidth="1"/>
    <col min="13582" max="13582" width="14.7109375" style="318" bestFit="1" customWidth="1"/>
    <col min="13583" max="13584" width="14.42578125" style="318" customWidth="1"/>
    <col min="13585" max="13585" width="14.85546875" style="318" bestFit="1" customWidth="1"/>
    <col min="13586" max="13586" width="10.85546875" style="318" bestFit="1" customWidth="1"/>
    <col min="13587"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3.140625" style="318" bestFit="1" customWidth="1"/>
    <col min="13836" max="13836" width="13.42578125" style="318" customWidth="1"/>
    <col min="13837" max="13837" width="14.7109375" style="318" customWidth="1"/>
    <col min="13838" max="13838" width="14.7109375" style="318" bestFit="1" customWidth="1"/>
    <col min="13839" max="13840" width="14.42578125" style="318" customWidth="1"/>
    <col min="13841" max="13841" width="14.85546875" style="318" bestFit="1" customWidth="1"/>
    <col min="13842" max="13842" width="10.85546875" style="318" bestFit="1" customWidth="1"/>
    <col min="13843"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3.140625" style="318" bestFit="1" customWidth="1"/>
    <col min="14092" max="14092" width="13.42578125" style="318" customWidth="1"/>
    <col min="14093" max="14093" width="14.7109375" style="318" customWidth="1"/>
    <col min="14094" max="14094" width="14.7109375" style="318" bestFit="1" customWidth="1"/>
    <col min="14095" max="14096" width="14.42578125" style="318" customWidth="1"/>
    <col min="14097" max="14097" width="14.85546875" style="318" bestFit="1" customWidth="1"/>
    <col min="14098" max="14098" width="10.85546875" style="318" bestFit="1" customWidth="1"/>
    <col min="14099"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3.140625" style="318" bestFit="1" customWidth="1"/>
    <col min="14348" max="14348" width="13.42578125" style="318" customWidth="1"/>
    <col min="14349" max="14349" width="14.7109375" style="318" customWidth="1"/>
    <col min="14350" max="14350" width="14.7109375" style="318" bestFit="1" customWidth="1"/>
    <col min="14351" max="14352" width="14.42578125" style="318" customWidth="1"/>
    <col min="14353" max="14353" width="14.85546875" style="318" bestFit="1" customWidth="1"/>
    <col min="14354" max="14354" width="10.85546875" style="318" bestFit="1" customWidth="1"/>
    <col min="14355"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3.140625" style="318" bestFit="1" customWidth="1"/>
    <col min="14604" max="14604" width="13.42578125" style="318" customWidth="1"/>
    <col min="14605" max="14605" width="14.7109375" style="318" customWidth="1"/>
    <col min="14606" max="14606" width="14.7109375" style="318" bestFit="1" customWidth="1"/>
    <col min="14607" max="14608" width="14.42578125" style="318" customWidth="1"/>
    <col min="14609" max="14609" width="14.85546875" style="318" bestFit="1" customWidth="1"/>
    <col min="14610" max="14610" width="10.85546875" style="318" bestFit="1" customWidth="1"/>
    <col min="14611"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3.140625" style="318" bestFit="1" customWidth="1"/>
    <col min="14860" max="14860" width="13.42578125" style="318" customWidth="1"/>
    <col min="14861" max="14861" width="14.7109375" style="318" customWidth="1"/>
    <col min="14862" max="14862" width="14.7109375" style="318" bestFit="1" customWidth="1"/>
    <col min="14863" max="14864" width="14.42578125" style="318" customWidth="1"/>
    <col min="14865" max="14865" width="14.85546875" style="318" bestFit="1" customWidth="1"/>
    <col min="14866" max="14866" width="10.85546875" style="318" bestFit="1" customWidth="1"/>
    <col min="14867"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3.140625" style="318" bestFit="1" customWidth="1"/>
    <col min="15116" max="15116" width="13.42578125" style="318" customWidth="1"/>
    <col min="15117" max="15117" width="14.7109375" style="318" customWidth="1"/>
    <col min="15118" max="15118" width="14.7109375" style="318" bestFit="1" customWidth="1"/>
    <col min="15119" max="15120" width="14.42578125" style="318" customWidth="1"/>
    <col min="15121" max="15121" width="14.85546875" style="318" bestFit="1" customWidth="1"/>
    <col min="15122" max="15122" width="10.85546875" style="318" bestFit="1" customWidth="1"/>
    <col min="15123"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3.140625" style="318" bestFit="1" customWidth="1"/>
    <col min="15372" max="15372" width="13.42578125" style="318" customWidth="1"/>
    <col min="15373" max="15373" width="14.7109375" style="318" customWidth="1"/>
    <col min="15374" max="15374" width="14.7109375" style="318" bestFit="1" customWidth="1"/>
    <col min="15375" max="15376" width="14.42578125" style="318" customWidth="1"/>
    <col min="15377" max="15377" width="14.85546875" style="318" bestFit="1" customWidth="1"/>
    <col min="15378" max="15378" width="10.85546875" style="318" bestFit="1" customWidth="1"/>
    <col min="15379"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3.140625" style="318" bestFit="1" customWidth="1"/>
    <col min="15628" max="15628" width="13.42578125" style="318" customWidth="1"/>
    <col min="15629" max="15629" width="14.7109375" style="318" customWidth="1"/>
    <col min="15630" max="15630" width="14.7109375" style="318" bestFit="1" customWidth="1"/>
    <col min="15631" max="15632" width="14.42578125" style="318" customWidth="1"/>
    <col min="15633" max="15633" width="14.85546875" style="318" bestFit="1" customWidth="1"/>
    <col min="15634" max="15634" width="10.85546875" style="318" bestFit="1" customWidth="1"/>
    <col min="15635"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3.140625" style="318" bestFit="1" customWidth="1"/>
    <col min="15884" max="15884" width="13.42578125" style="318" customWidth="1"/>
    <col min="15885" max="15885" width="14.7109375" style="318" customWidth="1"/>
    <col min="15886" max="15886" width="14.7109375" style="318" bestFit="1" customWidth="1"/>
    <col min="15887" max="15888" width="14.42578125" style="318" customWidth="1"/>
    <col min="15889" max="15889" width="14.85546875" style="318" bestFit="1" customWidth="1"/>
    <col min="15890" max="15890" width="10.85546875" style="318" bestFit="1" customWidth="1"/>
    <col min="15891"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3.140625" style="318" bestFit="1" customWidth="1"/>
    <col min="16140" max="16140" width="13.42578125" style="318" customWidth="1"/>
    <col min="16141" max="16141" width="14.7109375" style="318" customWidth="1"/>
    <col min="16142" max="16142" width="14.7109375" style="318" bestFit="1" customWidth="1"/>
    <col min="16143" max="16144" width="14.42578125" style="318" customWidth="1"/>
    <col min="16145" max="16145" width="14.85546875" style="318" bestFit="1" customWidth="1"/>
    <col min="16146" max="16146" width="10.85546875" style="318" bestFit="1" customWidth="1"/>
    <col min="16147" max="16384" width="9.140625" style="318"/>
  </cols>
  <sheetData>
    <row r="1" spans="1:10" ht="18" customHeight="1" x14ac:dyDescent="0.2">
      <c r="A1" s="1090" t="s">
        <v>410</v>
      </c>
      <c r="B1" s="1090"/>
      <c r="C1" s="1090"/>
      <c r="D1" s="1090"/>
      <c r="E1" s="1090"/>
      <c r="F1" s="1090"/>
      <c r="G1" s="1090"/>
      <c r="H1" s="1090"/>
      <c r="I1" s="1090"/>
      <c r="J1" s="1090"/>
    </row>
    <row r="2" spans="1:10" x14ac:dyDescent="0.2">
      <c r="A2" s="320"/>
      <c r="B2" s="321"/>
      <c r="C2" s="322"/>
      <c r="D2" s="322"/>
      <c r="E2" s="323"/>
      <c r="F2" s="323"/>
    </row>
    <row r="3" spans="1:10" x14ac:dyDescent="0.2">
      <c r="A3" s="320" t="s">
        <v>411</v>
      </c>
      <c r="B3" s="1091" t="s">
        <v>378</v>
      </c>
      <c r="C3" s="1091"/>
      <c r="D3" s="1091"/>
      <c r="E3" s="1091"/>
      <c r="F3" s="1091"/>
      <c r="G3" s="1091"/>
      <c r="H3" s="1091"/>
      <c r="I3" s="1091"/>
      <c r="J3" s="325"/>
    </row>
    <row r="4" spans="1:10" x14ac:dyDescent="0.2">
      <c r="A4" s="326"/>
      <c r="B4" s="1091"/>
      <c r="C4" s="1091"/>
      <c r="D4" s="1091"/>
      <c r="E4" s="1091"/>
      <c r="F4" s="1091"/>
      <c r="G4" s="1091"/>
      <c r="H4" s="1091"/>
      <c r="I4" s="1091"/>
      <c r="J4" s="325"/>
    </row>
    <row r="5" spans="1:10" ht="15" customHeight="1" x14ac:dyDescent="0.2">
      <c r="A5" s="1092" t="str">
        <f>CONCATENATE("PLAZO: ",A33," MESES (",A34,")")</f>
        <v>PLAZO: 15 MESES (450 dias)</v>
      </c>
      <c r="B5" s="1092"/>
      <c r="C5" s="1092"/>
    </row>
    <row r="7" spans="1:10" x14ac:dyDescent="0.2">
      <c r="C7" s="330" t="s">
        <v>412</v>
      </c>
      <c r="D7" s="1093"/>
      <c r="E7" s="1093"/>
      <c r="F7" s="1093"/>
      <c r="H7" s="330" t="s">
        <v>413</v>
      </c>
      <c r="I7" s="331">
        <f ca="1">NOW()</f>
        <v>42304.713902662035</v>
      </c>
    </row>
    <row r="8" spans="1:10" x14ac:dyDescent="0.2">
      <c r="C8" s="330" t="str">
        <f>IF(D7=0,"MONTO ESTIMADO CON IVA:","MONTO DE CONTRATO CON IVA:")</f>
        <v>MONTO ESTIMADO CON IVA:</v>
      </c>
      <c r="D8" s="332">
        <f>'4. CC D'!K24</f>
        <v>6885000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6885000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30</v>
      </c>
      <c r="F14" s="327"/>
    </row>
    <row r="15" spans="1:10" x14ac:dyDescent="0.2">
      <c r="B15" s="330" t="s">
        <v>422</v>
      </c>
      <c r="C15" s="1094"/>
      <c r="D15" s="1094"/>
      <c r="E15" s="339" t="s">
        <v>423</v>
      </c>
      <c r="F15" s="340"/>
      <c r="H15" s="341" t="s">
        <v>424</v>
      </c>
      <c r="I15" s="334">
        <v>5</v>
      </c>
    </row>
    <row r="16" spans="1:10" ht="12.75" thickBot="1" x14ac:dyDescent="0.25">
      <c r="F16" s="342"/>
    </row>
    <row r="17" spans="1:10" ht="42" customHeight="1" thickBot="1" x14ac:dyDescent="0.25">
      <c r="A17" s="343" t="s">
        <v>425</v>
      </c>
      <c r="B17" s="344" t="s">
        <v>426</v>
      </c>
      <c r="C17" s="344" t="s">
        <v>427</v>
      </c>
      <c r="D17" s="345" t="str">
        <f>CONCATENATE("MONTO MENSUAL DESCONTADO ",ROUND(D14,0),"% ANTICIPO")</f>
        <v>MONTO MENSUAL DESCONTADO 30%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0" ht="12.75" customHeight="1" x14ac:dyDescent="0.2">
      <c r="A18" s="351">
        <v>0</v>
      </c>
      <c r="B18" s="352">
        <f>D14/100</f>
        <v>0.3</v>
      </c>
      <c r="C18" s="352">
        <v>0</v>
      </c>
      <c r="D18" s="353">
        <f>ROUND(B18*D11,0)</f>
        <v>2065500</v>
      </c>
      <c r="E18" s="354">
        <f>D18</f>
        <v>2065500</v>
      </c>
      <c r="F18" s="355">
        <f t="shared" ref="F18:F33" si="0">E18/$E$33</f>
        <v>0.2999999564270216</v>
      </c>
      <c r="G18" s="484" t="s">
        <v>543</v>
      </c>
      <c r="H18" s="386">
        <f t="shared" ref="H18:H31" si="1">ROUND(D18*0.1,0)</f>
        <v>206550</v>
      </c>
      <c r="I18" s="387">
        <f t="shared" ref="I18:I33" si="2">ROUNDUP((D18+H18-J18),-(LEN(D18)-$I$15))</f>
        <v>206600</v>
      </c>
      <c r="J18" s="387">
        <f t="shared" ref="J18:J31" si="3">ROUNDUP(D18*$D$12/100,-(LEN(D18)-$I$15))</f>
        <v>2065500</v>
      </c>
    </row>
    <row r="19" spans="1:10" x14ac:dyDescent="0.2">
      <c r="A19" s="359">
        <v>1</v>
      </c>
      <c r="B19" s="360">
        <v>2.5000000000000001E-2</v>
      </c>
      <c r="C19" s="360">
        <f t="shared" ref="C19:C31" si="4">B19+C18</f>
        <v>2.5000000000000001E-2</v>
      </c>
      <c r="D19" s="361">
        <f t="shared" ref="D19:D31" si="5">ROUND(B19*$D$11*(100-$D$14)/100,0)</f>
        <v>120488</v>
      </c>
      <c r="E19" s="362">
        <f t="shared" ref="E19:E31" si="6">E18+D19</f>
        <v>2185988</v>
      </c>
      <c r="F19" s="363">
        <f t="shared" si="0"/>
        <v>0.31750002650689518</v>
      </c>
      <c r="G19" s="470" t="s">
        <v>470</v>
      </c>
      <c r="H19" s="386">
        <f t="shared" si="1"/>
        <v>12049</v>
      </c>
      <c r="I19" s="387">
        <f t="shared" si="2"/>
        <v>12050</v>
      </c>
      <c r="J19" s="387">
        <f t="shared" si="3"/>
        <v>120490</v>
      </c>
    </row>
    <row r="20" spans="1:10" x14ac:dyDescent="0.2">
      <c r="A20" s="359">
        <v>2</v>
      </c>
      <c r="B20" s="360">
        <v>0.03</v>
      </c>
      <c r="C20" s="360">
        <f t="shared" si="4"/>
        <v>5.5E-2</v>
      </c>
      <c r="D20" s="361">
        <f t="shared" si="5"/>
        <v>144585</v>
      </c>
      <c r="E20" s="362">
        <f t="shared" si="6"/>
        <v>2330573</v>
      </c>
      <c r="F20" s="363">
        <f t="shared" si="0"/>
        <v>0.3385000234567867</v>
      </c>
      <c r="G20" s="470" t="s">
        <v>471</v>
      </c>
      <c r="H20" s="386">
        <f t="shared" si="1"/>
        <v>14459</v>
      </c>
      <c r="I20" s="387">
        <f t="shared" si="2"/>
        <v>14460</v>
      </c>
      <c r="J20" s="387">
        <f t="shared" si="3"/>
        <v>144590</v>
      </c>
    </row>
    <row r="21" spans="1:10" x14ac:dyDescent="0.2">
      <c r="A21" s="388">
        <v>3</v>
      </c>
      <c r="B21" s="389">
        <v>3.5000000000000003E-2</v>
      </c>
      <c r="C21" s="389">
        <f t="shared" si="4"/>
        <v>0.09</v>
      </c>
      <c r="D21" s="361">
        <f t="shared" si="5"/>
        <v>168683</v>
      </c>
      <c r="E21" s="390">
        <f t="shared" si="6"/>
        <v>2499256</v>
      </c>
      <c r="F21" s="391">
        <f t="shared" si="0"/>
        <v>0.36300009251995752</v>
      </c>
      <c r="G21" s="470" t="s">
        <v>472</v>
      </c>
      <c r="H21" s="386">
        <f t="shared" si="1"/>
        <v>16868</v>
      </c>
      <c r="I21" s="387">
        <f t="shared" si="2"/>
        <v>16870</v>
      </c>
      <c r="J21" s="387">
        <f t="shared" si="3"/>
        <v>168690</v>
      </c>
    </row>
    <row r="22" spans="1:10" x14ac:dyDescent="0.2">
      <c r="A22" s="388">
        <v>4</v>
      </c>
      <c r="B22" s="389">
        <v>0.05</v>
      </c>
      <c r="C22" s="389">
        <f t="shared" si="4"/>
        <v>0.14000000000000001</v>
      </c>
      <c r="D22" s="361">
        <f t="shared" si="5"/>
        <v>240975</v>
      </c>
      <c r="E22" s="390">
        <f t="shared" si="6"/>
        <v>2740231</v>
      </c>
      <c r="F22" s="391">
        <f t="shared" si="0"/>
        <v>0.39800008743644338</v>
      </c>
      <c r="G22" s="470" t="s">
        <v>473</v>
      </c>
      <c r="H22" s="386">
        <f t="shared" si="1"/>
        <v>24098</v>
      </c>
      <c r="I22" s="387">
        <f t="shared" si="2"/>
        <v>24100</v>
      </c>
      <c r="J22" s="387">
        <f t="shared" si="3"/>
        <v>240980</v>
      </c>
    </row>
    <row r="23" spans="1:10" x14ac:dyDescent="0.2">
      <c r="A23" s="388">
        <v>5</v>
      </c>
      <c r="B23" s="389">
        <v>0.05</v>
      </c>
      <c r="C23" s="389">
        <f t="shared" si="4"/>
        <v>0.19</v>
      </c>
      <c r="D23" s="361">
        <f t="shared" si="5"/>
        <v>240975</v>
      </c>
      <c r="E23" s="390">
        <f t="shared" si="6"/>
        <v>2981206</v>
      </c>
      <c r="F23" s="391">
        <f t="shared" si="0"/>
        <v>0.43300008235292919</v>
      </c>
      <c r="G23" s="470" t="s">
        <v>474</v>
      </c>
      <c r="H23" s="386">
        <f t="shared" si="1"/>
        <v>24098</v>
      </c>
      <c r="I23" s="387">
        <f t="shared" si="2"/>
        <v>24100</v>
      </c>
      <c r="J23" s="387">
        <f t="shared" si="3"/>
        <v>240980</v>
      </c>
    </row>
    <row r="24" spans="1:10" x14ac:dyDescent="0.2">
      <c r="A24" s="388">
        <v>6</v>
      </c>
      <c r="B24" s="389">
        <v>0.09</v>
      </c>
      <c r="C24" s="389">
        <f t="shared" si="4"/>
        <v>0.28000000000000003</v>
      </c>
      <c r="D24" s="361">
        <f t="shared" si="5"/>
        <v>433755</v>
      </c>
      <c r="E24" s="390">
        <f t="shared" si="6"/>
        <v>3414961</v>
      </c>
      <c r="F24" s="391">
        <f t="shared" si="0"/>
        <v>0.49600007320260375</v>
      </c>
      <c r="G24" s="470" t="s">
        <v>475</v>
      </c>
      <c r="H24" s="386">
        <f t="shared" si="1"/>
        <v>43376</v>
      </c>
      <c r="I24" s="387">
        <f t="shared" si="2"/>
        <v>43380</v>
      </c>
      <c r="J24" s="387">
        <f t="shared" si="3"/>
        <v>433760</v>
      </c>
    </row>
    <row r="25" spans="1:10" x14ac:dyDescent="0.2">
      <c r="A25" s="388">
        <v>7</v>
      </c>
      <c r="B25" s="389">
        <v>0.1</v>
      </c>
      <c r="C25" s="389">
        <f t="shared" si="4"/>
        <v>0.38</v>
      </c>
      <c r="D25" s="361">
        <f t="shared" si="5"/>
        <v>481950</v>
      </c>
      <c r="E25" s="390">
        <f t="shared" si="6"/>
        <v>3896911</v>
      </c>
      <c r="F25" s="391">
        <f t="shared" si="0"/>
        <v>0.56600006303557548</v>
      </c>
      <c r="G25" s="470" t="s">
        <v>476</v>
      </c>
      <c r="H25" s="386">
        <f t="shared" si="1"/>
        <v>48195</v>
      </c>
      <c r="I25" s="387">
        <f t="shared" si="2"/>
        <v>48200</v>
      </c>
      <c r="J25" s="387">
        <f t="shared" si="3"/>
        <v>481950</v>
      </c>
    </row>
    <row r="26" spans="1:10" x14ac:dyDescent="0.2">
      <c r="A26" s="388">
        <v>8</v>
      </c>
      <c r="B26" s="389">
        <v>0.1</v>
      </c>
      <c r="C26" s="389">
        <f t="shared" si="4"/>
        <v>0.48</v>
      </c>
      <c r="D26" s="361">
        <f t="shared" si="5"/>
        <v>481950</v>
      </c>
      <c r="E26" s="390">
        <f t="shared" si="6"/>
        <v>4378861</v>
      </c>
      <c r="F26" s="391">
        <f t="shared" si="0"/>
        <v>0.63600005286854711</v>
      </c>
      <c r="G26" s="470" t="s">
        <v>477</v>
      </c>
      <c r="H26" s="386">
        <f t="shared" si="1"/>
        <v>48195</v>
      </c>
      <c r="I26" s="387">
        <f t="shared" si="2"/>
        <v>48200</v>
      </c>
      <c r="J26" s="387">
        <f t="shared" si="3"/>
        <v>481950</v>
      </c>
    </row>
    <row r="27" spans="1:10" x14ac:dyDescent="0.2">
      <c r="A27" s="388">
        <v>9</v>
      </c>
      <c r="B27" s="389">
        <v>0.11</v>
      </c>
      <c r="C27" s="389">
        <f t="shared" si="4"/>
        <v>0.59</v>
      </c>
      <c r="D27" s="361">
        <f t="shared" si="5"/>
        <v>530145</v>
      </c>
      <c r="E27" s="390">
        <f t="shared" si="6"/>
        <v>4909006</v>
      </c>
      <c r="F27" s="391">
        <f t="shared" si="0"/>
        <v>0.71300004168481601</v>
      </c>
      <c r="G27" s="470" t="s">
        <v>478</v>
      </c>
      <c r="H27" s="386">
        <f t="shared" si="1"/>
        <v>53015</v>
      </c>
      <c r="I27" s="387">
        <f t="shared" si="2"/>
        <v>53010</v>
      </c>
      <c r="J27" s="387">
        <f t="shared" si="3"/>
        <v>530150</v>
      </c>
    </row>
    <row r="28" spans="1:10" x14ac:dyDescent="0.2">
      <c r="A28" s="388">
        <v>10</v>
      </c>
      <c r="B28" s="389">
        <v>0.11</v>
      </c>
      <c r="C28" s="389">
        <f t="shared" si="4"/>
        <v>0.7</v>
      </c>
      <c r="D28" s="393">
        <f t="shared" si="5"/>
        <v>530145</v>
      </c>
      <c r="E28" s="390">
        <f t="shared" si="6"/>
        <v>5439151</v>
      </c>
      <c r="F28" s="391">
        <f t="shared" si="0"/>
        <v>0.79000003050108492</v>
      </c>
      <c r="G28" s="470" t="s">
        <v>479</v>
      </c>
      <c r="H28" s="386">
        <f t="shared" si="1"/>
        <v>53015</v>
      </c>
      <c r="I28" s="387">
        <f t="shared" si="2"/>
        <v>53010</v>
      </c>
      <c r="J28" s="387">
        <f t="shared" si="3"/>
        <v>530150</v>
      </c>
    </row>
    <row r="29" spans="1:10" x14ac:dyDescent="0.2">
      <c r="A29" s="388">
        <v>11</v>
      </c>
      <c r="B29" s="389">
        <v>0.1</v>
      </c>
      <c r="C29" s="389">
        <f t="shared" si="4"/>
        <v>0.79999999999999993</v>
      </c>
      <c r="D29" s="393">
        <f t="shared" si="5"/>
        <v>481950</v>
      </c>
      <c r="E29" s="390">
        <f t="shared" si="6"/>
        <v>5921101</v>
      </c>
      <c r="F29" s="391">
        <f t="shared" si="0"/>
        <v>0.86000002033405665</v>
      </c>
      <c r="G29" s="470" t="s">
        <v>480</v>
      </c>
      <c r="H29" s="386">
        <f t="shared" si="1"/>
        <v>48195</v>
      </c>
      <c r="I29" s="387">
        <f t="shared" si="2"/>
        <v>48200</v>
      </c>
      <c r="J29" s="387">
        <f t="shared" si="3"/>
        <v>481950</v>
      </c>
    </row>
    <row r="30" spans="1:10" x14ac:dyDescent="0.2">
      <c r="A30" s="388">
        <v>12</v>
      </c>
      <c r="B30" s="389">
        <v>0.08</v>
      </c>
      <c r="C30" s="389">
        <f t="shared" si="4"/>
        <v>0.87999999999999989</v>
      </c>
      <c r="D30" s="393">
        <f t="shared" si="5"/>
        <v>385560</v>
      </c>
      <c r="E30" s="390">
        <f t="shared" si="6"/>
        <v>6306661</v>
      </c>
      <c r="F30" s="391">
        <f t="shared" si="0"/>
        <v>0.91600001220043392</v>
      </c>
      <c r="G30" s="470" t="s">
        <v>481</v>
      </c>
      <c r="H30" s="386">
        <f t="shared" si="1"/>
        <v>38556</v>
      </c>
      <c r="I30" s="387">
        <f t="shared" si="2"/>
        <v>38560</v>
      </c>
      <c r="J30" s="387">
        <f t="shared" si="3"/>
        <v>385560</v>
      </c>
    </row>
    <row r="31" spans="1:10" x14ac:dyDescent="0.2">
      <c r="A31" s="388">
        <v>13</v>
      </c>
      <c r="B31" s="389">
        <v>0.06</v>
      </c>
      <c r="C31" s="389">
        <f t="shared" si="4"/>
        <v>0.94</v>
      </c>
      <c r="D31" s="393">
        <f t="shared" si="5"/>
        <v>289170</v>
      </c>
      <c r="E31" s="390">
        <f t="shared" si="6"/>
        <v>6595831</v>
      </c>
      <c r="F31" s="391">
        <f t="shared" si="0"/>
        <v>0.95800000610021696</v>
      </c>
      <c r="G31" s="470" t="s">
        <v>482</v>
      </c>
      <c r="H31" s="386">
        <f t="shared" si="1"/>
        <v>28917</v>
      </c>
      <c r="I31" s="387">
        <f t="shared" si="2"/>
        <v>28920</v>
      </c>
      <c r="J31" s="387">
        <f t="shared" si="3"/>
        <v>289170</v>
      </c>
    </row>
    <row r="32" spans="1:10" x14ac:dyDescent="0.2">
      <c r="A32" s="388">
        <v>14</v>
      </c>
      <c r="B32" s="389">
        <v>0.04</v>
      </c>
      <c r="C32" s="389">
        <f>B32+C31</f>
        <v>0.98</v>
      </c>
      <c r="D32" s="393">
        <f>ROUND(B32*$D$11*(100-$D$14)/100,0)</f>
        <v>192780</v>
      </c>
      <c r="E32" s="390">
        <f>E31+D32</f>
        <v>6788611</v>
      </c>
      <c r="F32" s="391">
        <f t="shared" si="0"/>
        <v>0.98600000203340565</v>
      </c>
      <c r="G32" s="470" t="s">
        <v>483</v>
      </c>
      <c r="H32" s="394">
        <f>ROUND(D32*0.1,0)</f>
        <v>19278</v>
      </c>
      <c r="I32" s="387">
        <f t="shared" si="2"/>
        <v>19280</v>
      </c>
      <c r="J32" s="387">
        <f>ROUNDUP(D32*$D$12/100,-(LEN(D32)-$I$15))</f>
        <v>192780</v>
      </c>
    </row>
    <row r="33" spans="1:10" ht="12.75" thickBot="1" x14ac:dyDescent="0.25">
      <c r="A33" s="371">
        <v>15</v>
      </c>
      <c r="B33" s="372">
        <v>0.02</v>
      </c>
      <c r="C33" s="372">
        <f>B33+C32</f>
        <v>1</v>
      </c>
      <c r="D33" s="373">
        <f>ROUND(B33*$D$11*(100-$D$14)/100,0)</f>
        <v>96390</v>
      </c>
      <c r="E33" s="374">
        <f>E32+D33</f>
        <v>6885001</v>
      </c>
      <c r="F33" s="375">
        <f t="shared" si="0"/>
        <v>1</v>
      </c>
      <c r="G33" s="485" t="s">
        <v>484</v>
      </c>
      <c r="H33" s="377">
        <f>ROUND(D33*0.1,0)</f>
        <v>9639</v>
      </c>
      <c r="I33" s="387">
        <f t="shared" si="2"/>
        <v>9639</v>
      </c>
      <c r="J33" s="387">
        <f>ROUNDUP(D33*$D$12/100,-(LEN(D33)-$I$15))</f>
        <v>96390</v>
      </c>
    </row>
    <row r="34" spans="1:10" ht="20.25" customHeight="1" thickBot="1" x14ac:dyDescent="0.25">
      <c r="A34" s="480" t="str">
        <f>A33*30 &amp; " dias"</f>
        <v>450 dias</v>
      </c>
      <c r="B34" s="481">
        <f>SUM(B19:B33)</f>
        <v>1</v>
      </c>
      <c r="C34" s="482"/>
      <c r="D34" s="483">
        <f>SUM(D18:D33)</f>
        <v>6885001</v>
      </c>
      <c r="E34" s="318"/>
      <c r="H34" s="318"/>
      <c r="I34" s="382">
        <f>SUM(I18:I33)</f>
        <v>688579</v>
      </c>
      <c r="J34" s="382">
        <f>SUM(J18:J33)</f>
        <v>6885040</v>
      </c>
    </row>
    <row r="35" spans="1:10" ht="15" customHeight="1" x14ac:dyDescent="0.2">
      <c r="A35" s="324"/>
      <c r="F35" s="327"/>
      <c r="G35" s="327"/>
      <c r="H35" s="330" t="s">
        <v>432</v>
      </c>
      <c r="I35" s="1095">
        <f>I34+J34</f>
        <v>7573619</v>
      </c>
      <c r="J35" s="1096"/>
    </row>
    <row r="36" spans="1:10" x14ac:dyDescent="0.2">
      <c r="A36" s="323" t="s">
        <v>433</v>
      </c>
      <c r="B36" s="323"/>
      <c r="C36" s="323"/>
      <c r="F36" s="327"/>
      <c r="G36" s="327"/>
      <c r="H36" s="330" t="s">
        <v>434</v>
      </c>
      <c r="I36" s="341">
        <f>I35/1.1-D11</f>
        <v>108.18181818164885</v>
      </c>
    </row>
    <row r="37" spans="1:10" x14ac:dyDescent="0.2">
      <c r="B37" s="383"/>
      <c r="F37" s="327"/>
      <c r="G37" s="327"/>
    </row>
    <row r="38" spans="1:10" x14ac:dyDescent="0.2">
      <c r="B38" s="383"/>
      <c r="F38" s="327"/>
      <c r="G38" s="327"/>
    </row>
    <row r="39" spans="1:10" x14ac:dyDescent="0.2">
      <c r="B39" s="383"/>
      <c r="F39" s="327"/>
      <c r="G39" s="327"/>
    </row>
    <row r="40" spans="1:10" x14ac:dyDescent="0.2">
      <c r="B40" s="383"/>
    </row>
    <row r="41" spans="1:10" x14ac:dyDescent="0.2">
      <c r="B41" s="383"/>
    </row>
    <row r="42" spans="1:10" x14ac:dyDescent="0.2">
      <c r="B42" s="383"/>
    </row>
    <row r="43" spans="1:10" x14ac:dyDescent="0.2">
      <c r="B43" s="383"/>
    </row>
    <row r="61" spans="1:18" s="473" customFormat="1" ht="12.75" customHeight="1" x14ac:dyDescent="0.2">
      <c r="A61" s="471"/>
      <c r="B61" s="472" t="s">
        <v>542</v>
      </c>
      <c r="C61" s="472" t="s">
        <v>470</v>
      </c>
      <c r="D61" s="472" t="s">
        <v>471</v>
      </c>
      <c r="E61" s="472" t="s">
        <v>472</v>
      </c>
      <c r="F61" s="472" t="s">
        <v>473</v>
      </c>
      <c r="G61" s="472" t="s">
        <v>474</v>
      </c>
      <c r="H61" s="472" t="s">
        <v>475</v>
      </c>
      <c r="I61" s="472" t="s">
        <v>476</v>
      </c>
      <c r="J61" s="472" t="s">
        <v>477</v>
      </c>
      <c r="K61" s="472" t="s">
        <v>478</v>
      </c>
      <c r="L61" s="472" t="s">
        <v>479</v>
      </c>
      <c r="M61" s="472" t="s">
        <v>480</v>
      </c>
      <c r="N61" s="472" t="s">
        <v>481</v>
      </c>
      <c r="O61" s="472" t="s">
        <v>482</v>
      </c>
      <c r="P61" s="472" t="s">
        <v>483</v>
      </c>
      <c r="Q61" s="472" t="s">
        <v>484</v>
      </c>
    </row>
    <row r="62" spans="1:18" x14ac:dyDescent="0.2">
      <c r="A62" s="384" t="s">
        <v>435</v>
      </c>
      <c r="B62" s="361">
        <v>0</v>
      </c>
      <c r="C62" s="361">
        <v>0</v>
      </c>
      <c r="D62" s="361">
        <v>0</v>
      </c>
      <c r="E62" s="361">
        <v>0</v>
      </c>
      <c r="F62" s="361">
        <v>0</v>
      </c>
      <c r="G62" s="361">
        <v>0</v>
      </c>
      <c r="H62" s="361">
        <v>0</v>
      </c>
      <c r="I62" s="361">
        <v>0</v>
      </c>
      <c r="J62" s="361">
        <v>0</v>
      </c>
      <c r="K62" s="361">
        <v>0</v>
      </c>
      <c r="L62" s="361">
        <v>0</v>
      </c>
      <c r="M62" s="361">
        <v>0</v>
      </c>
      <c r="N62" s="361">
        <v>0</v>
      </c>
      <c r="O62" s="361">
        <v>0</v>
      </c>
      <c r="P62" s="361">
        <v>0</v>
      </c>
      <c r="Q62" s="361">
        <v>0</v>
      </c>
      <c r="R62" s="327">
        <f>SUM(B62:Q62)</f>
        <v>0</v>
      </c>
    </row>
    <row r="63" spans="1:18" x14ac:dyDescent="0.2">
      <c r="A63" s="384" t="s">
        <v>436</v>
      </c>
      <c r="B63" s="361">
        <f>$J18</f>
        <v>2065500</v>
      </c>
      <c r="C63" s="361">
        <f>$J19</f>
        <v>120490</v>
      </c>
      <c r="D63" s="361">
        <f>$J20</f>
        <v>144590</v>
      </c>
      <c r="E63" s="361">
        <f>$J21</f>
        <v>168690</v>
      </c>
      <c r="F63" s="361">
        <f>$J22</f>
        <v>240980</v>
      </c>
      <c r="G63" s="361">
        <f>$J23</f>
        <v>240980</v>
      </c>
      <c r="H63" s="361">
        <f>$J24</f>
        <v>433760</v>
      </c>
      <c r="I63" s="361">
        <f>$J25</f>
        <v>481950</v>
      </c>
      <c r="J63" s="361">
        <f>$J26</f>
        <v>481950</v>
      </c>
      <c r="K63" s="361">
        <f>$J27</f>
        <v>530150</v>
      </c>
      <c r="L63" s="361">
        <f>$J28</f>
        <v>530150</v>
      </c>
      <c r="M63" s="361">
        <f>$J29</f>
        <v>481950</v>
      </c>
      <c r="N63" s="361">
        <f>$J30</f>
        <v>385560</v>
      </c>
      <c r="O63" s="361">
        <f>$J31</f>
        <v>289170</v>
      </c>
      <c r="P63" s="361">
        <f>$J32</f>
        <v>192780</v>
      </c>
      <c r="Q63" s="361">
        <f>$J33</f>
        <v>96390</v>
      </c>
      <c r="R63" s="327">
        <f>SUM(B63:Q63)</f>
        <v>6885040</v>
      </c>
    </row>
    <row r="64" spans="1:18" x14ac:dyDescent="0.2">
      <c r="B64" s="361">
        <f>B62+B63</f>
        <v>2065500</v>
      </c>
      <c r="C64" s="361">
        <f t="shared" ref="C64:R64" si="7">C62+C63</f>
        <v>120490</v>
      </c>
      <c r="D64" s="361">
        <f t="shared" si="7"/>
        <v>144590</v>
      </c>
      <c r="E64" s="361">
        <f t="shared" si="7"/>
        <v>168690</v>
      </c>
      <c r="F64" s="361">
        <f t="shared" si="7"/>
        <v>240980</v>
      </c>
      <c r="G64" s="361">
        <f t="shared" si="7"/>
        <v>240980</v>
      </c>
      <c r="H64" s="361">
        <f t="shared" si="7"/>
        <v>433760</v>
      </c>
      <c r="I64" s="361">
        <f t="shared" si="7"/>
        <v>481950</v>
      </c>
      <c r="J64" s="361">
        <f t="shared" si="7"/>
        <v>481950</v>
      </c>
      <c r="K64" s="361">
        <f t="shared" si="7"/>
        <v>530150</v>
      </c>
      <c r="L64" s="361">
        <f t="shared" si="7"/>
        <v>530150</v>
      </c>
      <c r="M64" s="361">
        <f t="shared" si="7"/>
        <v>481950</v>
      </c>
      <c r="N64" s="361">
        <f t="shared" si="7"/>
        <v>385560</v>
      </c>
      <c r="O64" s="361">
        <f t="shared" si="7"/>
        <v>289170</v>
      </c>
      <c r="P64" s="361">
        <f t="shared" si="7"/>
        <v>192780</v>
      </c>
      <c r="Q64" s="361">
        <f t="shared" si="7"/>
        <v>96390</v>
      </c>
      <c r="R64" s="361">
        <f t="shared" si="7"/>
        <v>6885040</v>
      </c>
    </row>
    <row r="65" spans="1:10" x14ac:dyDescent="0.2">
      <c r="B65" s="560">
        <f>SUM(B64:Q64)</f>
        <v>6885040</v>
      </c>
    </row>
    <row r="73" spans="1:10" x14ac:dyDescent="0.2">
      <c r="A73" s="1090" t="s">
        <v>410</v>
      </c>
      <c r="B73" s="1090"/>
      <c r="C73" s="1090"/>
      <c r="D73" s="1090"/>
      <c r="E73" s="1090"/>
      <c r="F73" s="1090"/>
      <c r="G73" s="1090"/>
      <c r="H73" s="1090"/>
      <c r="I73" s="1090"/>
      <c r="J73" s="1090"/>
    </row>
    <row r="74" spans="1:10" x14ac:dyDescent="0.2">
      <c r="A74" s="320"/>
      <c r="B74" s="321"/>
      <c r="C74" s="322"/>
      <c r="D74" s="322"/>
      <c r="E74" s="323"/>
      <c r="F74" s="323"/>
    </row>
    <row r="75" spans="1:10" x14ac:dyDescent="0.2">
      <c r="A75" s="320" t="s">
        <v>411</v>
      </c>
      <c r="B75" s="1091"/>
      <c r="C75" s="1091"/>
      <c r="D75" s="1091"/>
      <c r="E75" s="1091"/>
      <c r="F75" s="1091"/>
      <c r="G75" s="1091"/>
      <c r="H75" s="1091"/>
      <c r="I75" s="1091"/>
      <c r="J75" s="325"/>
    </row>
    <row r="76" spans="1:10" x14ac:dyDescent="0.2">
      <c r="A76" s="326"/>
      <c r="B76" s="1091"/>
      <c r="C76" s="1091"/>
      <c r="D76" s="1091"/>
      <c r="E76" s="1091"/>
      <c r="F76" s="1091"/>
      <c r="G76" s="1091"/>
      <c r="H76" s="1091"/>
      <c r="I76" s="1091"/>
      <c r="J76" s="325"/>
    </row>
    <row r="77" spans="1:10" x14ac:dyDescent="0.2">
      <c r="A77" s="1092" t="str">
        <f>CONCATENATE("PLAZO: ",A105," MESES (",A106,")")</f>
        <v>PLAZO: 15 MESES (450 dias)</v>
      </c>
      <c r="B77" s="1092"/>
      <c r="C77" s="1092"/>
    </row>
    <row r="79" spans="1:10" x14ac:dyDescent="0.2">
      <c r="C79" s="330" t="s">
        <v>412</v>
      </c>
      <c r="D79" s="1093"/>
      <c r="E79" s="1093"/>
      <c r="F79" s="1093"/>
      <c r="H79" s="330" t="s">
        <v>413</v>
      </c>
      <c r="I79" s="331">
        <f ca="1">NOW()</f>
        <v>42304.713902662035</v>
      </c>
    </row>
    <row r="80" spans="1:10" x14ac:dyDescent="0.2">
      <c r="C80" s="330" t="str">
        <f>IF(D79=0,"MONTO ESTIMADO CON IVA:","MONTO DE CONTRATO CON IVA:")</f>
        <v>MONTO ESTIMADO CON IVA:</v>
      </c>
      <c r="D80" s="332">
        <f>'4. CC D'!K82</f>
        <v>0</v>
      </c>
      <c r="E80" s="333" t="s">
        <v>414</v>
      </c>
      <c r="F80" s="318" t="s">
        <v>415</v>
      </c>
      <c r="H80" s="324" t="s">
        <v>416</v>
      </c>
      <c r="I80" s="334">
        <v>1</v>
      </c>
    </row>
    <row r="81" spans="1:10" x14ac:dyDescent="0.2">
      <c r="C81" s="330"/>
      <c r="D81" s="332"/>
      <c r="E81" s="327" t="s">
        <v>417</v>
      </c>
      <c r="I81" s="335"/>
    </row>
    <row r="82" spans="1:10" x14ac:dyDescent="0.2">
      <c r="C82" s="330"/>
      <c r="D82" s="332"/>
      <c r="E82" s="327" t="s">
        <v>414</v>
      </c>
      <c r="I82" s="335"/>
    </row>
    <row r="83" spans="1:10" x14ac:dyDescent="0.2">
      <c r="B83" s="318"/>
      <c r="C83" s="330" t="str">
        <f>IF(D79=0,"MONTO ESTIMADO SIN IVA:","MONTO DE CONTRATO SIN IVA:")</f>
        <v>MONTO ESTIMADO SIN IVA:</v>
      </c>
      <c r="D83" s="336">
        <f>IF(E80="Gs",ROUND(D80/1.1,0),IF(E80="USD",ROUND(D80*I80/1.1,0),))</f>
        <v>0</v>
      </c>
      <c r="E83" s="337" t="s">
        <v>417</v>
      </c>
      <c r="F83" s="327"/>
    </row>
    <row r="84" spans="1:10" x14ac:dyDescent="0.2">
      <c r="B84" s="318"/>
      <c r="C84" s="330" t="s">
        <v>418</v>
      </c>
      <c r="D84" s="334">
        <v>100</v>
      </c>
      <c r="F84" s="327" t="s">
        <v>419</v>
      </c>
    </row>
    <row r="85" spans="1:10" x14ac:dyDescent="0.2">
      <c r="B85" s="318"/>
      <c r="C85" s="330" t="s">
        <v>420</v>
      </c>
      <c r="D85" s="338">
        <f>100-D84</f>
        <v>0</v>
      </c>
      <c r="F85" s="327"/>
    </row>
    <row r="86" spans="1:10" x14ac:dyDescent="0.2">
      <c r="B86" s="318"/>
      <c r="C86" s="330" t="s">
        <v>421</v>
      </c>
      <c r="D86" s="335">
        <v>30</v>
      </c>
      <c r="F86" s="327"/>
    </row>
    <row r="87" spans="1:10" x14ac:dyDescent="0.2">
      <c r="B87" s="330" t="s">
        <v>422</v>
      </c>
      <c r="C87" s="1094">
        <v>40695</v>
      </c>
      <c r="D87" s="1094"/>
      <c r="E87" s="339" t="s">
        <v>423</v>
      </c>
      <c r="F87" s="340"/>
      <c r="H87" s="341" t="s">
        <v>424</v>
      </c>
      <c r="I87" s="334">
        <v>5</v>
      </c>
    </row>
    <row r="88" spans="1:10" ht="12.75" thickBot="1" x14ac:dyDescent="0.25">
      <c r="F88" s="342"/>
    </row>
    <row r="89" spans="1:10" ht="36.75" thickBot="1" x14ac:dyDescent="0.25">
      <c r="A89" s="343" t="s">
        <v>425</v>
      </c>
      <c r="B89" s="344" t="s">
        <v>426</v>
      </c>
      <c r="C89" s="344" t="s">
        <v>427</v>
      </c>
      <c r="D89" s="345" t="str">
        <f>CONCATENATE("MONTO MENSUAL DESCONTADO ",ROUND(D86,0),"% ANTICIPO")</f>
        <v>MONTO MENSUAL DESCONTADO 30% ANTICIPO</v>
      </c>
      <c r="E89" s="346" t="s">
        <v>428</v>
      </c>
      <c r="F89" s="347" t="s">
        <v>429</v>
      </c>
      <c r="G89" s="348" t="s">
        <v>430</v>
      </c>
      <c r="H89" s="349" t="s">
        <v>431</v>
      </c>
      <c r="I89" s="350" t="str">
        <f>CONCATENATE("DESEMBOLSOS FONDO LOCAL (",ROUND(D85,0),"%) + IVA")</f>
        <v>DESEMBOLSOS FONDO LOCAL (0%) + IVA</v>
      </c>
      <c r="J89" s="350" t="str">
        <f>CONCATENATE("DESEMBOLSOS FONDO EXTERNO (",ROUND(D84,0),"%)")</f>
        <v>DESEMBOLSOS FONDO EXTERNO (100%)</v>
      </c>
    </row>
    <row r="90" spans="1:10" x14ac:dyDescent="0.2">
      <c r="A90" s="351">
        <v>0</v>
      </c>
      <c r="B90" s="352">
        <f>D86/100</f>
        <v>0.3</v>
      </c>
      <c r="C90" s="352">
        <v>0</v>
      </c>
      <c r="D90" s="353">
        <f>ROUND(B90*D83,0)</f>
        <v>0</v>
      </c>
      <c r="E90" s="354">
        <f>D90</f>
        <v>0</v>
      </c>
      <c r="F90" s="355">
        <f t="shared" ref="F90:F105" si="8">E90/$E$33</f>
        <v>0</v>
      </c>
      <c r="G90" s="356">
        <f>C87</f>
        <v>40695</v>
      </c>
      <c r="H90" s="386">
        <f t="shared" ref="H90:H103" si="9">ROUND(D90*0.1,0)</f>
        <v>0</v>
      </c>
      <c r="I90" s="387">
        <f t="shared" ref="I90:I105" si="10">ROUNDUP((D90+H90-J90),-(LEN(D90)-$I$15))</f>
        <v>0</v>
      </c>
      <c r="J90" s="387">
        <f t="shared" ref="J90:J103" si="11">ROUNDUP(D90*$D$12/100,-(LEN(D90)-$I$15))</f>
        <v>0</v>
      </c>
    </row>
    <row r="91" spans="1:10" x14ac:dyDescent="0.2">
      <c r="A91" s="359">
        <v>1</v>
      </c>
      <c r="B91" s="360">
        <v>2.5000000000000001E-2</v>
      </c>
      <c r="C91" s="360">
        <f t="shared" ref="C91:C103" si="12">B91+C90</f>
        <v>2.5000000000000001E-2</v>
      </c>
      <c r="D91" s="361">
        <f t="shared" ref="D91:D103" si="13">ROUND(B91*$D$11*(100-$D$14)/100,0)</f>
        <v>120488</v>
      </c>
      <c r="E91" s="362">
        <f t="shared" ref="E91:E103" si="14">E90+D91</f>
        <v>120488</v>
      </c>
      <c r="F91" s="363">
        <f t="shared" si="8"/>
        <v>1.7500070079873628E-2</v>
      </c>
      <c r="G91" s="364">
        <f t="shared" ref="G91:G103" si="15">G90+31</f>
        <v>40726</v>
      </c>
      <c r="H91" s="386">
        <f t="shared" si="9"/>
        <v>12049</v>
      </c>
      <c r="I91" s="387">
        <f t="shared" si="10"/>
        <v>12050</v>
      </c>
      <c r="J91" s="387">
        <f t="shared" si="11"/>
        <v>120490</v>
      </c>
    </row>
    <row r="92" spans="1:10" x14ac:dyDescent="0.2">
      <c r="A92" s="359">
        <v>2</v>
      </c>
      <c r="B92" s="360">
        <v>0.03</v>
      </c>
      <c r="C92" s="360">
        <f t="shared" si="12"/>
        <v>5.5E-2</v>
      </c>
      <c r="D92" s="361">
        <f t="shared" si="13"/>
        <v>144585</v>
      </c>
      <c r="E92" s="362">
        <f t="shared" si="14"/>
        <v>265073</v>
      </c>
      <c r="F92" s="363">
        <f t="shared" si="8"/>
        <v>3.8500067029765141E-2</v>
      </c>
      <c r="G92" s="364">
        <f t="shared" si="15"/>
        <v>40757</v>
      </c>
      <c r="H92" s="386">
        <f t="shared" si="9"/>
        <v>14459</v>
      </c>
      <c r="I92" s="387">
        <f t="shared" si="10"/>
        <v>14460</v>
      </c>
      <c r="J92" s="387">
        <f t="shared" si="11"/>
        <v>144590</v>
      </c>
    </row>
    <row r="93" spans="1:10" x14ac:dyDescent="0.2">
      <c r="A93" s="388">
        <v>3</v>
      </c>
      <c r="B93" s="389">
        <v>3.5000000000000003E-2</v>
      </c>
      <c r="C93" s="389">
        <f t="shared" si="12"/>
        <v>0.09</v>
      </c>
      <c r="D93" s="361">
        <f t="shared" si="13"/>
        <v>168683</v>
      </c>
      <c r="E93" s="390">
        <f t="shared" si="14"/>
        <v>433756</v>
      </c>
      <c r="F93" s="391">
        <f t="shared" si="8"/>
        <v>6.3000136092935935E-2</v>
      </c>
      <c r="G93" s="392">
        <f t="shared" si="15"/>
        <v>40788</v>
      </c>
      <c r="H93" s="386">
        <f t="shared" si="9"/>
        <v>16868</v>
      </c>
      <c r="I93" s="387">
        <f t="shared" si="10"/>
        <v>16870</v>
      </c>
      <c r="J93" s="387">
        <f t="shared" si="11"/>
        <v>168690</v>
      </c>
    </row>
    <row r="94" spans="1:10" x14ac:dyDescent="0.2">
      <c r="A94" s="388">
        <v>4</v>
      </c>
      <c r="B94" s="389">
        <v>0.05</v>
      </c>
      <c r="C94" s="389">
        <f t="shared" si="12"/>
        <v>0.14000000000000001</v>
      </c>
      <c r="D94" s="361">
        <f t="shared" si="13"/>
        <v>240975</v>
      </c>
      <c r="E94" s="390">
        <f t="shared" si="14"/>
        <v>674731</v>
      </c>
      <c r="F94" s="391">
        <f t="shared" si="8"/>
        <v>9.8000131009421787E-2</v>
      </c>
      <c r="G94" s="392">
        <f t="shared" si="15"/>
        <v>40819</v>
      </c>
      <c r="H94" s="386">
        <f t="shared" si="9"/>
        <v>24098</v>
      </c>
      <c r="I94" s="387">
        <f t="shared" si="10"/>
        <v>24100</v>
      </c>
      <c r="J94" s="387">
        <f t="shared" si="11"/>
        <v>240980</v>
      </c>
    </row>
    <row r="95" spans="1:10" x14ac:dyDescent="0.2">
      <c r="A95" s="388">
        <v>5</v>
      </c>
      <c r="B95" s="389">
        <v>0.05</v>
      </c>
      <c r="C95" s="389">
        <f t="shared" si="12"/>
        <v>0.19</v>
      </c>
      <c r="D95" s="361">
        <f t="shared" si="13"/>
        <v>240975</v>
      </c>
      <c r="E95" s="390">
        <f t="shared" si="14"/>
        <v>915706</v>
      </c>
      <c r="F95" s="391">
        <f t="shared" si="8"/>
        <v>0.13300012592590763</v>
      </c>
      <c r="G95" s="392">
        <f t="shared" si="15"/>
        <v>40850</v>
      </c>
      <c r="H95" s="386">
        <f t="shared" si="9"/>
        <v>24098</v>
      </c>
      <c r="I95" s="387">
        <f t="shared" si="10"/>
        <v>24100</v>
      </c>
      <c r="J95" s="387">
        <f t="shared" si="11"/>
        <v>240980</v>
      </c>
    </row>
    <row r="96" spans="1:10" x14ac:dyDescent="0.2">
      <c r="A96" s="388">
        <v>6</v>
      </c>
      <c r="B96" s="389">
        <v>0.09</v>
      </c>
      <c r="C96" s="389">
        <f t="shared" si="12"/>
        <v>0.28000000000000003</v>
      </c>
      <c r="D96" s="361">
        <f t="shared" si="13"/>
        <v>433755</v>
      </c>
      <c r="E96" s="390">
        <f t="shared" si="14"/>
        <v>1349461</v>
      </c>
      <c r="F96" s="391">
        <f t="shared" si="8"/>
        <v>0.19600011677558216</v>
      </c>
      <c r="G96" s="392">
        <f t="shared" si="15"/>
        <v>40881</v>
      </c>
      <c r="H96" s="386">
        <f t="shared" si="9"/>
        <v>43376</v>
      </c>
      <c r="I96" s="387">
        <f t="shared" si="10"/>
        <v>43380</v>
      </c>
      <c r="J96" s="387">
        <f t="shared" si="11"/>
        <v>433760</v>
      </c>
    </row>
    <row r="97" spans="1:10" x14ac:dyDescent="0.2">
      <c r="A97" s="388">
        <v>7</v>
      </c>
      <c r="B97" s="389">
        <v>0.1</v>
      </c>
      <c r="C97" s="389">
        <f t="shared" si="12"/>
        <v>0.38</v>
      </c>
      <c r="D97" s="361">
        <f t="shared" si="13"/>
        <v>481950</v>
      </c>
      <c r="E97" s="390">
        <f t="shared" si="14"/>
        <v>1831411</v>
      </c>
      <c r="F97" s="391">
        <f t="shared" si="8"/>
        <v>0.26600010660855389</v>
      </c>
      <c r="G97" s="392">
        <f t="shared" si="15"/>
        <v>40912</v>
      </c>
      <c r="H97" s="386">
        <f t="shared" si="9"/>
        <v>48195</v>
      </c>
      <c r="I97" s="387">
        <f t="shared" si="10"/>
        <v>48200</v>
      </c>
      <c r="J97" s="387">
        <f t="shared" si="11"/>
        <v>481950</v>
      </c>
    </row>
    <row r="98" spans="1:10" x14ac:dyDescent="0.2">
      <c r="A98" s="388">
        <v>8</v>
      </c>
      <c r="B98" s="389">
        <v>0.1</v>
      </c>
      <c r="C98" s="389">
        <f t="shared" si="12"/>
        <v>0.48</v>
      </c>
      <c r="D98" s="361">
        <f t="shared" si="13"/>
        <v>481950</v>
      </c>
      <c r="E98" s="390">
        <f t="shared" si="14"/>
        <v>2313361</v>
      </c>
      <c r="F98" s="391">
        <f t="shared" si="8"/>
        <v>0.33600009644152556</v>
      </c>
      <c r="G98" s="392">
        <f t="shared" si="15"/>
        <v>40943</v>
      </c>
      <c r="H98" s="386">
        <f t="shared" si="9"/>
        <v>48195</v>
      </c>
      <c r="I98" s="387">
        <f t="shared" si="10"/>
        <v>48200</v>
      </c>
      <c r="J98" s="387">
        <f t="shared" si="11"/>
        <v>481950</v>
      </c>
    </row>
    <row r="99" spans="1:10" x14ac:dyDescent="0.2">
      <c r="A99" s="388">
        <v>9</v>
      </c>
      <c r="B99" s="389">
        <v>0.11</v>
      </c>
      <c r="C99" s="389">
        <f t="shared" si="12"/>
        <v>0.59</v>
      </c>
      <c r="D99" s="361">
        <f t="shared" si="13"/>
        <v>530145</v>
      </c>
      <c r="E99" s="390">
        <f t="shared" si="14"/>
        <v>2843506</v>
      </c>
      <c r="F99" s="391">
        <f t="shared" si="8"/>
        <v>0.41300008525779447</v>
      </c>
      <c r="G99" s="392">
        <f t="shared" si="15"/>
        <v>40974</v>
      </c>
      <c r="H99" s="386">
        <f t="shared" si="9"/>
        <v>53015</v>
      </c>
      <c r="I99" s="387">
        <f t="shared" si="10"/>
        <v>53010</v>
      </c>
      <c r="J99" s="387">
        <f t="shared" si="11"/>
        <v>530150</v>
      </c>
    </row>
    <row r="100" spans="1:10" x14ac:dyDescent="0.2">
      <c r="A100" s="388">
        <v>10</v>
      </c>
      <c r="B100" s="389">
        <v>0.11</v>
      </c>
      <c r="C100" s="389">
        <f t="shared" si="12"/>
        <v>0.7</v>
      </c>
      <c r="D100" s="393">
        <f t="shared" si="13"/>
        <v>530145</v>
      </c>
      <c r="E100" s="390">
        <f t="shared" si="14"/>
        <v>3373651</v>
      </c>
      <c r="F100" s="391">
        <f t="shared" si="8"/>
        <v>0.49000007407406332</v>
      </c>
      <c r="G100" s="392">
        <f t="shared" si="15"/>
        <v>41005</v>
      </c>
      <c r="H100" s="386">
        <f t="shared" si="9"/>
        <v>53015</v>
      </c>
      <c r="I100" s="387">
        <f t="shared" si="10"/>
        <v>53010</v>
      </c>
      <c r="J100" s="387">
        <f t="shared" si="11"/>
        <v>530150</v>
      </c>
    </row>
    <row r="101" spans="1:10" x14ac:dyDescent="0.2">
      <c r="A101" s="388">
        <v>11</v>
      </c>
      <c r="B101" s="389">
        <v>0.1</v>
      </c>
      <c r="C101" s="389">
        <f t="shared" si="12"/>
        <v>0.79999999999999993</v>
      </c>
      <c r="D101" s="393">
        <f t="shared" si="13"/>
        <v>481950</v>
      </c>
      <c r="E101" s="390">
        <f t="shared" si="14"/>
        <v>3855601</v>
      </c>
      <c r="F101" s="391">
        <f t="shared" si="8"/>
        <v>0.56000006390703505</v>
      </c>
      <c r="G101" s="392">
        <f t="shared" si="15"/>
        <v>41036</v>
      </c>
      <c r="H101" s="386">
        <f t="shared" si="9"/>
        <v>48195</v>
      </c>
      <c r="I101" s="387">
        <f t="shared" si="10"/>
        <v>48200</v>
      </c>
      <c r="J101" s="387">
        <f t="shared" si="11"/>
        <v>481950</v>
      </c>
    </row>
    <row r="102" spans="1:10" x14ac:dyDescent="0.2">
      <c r="A102" s="388">
        <v>12</v>
      </c>
      <c r="B102" s="389">
        <v>0.08</v>
      </c>
      <c r="C102" s="389">
        <f t="shared" si="12"/>
        <v>0.87999999999999989</v>
      </c>
      <c r="D102" s="393">
        <f t="shared" si="13"/>
        <v>385560</v>
      </c>
      <c r="E102" s="390">
        <f t="shared" si="14"/>
        <v>4241161</v>
      </c>
      <c r="F102" s="391">
        <f t="shared" si="8"/>
        <v>0.61600005577341232</v>
      </c>
      <c r="G102" s="392">
        <f t="shared" si="15"/>
        <v>41067</v>
      </c>
      <c r="H102" s="386">
        <f t="shared" si="9"/>
        <v>38556</v>
      </c>
      <c r="I102" s="387">
        <f t="shared" si="10"/>
        <v>38560</v>
      </c>
      <c r="J102" s="387">
        <f t="shared" si="11"/>
        <v>385560</v>
      </c>
    </row>
    <row r="103" spans="1:10" x14ac:dyDescent="0.2">
      <c r="A103" s="388">
        <v>13</v>
      </c>
      <c r="B103" s="389">
        <v>0.06</v>
      </c>
      <c r="C103" s="389">
        <f t="shared" si="12"/>
        <v>0.94</v>
      </c>
      <c r="D103" s="393">
        <f t="shared" si="13"/>
        <v>289170</v>
      </c>
      <c r="E103" s="390">
        <f t="shared" si="14"/>
        <v>4530331</v>
      </c>
      <c r="F103" s="391">
        <f t="shared" si="8"/>
        <v>0.65800004967319536</v>
      </c>
      <c r="G103" s="392">
        <f t="shared" si="15"/>
        <v>41098</v>
      </c>
      <c r="H103" s="386">
        <f t="shared" si="9"/>
        <v>28917</v>
      </c>
      <c r="I103" s="387">
        <f t="shared" si="10"/>
        <v>28920</v>
      </c>
      <c r="J103" s="387">
        <f t="shared" si="11"/>
        <v>289170</v>
      </c>
    </row>
    <row r="104" spans="1:10" x14ac:dyDescent="0.2">
      <c r="A104" s="388">
        <v>14</v>
      </c>
      <c r="B104" s="389">
        <v>0.04</v>
      </c>
      <c r="C104" s="389">
        <f>B104+C103</f>
        <v>0.98</v>
      </c>
      <c r="D104" s="393">
        <f>ROUND(B104*$D$11*(100-$D$14)/100,0)</f>
        <v>192780</v>
      </c>
      <c r="E104" s="390">
        <f>E103+D104</f>
        <v>4723111</v>
      </c>
      <c r="F104" s="391">
        <f t="shared" si="8"/>
        <v>0.68600004560638406</v>
      </c>
      <c r="G104" s="392">
        <f>G103+31</f>
        <v>41129</v>
      </c>
      <c r="H104" s="394">
        <f>ROUND(D104*0.1,0)</f>
        <v>19278</v>
      </c>
      <c r="I104" s="387">
        <f t="shared" si="10"/>
        <v>19280</v>
      </c>
      <c r="J104" s="387">
        <f>ROUNDUP(D104*$D$12/100,-(LEN(D104)-$I$15))</f>
        <v>192780</v>
      </c>
    </row>
    <row r="105" spans="1:10" ht="12.75" thickBot="1" x14ac:dyDescent="0.25">
      <c r="A105" s="371">
        <v>15</v>
      </c>
      <c r="B105" s="372">
        <v>0.02</v>
      </c>
      <c r="C105" s="372">
        <f>B105+C104</f>
        <v>1</v>
      </c>
      <c r="D105" s="373">
        <f>ROUND(B105*$D$11*(100-$D$14)/100,0)</f>
        <v>96390</v>
      </c>
      <c r="E105" s="374">
        <f>E104+D105</f>
        <v>4819501</v>
      </c>
      <c r="F105" s="375">
        <f t="shared" si="8"/>
        <v>0.7000000435729784</v>
      </c>
      <c r="G105" s="376">
        <f>G104+31</f>
        <v>41160</v>
      </c>
      <c r="H105" s="377">
        <f>ROUND(D105*0.1,0)</f>
        <v>9639</v>
      </c>
      <c r="I105" s="387">
        <f t="shared" si="10"/>
        <v>9639</v>
      </c>
      <c r="J105" s="387">
        <f>ROUNDUP(D105*$D$12/100,-(LEN(D105)-$I$15))</f>
        <v>96390</v>
      </c>
    </row>
    <row r="106" spans="1:10" ht="12.75" thickBot="1" x14ac:dyDescent="0.25">
      <c r="A106" s="379" t="str">
        <f>A105*30 &amp; " dias"</f>
        <v>450 dias</v>
      </c>
      <c r="B106" s="380">
        <f>SUM(B91:B105)</f>
        <v>1</v>
      </c>
      <c r="C106" s="381"/>
      <c r="D106" s="382">
        <f>SUM(D90:D105)</f>
        <v>4819501</v>
      </c>
      <c r="E106" s="318"/>
      <c r="F106" s="324"/>
      <c r="H106" s="318"/>
      <c r="I106" s="382">
        <f>SUM(I90:I105)</f>
        <v>481979</v>
      </c>
      <c r="J106" s="382">
        <f>SUM(J90:J105)</f>
        <v>4819540</v>
      </c>
    </row>
    <row r="107" spans="1:10" x14ac:dyDescent="0.2">
      <c r="A107" s="324"/>
      <c r="H107" s="330" t="s">
        <v>432</v>
      </c>
      <c r="I107" s="1095">
        <f>I106+J106</f>
        <v>5301519</v>
      </c>
      <c r="J107" s="1096"/>
    </row>
    <row r="108" spans="1:10" x14ac:dyDescent="0.2">
      <c r="A108" s="323" t="s">
        <v>433</v>
      </c>
      <c r="B108" s="323"/>
      <c r="C108" s="323"/>
      <c r="H108" s="330" t="s">
        <v>434</v>
      </c>
      <c r="I108" s="341">
        <f>I107/1.1-D83</f>
        <v>4819562.7272727266</v>
      </c>
    </row>
    <row r="109" spans="1:10" x14ac:dyDescent="0.2">
      <c r="B109" s="383"/>
    </row>
    <row r="110" spans="1:10" x14ac:dyDescent="0.2">
      <c r="B110" s="383"/>
    </row>
    <row r="111" spans="1:10" x14ac:dyDescent="0.2">
      <c r="B111" s="383"/>
    </row>
    <row r="114" spans="1:17" s="473" customFormat="1" ht="12.75" customHeight="1" x14ac:dyDescent="0.2">
      <c r="A114" s="471"/>
      <c r="B114" s="472" t="s">
        <v>542</v>
      </c>
      <c r="C114" s="472" t="s">
        <v>470</v>
      </c>
      <c r="D114" s="472" t="s">
        <v>471</v>
      </c>
      <c r="E114" s="472" t="s">
        <v>472</v>
      </c>
      <c r="F114" s="472" t="s">
        <v>473</v>
      </c>
      <c r="G114" s="472" t="s">
        <v>474</v>
      </c>
      <c r="H114" s="472" t="s">
        <v>475</v>
      </c>
      <c r="I114" s="472" t="s">
        <v>476</v>
      </c>
      <c r="J114" s="472" t="s">
        <v>477</v>
      </c>
      <c r="K114" s="472" t="s">
        <v>478</v>
      </c>
      <c r="L114" s="472" t="s">
        <v>479</v>
      </c>
      <c r="M114" s="472" t="s">
        <v>480</v>
      </c>
      <c r="N114" s="472" t="s">
        <v>481</v>
      </c>
      <c r="O114" s="472" t="s">
        <v>482</v>
      </c>
      <c r="P114" s="472" t="s">
        <v>483</v>
      </c>
      <c r="Q114" s="472" t="s">
        <v>484</v>
      </c>
    </row>
    <row r="115" spans="1:17" x14ac:dyDescent="0.2">
      <c r="A115" s="384" t="s">
        <v>435</v>
      </c>
      <c r="B115" s="361">
        <f>$I90</f>
        <v>0</v>
      </c>
      <c r="C115" s="361">
        <f>$I91</f>
        <v>12050</v>
      </c>
      <c r="D115" s="361">
        <f>$I92</f>
        <v>14460</v>
      </c>
      <c r="E115" s="361">
        <f>$I93</f>
        <v>16870</v>
      </c>
      <c r="F115" s="361">
        <f>$I94</f>
        <v>24100</v>
      </c>
      <c r="G115" s="361">
        <f>$I95</f>
        <v>24100</v>
      </c>
      <c r="H115" s="361">
        <f>$I96</f>
        <v>43380</v>
      </c>
      <c r="I115" s="361">
        <f>$I97</f>
        <v>48200</v>
      </c>
      <c r="J115" s="361">
        <f>$I98</f>
        <v>48200</v>
      </c>
      <c r="K115" s="361">
        <f>$I99</f>
        <v>53010</v>
      </c>
      <c r="L115" s="361">
        <f>$I100</f>
        <v>53010</v>
      </c>
      <c r="M115" s="361">
        <f>$I101</f>
        <v>48200</v>
      </c>
      <c r="N115" s="361">
        <f>$I102</f>
        <v>38560</v>
      </c>
      <c r="O115" s="361">
        <f>$I103</f>
        <v>28920</v>
      </c>
      <c r="P115" s="361">
        <f>$I104</f>
        <v>19280</v>
      </c>
      <c r="Q115" s="361">
        <f>$I105</f>
        <v>9639</v>
      </c>
    </row>
    <row r="116" spans="1:17" x14ac:dyDescent="0.2">
      <c r="A116" s="384" t="s">
        <v>436</v>
      </c>
      <c r="B116" s="361">
        <f>$J90</f>
        <v>0</v>
      </c>
      <c r="C116" s="361">
        <f>$J91</f>
        <v>120490</v>
      </c>
      <c r="D116" s="361">
        <f>$J92</f>
        <v>144590</v>
      </c>
      <c r="E116" s="361">
        <f>$J93</f>
        <v>168690</v>
      </c>
      <c r="F116" s="361">
        <f>$J94</f>
        <v>240980</v>
      </c>
      <c r="G116" s="361">
        <f>$J95</f>
        <v>240980</v>
      </c>
      <c r="H116" s="361">
        <f>$J96</f>
        <v>433760</v>
      </c>
      <c r="I116" s="361">
        <f>$J97</f>
        <v>481950</v>
      </c>
      <c r="J116" s="361">
        <f>$J98</f>
        <v>481950</v>
      </c>
      <c r="K116" s="361">
        <f>$J99</f>
        <v>530150</v>
      </c>
      <c r="L116" s="361">
        <f>$J100</f>
        <v>530150</v>
      </c>
      <c r="M116" s="361">
        <f>$J101</f>
        <v>481950</v>
      </c>
      <c r="N116" s="361">
        <f>$J102</f>
        <v>385560</v>
      </c>
      <c r="O116" s="361">
        <f>$J103</f>
        <v>289170</v>
      </c>
      <c r="P116" s="361">
        <f>$J104</f>
        <v>192780</v>
      </c>
      <c r="Q116" s="361">
        <f>$J105</f>
        <v>96390</v>
      </c>
    </row>
    <row r="117" spans="1:17" x14ac:dyDescent="0.2">
      <c r="B117" s="558">
        <f>SUM(B115:B116)</f>
        <v>0</v>
      </c>
      <c r="C117" s="558">
        <f t="shared" ref="C117:Q117" si="16">SUM(C115:C116)</f>
        <v>132540</v>
      </c>
      <c r="D117" s="558">
        <f t="shared" si="16"/>
        <v>159050</v>
      </c>
      <c r="E117" s="558">
        <f t="shared" si="16"/>
        <v>185560</v>
      </c>
      <c r="F117" s="558">
        <f t="shared" si="16"/>
        <v>265080</v>
      </c>
      <c r="G117" s="558">
        <f t="shared" si="16"/>
        <v>265080</v>
      </c>
      <c r="H117" s="558">
        <f t="shared" si="16"/>
        <v>477140</v>
      </c>
      <c r="I117" s="558">
        <f t="shared" si="16"/>
        <v>530150</v>
      </c>
      <c r="J117" s="558">
        <f t="shared" si="16"/>
        <v>530150</v>
      </c>
      <c r="K117" s="558">
        <f t="shared" si="16"/>
        <v>583160</v>
      </c>
      <c r="L117" s="558">
        <f t="shared" si="16"/>
        <v>583160</v>
      </c>
      <c r="M117" s="558">
        <f t="shared" si="16"/>
        <v>530150</v>
      </c>
      <c r="N117" s="558">
        <f t="shared" si="16"/>
        <v>424120</v>
      </c>
      <c r="O117" s="558">
        <f t="shared" si="16"/>
        <v>318090</v>
      </c>
      <c r="P117" s="558">
        <f t="shared" si="16"/>
        <v>212060</v>
      </c>
      <c r="Q117" s="558">
        <f t="shared" si="16"/>
        <v>106029</v>
      </c>
    </row>
    <row r="118" spans="1:17" x14ac:dyDescent="0.2">
      <c r="B118" s="559">
        <f>SUM(B117:Q117)</f>
        <v>5301519</v>
      </c>
    </row>
  </sheetData>
  <mergeCells count="12">
    <mergeCell ref="C87:D87"/>
    <mergeCell ref="I107:J107"/>
    <mergeCell ref="I35:J35"/>
    <mergeCell ref="A73:J73"/>
    <mergeCell ref="B75:I76"/>
    <mergeCell ref="A77:C77"/>
    <mergeCell ref="D79:F79"/>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64"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2"/>
  <sheetViews>
    <sheetView showGridLines="0" topLeftCell="A14" zoomScale="70" zoomScaleNormal="70" workbookViewId="0">
      <selection activeCell="G56" sqref="G56"/>
    </sheetView>
  </sheetViews>
  <sheetFormatPr defaultColWidth="11.42578125" defaultRowHeight="12" x14ac:dyDescent="0.2"/>
  <cols>
    <col min="1" max="1" width="14.85546875" style="319" bestFit="1" customWidth="1"/>
    <col min="2" max="2" width="14" style="319" bestFit="1" customWidth="1"/>
    <col min="3" max="3" width="13.5703125" style="319" customWidth="1"/>
    <col min="4" max="4" width="14.28515625" style="319" customWidth="1"/>
    <col min="5" max="5" width="16.42578125" style="319" bestFit="1" customWidth="1"/>
    <col min="6" max="6" width="13.28515625" style="319" bestFit="1" customWidth="1"/>
    <col min="7" max="7" width="16.7109375" style="319" bestFit="1" customWidth="1"/>
    <col min="8" max="8" width="15.28515625" style="319" bestFit="1" customWidth="1"/>
    <col min="9" max="9" width="13.140625" style="319" bestFit="1" customWidth="1"/>
    <col min="10" max="10" width="13.28515625" style="319" bestFit="1" customWidth="1"/>
    <col min="11" max="16" width="12.5703125" style="319" bestFit="1" customWidth="1"/>
    <col min="17" max="17" width="16.42578125" style="319" bestFit="1" customWidth="1"/>
    <col min="18" max="18" width="11.7109375" style="319" bestFit="1" customWidth="1"/>
    <col min="19" max="16384" width="11.42578125" style="319"/>
  </cols>
  <sheetData>
    <row r="1" spans="1:18" x14ac:dyDescent="0.2">
      <c r="A1" s="1090" t="s">
        <v>410</v>
      </c>
      <c r="B1" s="1090"/>
      <c r="C1" s="1090"/>
      <c r="D1" s="1090"/>
      <c r="E1" s="1090"/>
      <c r="F1" s="1090"/>
      <c r="G1" s="1090"/>
      <c r="H1" s="1090"/>
      <c r="I1" s="1090"/>
      <c r="J1" s="1090"/>
      <c r="K1" s="318"/>
      <c r="L1" s="318"/>
      <c r="M1" s="318"/>
      <c r="N1" s="318"/>
      <c r="O1" s="318"/>
      <c r="P1" s="318"/>
      <c r="Q1" s="318"/>
      <c r="R1" s="318"/>
    </row>
    <row r="2" spans="1:18" x14ac:dyDescent="0.2">
      <c r="A2" s="320"/>
      <c r="B2" s="321"/>
      <c r="C2" s="322"/>
      <c r="D2" s="322"/>
      <c r="E2" s="323"/>
      <c r="F2" s="323"/>
      <c r="G2" s="318"/>
      <c r="H2" s="324"/>
      <c r="I2" s="318"/>
      <c r="J2" s="318"/>
      <c r="K2" s="318"/>
      <c r="L2" s="318"/>
      <c r="M2" s="318"/>
      <c r="N2" s="318"/>
      <c r="O2" s="318"/>
      <c r="P2" s="318"/>
      <c r="Q2" s="318"/>
      <c r="R2" s="318"/>
    </row>
    <row r="3" spans="1:18" x14ac:dyDescent="0.2">
      <c r="A3" s="320" t="s">
        <v>411</v>
      </c>
      <c r="B3" s="1091" t="s">
        <v>441</v>
      </c>
      <c r="C3" s="1091"/>
      <c r="D3" s="1091"/>
      <c r="E3" s="1091"/>
      <c r="F3" s="1091"/>
      <c r="G3" s="1091"/>
      <c r="H3" s="1091"/>
      <c r="I3" s="1091"/>
      <c r="J3" s="325"/>
      <c r="K3" s="318"/>
      <c r="L3" s="318"/>
      <c r="M3" s="318"/>
      <c r="N3" s="318"/>
      <c r="O3" s="318"/>
      <c r="P3" s="318"/>
      <c r="Q3" s="318"/>
      <c r="R3" s="318"/>
    </row>
    <row r="4" spans="1:18" x14ac:dyDescent="0.2">
      <c r="A4" s="326"/>
      <c r="B4" s="1091"/>
      <c r="C4" s="1091"/>
      <c r="D4" s="1091"/>
      <c r="E4" s="1091"/>
      <c r="F4" s="1091"/>
      <c r="G4" s="1091"/>
      <c r="H4" s="1091"/>
      <c r="I4" s="1091"/>
      <c r="J4" s="325"/>
      <c r="K4" s="318"/>
      <c r="L4" s="318"/>
      <c r="M4" s="318"/>
      <c r="N4" s="318"/>
      <c r="O4" s="318"/>
      <c r="P4" s="318"/>
      <c r="Q4" s="318"/>
      <c r="R4" s="318"/>
    </row>
    <row r="5" spans="1:18" x14ac:dyDescent="0.2">
      <c r="A5" s="1092" t="str">
        <f>CONCATENATE("PLAZO: ",A33," MESES (",A34,")")</f>
        <v>PLAZO: 15 MESES (450 dias)</v>
      </c>
      <c r="B5" s="1092"/>
      <c r="C5" s="1092"/>
      <c r="D5" s="327"/>
      <c r="E5" s="327"/>
      <c r="F5" s="318"/>
      <c r="G5" s="318"/>
      <c r="H5" s="324"/>
      <c r="I5" s="318"/>
      <c r="J5" s="318"/>
      <c r="K5" s="318"/>
      <c r="L5" s="318"/>
      <c r="M5" s="318"/>
      <c r="N5" s="318"/>
      <c r="O5" s="318"/>
      <c r="P5" s="318"/>
      <c r="Q5" s="318"/>
      <c r="R5" s="318"/>
    </row>
    <row r="6" spans="1:18" x14ac:dyDescent="0.2">
      <c r="A6" s="318"/>
      <c r="B6" s="329"/>
      <c r="C6" s="327"/>
      <c r="D6" s="327"/>
      <c r="E6" s="327"/>
      <c r="F6" s="318"/>
      <c r="G6" s="318"/>
      <c r="H6" s="324"/>
      <c r="I6" s="318"/>
      <c r="J6" s="318"/>
      <c r="K6" s="318"/>
      <c r="L6" s="318"/>
      <c r="M6" s="318"/>
      <c r="N6" s="318"/>
      <c r="O6" s="318"/>
      <c r="P6" s="318"/>
      <c r="Q6" s="318"/>
      <c r="R6" s="318"/>
    </row>
    <row r="7" spans="1:18" x14ac:dyDescent="0.2">
      <c r="A7" s="318"/>
      <c r="B7" s="329"/>
      <c r="C7" s="330" t="s">
        <v>412</v>
      </c>
      <c r="D7" s="1093"/>
      <c r="E7" s="1093"/>
      <c r="F7" s="1093"/>
      <c r="G7" s="318"/>
      <c r="H7" s="330" t="s">
        <v>413</v>
      </c>
      <c r="I7" s="331">
        <f ca="1">NOW()</f>
        <v>42304.713902662035</v>
      </c>
      <c r="J7" s="318"/>
      <c r="K7" s="318"/>
      <c r="L7" s="318"/>
      <c r="M7" s="318"/>
      <c r="N7" s="318"/>
      <c r="O7" s="318"/>
      <c r="P7" s="318"/>
      <c r="Q7" s="318"/>
      <c r="R7" s="318"/>
    </row>
    <row r="8" spans="1:18" x14ac:dyDescent="0.2">
      <c r="A8" s="318"/>
      <c r="B8" s="329"/>
      <c r="C8" s="330" t="str">
        <f>IF(D7=0,"MONTO ESTIMADO CON IVA:","MONTO DE CONTRATO CON IVA:")</f>
        <v>MONTO ESTIMADO CON IVA:</v>
      </c>
      <c r="D8" s="332" t="e">
        <f>A51</f>
        <v>#REF!</v>
      </c>
      <c r="E8" s="333" t="s">
        <v>414</v>
      </c>
      <c r="F8" s="318" t="s">
        <v>415</v>
      </c>
      <c r="G8" s="318"/>
      <c r="H8" s="324" t="s">
        <v>416</v>
      </c>
      <c r="I8" s="334">
        <v>1</v>
      </c>
      <c r="J8" s="318"/>
      <c r="K8" s="318"/>
      <c r="L8" s="318"/>
      <c r="M8" s="318"/>
      <c r="N8" s="318"/>
      <c r="O8" s="318"/>
      <c r="P8" s="318"/>
      <c r="Q8" s="318"/>
      <c r="R8" s="318"/>
    </row>
    <row r="9" spans="1:18" x14ac:dyDescent="0.2">
      <c r="A9" s="318"/>
      <c r="B9" s="329"/>
      <c r="C9" s="330"/>
      <c r="D9" s="332"/>
      <c r="E9" s="327" t="s">
        <v>417</v>
      </c>
      <c r="F9" s="318"/>
      <c r="G9" s="318"/>
      <c r="H9" s="324"/>
      <c r="I9" s="335"/>
      <c r="J9" s="318"/>
      <c r="K9" s="318"/>
      <c r="L9" s="318"/>
      <c r="M9" s="318"/>
      <c r="N9" s="318"/>
      <c r="O9" s="318"/>
      <c r="P9" s="318"/>
      <c r="Q9" s="318"/>
      <c r="R9" s="318"/>
    </row>
    <row r="10" spans="1:18" x14ac:dyDescent="0.2">
      <c r="A10" s="318"/>
      <c r="B10" s="329"/>
      <c r="C10" s="330"/>
      <c r="D10" s="332"/>
      <c r="E10" s="327" t="s">
        <v>414</v>
      </c>
      <c r="F10" s="318"/>
      <c r="G10" s="318"/>
      <c r="H10" s="324"/>
      <c r="I10" s="335"/>
      <c r="J10" s="318"/>
      <c r="K10" s="318"/>
      <c r="L10" s="318"/>
      <c r="M10" s="318"/>
      <c r="N10" s="318"/>
      <c r="O10" s="318"/>
      <c r="P10" s="318"/>
      <c r="Q10" s="318"/>
      <c r="R10" s="318"/>
    </row>
    <row r="11" spans="1:18" x14ac:dyDescent="0.2">
      <c r="A11" s="318"/>
      <c r="B11" s="318"/>
      <c r="C11" s="330" t="str">
        <f>IF(D7=0,"MONTO ESTIMADO SIN IVA:","MONTO DE CONTRATO SIN IVA:")</f>
        <v>MONTO ESTIMADO SIN IVA:</v>
      </c>
      <c r="D11" s="336" t="e">
        <f>D8</f>
        <v>#REF!</v>
      </c>
      <c r="E11" s="337" t="s">
        <v>417</v>
      </c>
      <c r="F11" s="327"/>
      <c r="G11" s="318"/>
      <c r="H11" s="324"/>
      <c r="I11" s="318"/>
      <c r="J11" s="318"/>
      <c r="K11" s="318"/>
      <c r="L11" s="318"/>
      <c r="M11" s="318"/>
      <c r="N11" s="318"/>
      <c r="O11" s="318"/>
      <c r="P11" s="318"/>
      <c r="Q11" s="318"/>
      <c r="R11" s="318"/>
    </row>
    <row r="12" spans="1:18" x14ac:dyDescent="0.2">
      <c r="A12" s="318"/>
      <c r="B12" s="318"/>
      <c r="C12" s="330" t="s">
        <v>418</v>
      </c>
      <c r="D12" s="334">
        <v>100</v>
      </c>
      <c r="E12" s="327"/>
      <c r="F12" s="327" t="s">
        <v>419</v>
      </c>
      <c r="G12" s="318"/>
      <c r="H12" s="324"/>
      <c r="I12" s="318"/>
      <c r="J12" s="318"/>
      <c r="K12" s="318"/>
      <c r="L12" s="318"/>
      <c r="M12" s="318"/>
      <c r="N12" s="318"/>
      <c r="O12" s="318"/>
      <c r="P12" s="318"/>
      <c r="Q12" s="318"/>
      <c r="R12" s="318"/>
    </row>
    <row r="13" spans="1:18" x14ac:dyDescent="0.2">
      <c r="A13" s="318"/>
      <c r="B13" s="318"/>
      <c r="C13" s="330" t="s">
        <v>420</v>
      </c>
      <c r="D13" s="338">
        <f>100-D12</f>
        <v>0</v>
      </c>
      <c r="E13" s="327"/>
      <c r="F13" s="327"/>
      <c r="G13" s="318"/>
      <c r="H13" s="324"/>
      <c r="I13" s="318"/>
      <c r="J13" s="318"/>
      <c r="K13" s="318"/>
      <c r="L13" s="318"/>
      <c r="M13" s="318"/>
      <c r="N13" s="318"/>
      <c r="O13" s="318"/>
      <c r="P13" s="318"/>
      <c r="Q13" s="318"/>
      <c r="R13" s="318"/>
    </row>
    <row r="14" spans="1:18" x14ac:dyDescent="0.2">
      <c r="A14" s="318"/>
      <c r="B14" s="318"/>
      <c r="C14" s="330" t="s">
        <v>421</v>
      </c>
      <c r="D14" s="335">
        <v>0</v>
      </c>
      <c r="E14" s="327"/>
      <c r="F14" s="327"/>
      <c r="G14" s="318"/>
      <c r="H14" s="324"/>
      <c r="I14" s="318"/>
      <c r="J14" s="318"/>
      <c r="K14" s="318"/>
      <c r="L14" s="318"/>
      <c r="M14" s="318"/>
      <c r="N14" s="318"/>
      <c r="O14" s="318"/>
      <c r="P14" s="318"/>
      <c r="Q14" s="318"/>
      <c r="R14" s="318"/>
    </row>
    <row r="15" spans="1:18" x14ac:dyDescent="0.2">
      <c r="A15" s="318"/>
      <c r="B15" s="330" t="s">
        <v>422</v>
      </c>
      <c r="C15" s="1094"/>
      <c r="D15" s="1094"/>
      <c r="E15" s="339" t="s">
        <v>423</v>
      </c>
      <c r="F15" s="340"/>
      <c r="G15" s="318"/>
      <c r="H15" s="341" t="s">
        <v>424</v>
      </c>
      <c r="I15" s="334">
        <v>5</v>
      </c>
      <c r="J15" s="318"/>
      <c r="K15" s="318"/>
      <c r="L15" s="318"/>
      <c r="M15" s="318"/>
      <c r="N15" s="318"/>
      <c r="O15" s="318"/>
      <c r="P15" s="318"/>
      <c r="Q15" s="318"/>
      <c r="R15" s="318"/>
    </row>
    <row r="16" spans="1:18" ht="12.75" thickBot="1" x14ac:dyDescent="0.25">
      <c r="A16" s="318"/>
      <c r="B16" s="329"/>
      <c r="C16" s="327"/>
      <c r="D16" s="327"/>
      <c r="E16" s="327"/>
      <c r="F16" s="342"/>
      <c r="G16" s="318"/>
      <c r="H16" s="324"/>
      <c r="I16" s="318"/>
      <c r="J16" s="318"/>
      <c r="K16" s="318"/>
      <c r="L16" s="318"/>
      <c r="M16" s="318"/>
      <c r="N16" s="318"/>
      <c r="O16" s="318"/>
      <c r="P16" s="318"/>
      <c r="Q16" s="318"/>
      <c r="R16" s="318"/>
    </row>
    <row r="17" spans="1:18" ht="48.75" thickBot="1" x14ac:dyDescent="0.25">
      <c r="A17" s="343" t="s">
        <v>425</v>
      </c>
      <c r="B17" s="344" t="s">
        <v>426</v>
      </c>
      <c r="C17" s="344" t="s">
        <v>427</v>
      </c>
      <c r="D17" s="345" t="str">
        <f>CONCATENATE("MONTO MENSUAL DESCONTADO ",ROUND(D14,0),"% ANTICIPO")</f>
        <v>MONTO MENSUAL DESCONTADO 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row>
    <row r="18" spans="1:18" x14ac:dyDescent="0.2">
      <c r="A18" s="351">
        <v>0</v>
      </c>
      <c r="B18" s="352">
        <f>D14/100</f>
        <v>0</v>
      </c>
      <c r="C18" s="352">
        <v>0</v>
      </c>
      <c r="D18" s="353" t="e">
        <f>ROUND(B18*D11,0)</f>
        <v>#REF!</v>
      </c>
      <c r="E18" s="354" t="e">
        <f>D18</f>
        <v>#REF!</v>
      </c>
      <c r="F18" s="355" t="e">
        <f t="shared" ref="F18:F33" si="0">E18/$E$33</f>
        <v>#REF!</v>
      </c>
      <c r="G18" s="484" t="s">
        <v>543</v>
      </c>
      <c r="H18" s="386" t="e">
        <f t="shared" ref="H18:H31" si="1">ROUND(D18*0.1,0)</f>
        <v>#REF!</v>
      </c>
      <c r="I18" s="387" t="e">
        <f t="shared" ref="I18:I33" si="2">ROUNDUP((D18+H18-J18),-(LEN(D18)-$I$15))</f>
        <v>#REF!</v>
      </c>
      <c r="J18" s="387" t="e">
        <f t="shared" ref="J18:J31" si="3">ROUNDUP(D18*$D$12/100,-(LEN(D18)-$I$15))</f>
        <v>#REF!</v>
      </c>
      <c r="K18" s="318"/>
      <c r="L18" s="318"/>
      <c r="M18" s="318"/>
      <c r="N18" s="318"/>
      <c r="O18" s="318"/>
      <c r="P18" s="318"/>
      <c r="Q18" s="318"/>
      <c r="R18" s="318"/>
    </row>
    <row r="19" spans="1:18" x14ac:dyDescent="0.2">
      <c r="A19" s="359">
        <v>1</v>
      </c>
      <c r="B19" s="360">
        <v>2.5000000000000001E-2</v>
      </c>
      <c r="C19" s="360">
        <f t="shared" ref="C19:C31" si="4">B19+C18</f>
        <v>2.5000000000000001E-2</v>
      </c>
      <c r="D19" s="361" t="e">
        <f t="shared" ref="D19:D31" si="5">ROUND(B19*$D$11*(100-$D$14)/100,0)</f>
        <v>#REF!</v>
      </c>
      <c r="E19" s="362" t="e">
        <f t="shared" ref="E19:E31" si="6">E18+D19</f>
        <v>#REF!</v>
      </c>
      <c r="F19" s="363" t="e">
        <f t="shared" si="0"/>
        <v>#REF!</v>
      </c>
      <c r="G19" s="470" t="s">
        <v>470</v>
      </c>
      <c r="H19" s="386" t="e">
        <f t="shared" si="1"/>
        <v>#REF!</v>
      </c>
      <c r="I19" s="387" t="e">
        <f t="shared" si="2"/>
        <v>#REF!</v>
      </c>
      <c r="J19" s="387" t="e">
        <f t="shared" si="3"/>
        <v>#REF!</v>
      </c>
      <c r="K19" s="318"/>
      <c r="L19" s="318"/>
      <c r="M19" s="318"/>
      <c r="N19" s="318"/>
      <c r="O19" s="318"/>
      <c r="P19" s="318"/>
      <c r="Q19" s="318"/>
      <c r="R19" s="318"/>
    </row>
    <row r="20" spans="1:18" x14ac:dyDescent="0.2">
      <c r="A20" s="359">
        <v>2</v>
      </c>
      <c r="B20" s="360">
        <v>0.03</v>
      </c>
      <c r="C20" s="360">
        <f t="shared" si="4"/>
        <v>5.5E-2</v>
      </c>
      <c r="D20" s="361" t="e">
        <f t="shared" si="5"/>
        <v>#REF!</v>
      </c>
      <c r="E20" s="362" t="e">
        <f t="shared" si="6"/>
        <v>#REF!</v>
      </c>
      <c r="F20" s="363" t="e">
        <f t="shared" si="0"/>
        <v>#REF!</v>
      </c>
      <c r="G20" s="470" t="s">
        <v>471</v>
      </c>
      <c r="H20" s="386" t="e">
        <f t="shared" si="1"/>
        <v>#REF!</v>
      </c>
      <c r="I20" s="387" t="e">
        <f t="shared" si="2"/>
        <v>#REF!</v>
      </c>
      <c r="J20" s="387" t="e">
        <f t="shared" si="3"/>
        <v>#REF!</v>
      </c>
      <c r="K20" s="318"/>
      <c r="L20" s="318"/>
      <c r="M20" s="318"/>
      <c r="N20" s="318"/>
      <c r="O20" s="318"/>
      <c r="P20" s="318"/>
      <c r="Q20" s="318"/>
      <c r="R20" s="318"/>
    </row>
    <row r="21" spans="1:18" x14ac:dyDescent="0.2">
      <c r="A21" s="388">
        <v>3</v>
      </c>
      <c r="B21" s="389">
        <v>3.5000000000000003E-2</v>
      </c>
      <c r="C21" s="389">
        <f t="shared" si="4"/>
        <v>0.09</v>
      </c>
      <c r="D21" s="361" t="e">
        <f t="shared" si="5"/>
        <v>#REF!</v>
      </c>
      <c r="E21" s="390" t="e">
        <f t="shared" si="6"/>
        <v>#REF!</v>
      </c>
      <c r="F21" s="391" t="e">
        <f t="shared" si="0"/>
        <v>#REF!</v>
      </c>
      <c r="G21" s="470" t="s">
        <v>472</v>
      </c>
      <c r="H21" s="386" t="e">
        <f t="shared" si="1"/>
        <v>#REF!</v>
      </c>
      <c r="I21" s="387" t="e">
        <f t="shared" si="2"/>
        <v>#REF!</v>
      </c>
      <c r="J21" s="387" t="e">
        <f t="shared" si="3"/>
        <v>#REF!</v>
      </c>
      <c r="K21" s="318"/>
      <c r="L21" s="318"/>
      <c r="M21" s="318"/>
      <c r="N21" s="318"/>
      <c r="O21" s="318"/>
      <c r="P21" s="318"/>
      <c r="Q21" s="318"/>
      <c r="R21" s="318"/>
    </row>
    <row r="22" spans="1:18" x14ac:dyDescent="0.2">
      <c r="A22" s="388">
        <v>4</v>
      </c>
      <c r="B22" s="389">
        <v>0.05</v>
      </c>
      <c r="C22" s="389">
        <f t="shared" si="4"/>
        <v>0.14000000000000001</v>
      </c>
      <c r="D22" s="361" t="e">
        <f t="shared" si="5"/>
        <v>#REF!</v>
      </c>
      <c r="E22" s="390" t="e">
        <f t="shared" si="6"/>
        <v>#REF!</v>
      </c>
      <c r="F22" s="391" t="e">
        <f t="shared" si="0"/>
        <v>#REF!</v>
      </c>
      <c r="G22" s="470" t="s">
        <v>473</v>
      </c>
      <c r="H22" s="386" t="e">
        <f t="shared" si="1"/>
        <v>#REF!</v>
      </c>
      <c r="I22" s="387" t="e">
        <f t="shared" si="2"/>
        <v>#REF!</v>
      </c>
      <c r="J22" s="387" t="e">
        <f t="shared" si="3"/>
        <v>#REF!</v>
      </c>
      <c r="K22" s="318"/>
      <c r="L22" s="318"/>
      <c r="M22" s="318"/>
      <c r="N22" s="318"/>
      <c r="O22" s="318"/>
      <c r="P22" s="318"/>
      <c r="Q22" s="318"/>
      <c r="R22" s="318"/>
    </row>
    <row r="23" spans="1:18" x14ac:dyDescent="0.2">
      <c r="A23" s="388">
        <v>5</v>
      </c>
      <c r="B23" s="389">
        <v>0.05</v>
      </c>
      <c r="C23" s="389">
        <f t="shared" si="4"/>
        <v>0.19</v>
      </c>
      <c r="D23" s="361" t="e">
        <f t="shared" si="5"/>
        <v>#REF!</v>
      </c>
      <c r="E23" s="390" t="e">
        <f t="shared" si="6"/>
        <v>#REF!</v>
      </c>
      <c r="F23" s="391" t="e">
        <f t="shared" si="0"/>
        <v>#REF!</v>
      </c>
      <c r="G23" s="470" t="s">
        <v>474</v>
      </c>
      <c r="H23" s="386" t="e">
        <f t="shared" si="1"/>
        <v>#REF!</v>
      </c>
      <c r="I23" s="387" t="e">
        <f t="shared" si="2"/>
        <v>#REF!</v>
      </c>
      <c r="J23" s="387" t="e">
        <f t="shared" si="3"/>
        <v>#REF!</v>
      </c>
      <c r="K23" s="318"/>
      <c r="L23" s="318"/>
      <c r="M23" s="318"/>
      <c r="N23" s="318"/>
      <c r="O23" s="318"/>
      <c r="P23" s="318"/>
      <c r="Q23" s="318"/>
      <c r="R23" s="318"/>
    </row>
    <row r="24" spans="1:18" x14ac:dyDescent="0.2">
      <c r="A24" s="388">
        <v>6</v>
      </c>
      <c r="B24" s="389">
        <v>0.09</v>
      </c>
      <c r="C24" s="389">
        <f t="shared" si="4"/>
        <v>0.28000000000000003</v>
      </c>
      <c r="D24" s="361" t="e">
        <f t="shared" si="5"/>
        <v>#REF!</v>
      </c>
      <c r="E24" s="390" t="e">
        <f t="shared" si="6"/>
        <v>#REF!</v>
      </c>
      <c r="F24" s="391" t="e">
        <f t="shared" si="0"/>
        <v>#REF!</v>
      </c>
      <c r="G24" s="470" t="s">
        <v>475</v>
      </c>
      <c r="H24" s="386" t="e">
        <f t="shared" si="1"/>
        <v>#REF!</v>
      </c>
      <c r="I24" s="387" t="e">
        <f t="shared" si="2"/>
        <v>#REF!</v>
      </c>
      <c r="J24" s="387" t="e">
        <f t="shared" si="3"/>
        <v>#REF!</v>
      </c>
      <c r="K24" s="318"/>
      <c r="L24" s="318"/>
      <c r="M24" s="318"/>
      <c r="N24" s="318"/>
      <c r="O24" s="318"/>
      <c r="P24" s="318"/>
      <c r="Q24" s="318"/>
      <c r="R24" s="318"/>
    </row>
    <row r="25" spans="1:18" x14ac:dyDescent="0.2">
      <c r="A25" s="388">
        <v>7</v>
      </c>
      <c r="B25" s="389">
        <v>0.1</v>
      </c>
      <c r="C25" s="389">
        <f t="shared" si="4"/>
        <v>0.38</v>
      </c>
      <c r="D25" s="361" t="e">
        <f t="shared" si="5"/>
        <v>#REF!</v>
      </c>
      <c r="E25" s="390" t="e">
        <f t="shared" si="6"/>
        <v>#REF!</v>
      </c>
      <c r="F25" s="391" t="e">
        <f t="shared" si="0"/>
        <v>#REF!</v>
      </c>
      <c r="G25" s="470" t="s">
        <v>476</v>
      </c>
      <c r="H25" s="386" t="e">
        <f t="shared" si="1"/>
        <v>#REF!</v>
      </c>
      <c r="I25" s="387" t="e">
        <f t="shared" si="2"/>
        <v>#REF!</v>
      </c>
      <c r="J25" s="387" t="e">
        <f t="shared" si="3"/>
        <v>#REF!</v>
      </c>
      <c r="K25" s="318"/>
      <c r="L25" s="318"/>
      <c r="M25" s="318"/>
      <c r="N25" s="318"/>
      <c r="O25" s="318"/>
      <c r="P25" s="318"/>
      <c r="Q25" s="318"/>
      <c r="R25" s="318"/>
    </row>
    <row r="26" spans="1:18" x14ac:dyDescent="0.2">
      <c r="A26" s="388">
        <v>8</v>
      </c>
      <c r="B26" s="389">
        <v>0.1</v>
      </c>
      <c r="C26" s="389">
        <f t="shared" si="4"/>
        <v>0.48</v>
      </c>
      <c r="D26" s="361" t="e">
        <f t="shared" si="5"/>
        <v>#REF!</v>
      </c>
      <c r="E26" s="390" t="e">
        <f t="shared" si="6"/>
        <v>#REF!</v>
      </c>
      <c r="F26" s="391" t="e">
        <f t="shared" si="0"/>
        <v>#REF!</v>
      </c>
      <c r="G26" s="470" t="s">
        <v>477</v>
      </c>
      <c r="H26" s="386" t="e">
        <f t="shared" si="1"/>
        <v>#REF!</v>
      </c>
      <c r="I26" s="387" t="e">
        <f t="shared" si="2"/>
        <v>#REF!</v>
      </c>
      <c r="J26" s="387" t="e">
        <f t="shared" si="3"/>
        <v>#REF!</v>
      </c>
      <c r="K26" s="318"/>
      <c r="L26" s="318"/>
      <c r="M26" s="318"/>
      <c r="N26" s="318"/>
      <c r="O26" s="318"/>
      <c r="P26" s="318"/>
      <c r="Q26" s="318"/>
      <c r="R26" s="318"/>
    </row>
    <row r="27" spans="1:18" x14ac:dyDescent="0.2">
      <c r="A27" s="388">
        <v>9</v>
      </c>
      <c r="B27" s="389">
        <v>0.11</v>
      </c>
      <c r="C27" s="389">
        <f t="shared" si="4"/>
        <v>0.59</v>
      </c>
      <c r="D27" s="361" t="e">
        <f t="shared" si="5"/>
        <v>#REF!</v>
      </c>
      <c r="E27" s="390" t="e">
        <f t="shared" si="6"/>
        <v>#REF!</v>
      </c>
      <c r="F27" s="391" t="e">
        <f t="shared" si="0"/>
        <v>#REF!</v>
      </c>
      <c r="G27" s="470" t="s">
        <v>478</v>
      </c>
      <c r="H27" s="386" t="e">
        <f t="shared" si="1"/>
        <v>#REF!</v>
      </c>
      <c r="I27" s="387" t="e">
        <f t="shared" si="2"/>
        <v>#REF!</v>
      </c>
      <c r="J27" s="387" t="e">
        <f t="shared" si="3"/>
        <v>#REF!</v>
      </c>
      <c r="K27" s="318"/>
      <c r="L27" s="318"/>
      <c r="M27" s="318"/>
      <c r="N27" s="318"/>
      <c r="O27" s="318"/>
      <c r="P27" s="318"/>
      <c r="Q27" s="318"/>
      <c r="R27" s="318"/>
    </row>
    <row r="28" spans="1:18" x14ac:dyDescent="0.2">
      <c r="A28" s="388">
        <v>10</v>
      </c>
      <c r="B28" s="389">
        <v>0.11</v>
      </c>
      <c r="C28" s="389">
        <f t="shared" si="4"/>
        <v>0.7</v>
      </c>
      <c r="D28" s="393" t="e">
        <f t="shared" si="5"/>
        <v>#REF!</v>
      </c>
      <c r="E28" s="390" t="e">
        <f t="shared" si="6"/>
        <v>#REF!</v>
      </c>
      <c r="F28" s="391" t="e">
        <f t="shared" si="0"/>
        <v>#REF!</v>
      </c>
      <c r="G28" s="470" t="s">
        <v>479</v>
      </c>
      <c r="H28" s="386" t="e">
        <f t="shared" si="1"/>
        <v>#REF!</v>
      </c>
      <c r="I28" s="387" t="e">
        <f t="shared" si="2"/>
        <v>#REF!</v>
      </c>
      <c r="J28" s="387" t="e">
        <f t="shared" si="3"/>
        <v>#REF!</v>
      </c>
      <c r="K28" s="318"/>
      <c r="L28" s="318"/>
      <c r="M28" s="318"/>
      <c r="N28" s="318"/>
      <c r="O28" s="318"/>
      <c r="P28" s="318"/>
      <c r="Q28" s="318"/>
      <c r="R28" s="318"/>
    </row>
    <row r="29" spans="1:18" x14ac:dyDescent="0.2">
      <c r="A29" s="388">
        <v>11</v>
      </c>
      <c r="B29" s="389">
        <v>0.1</v>
      </c>
      <c r="C29" s="389">
        <f t="shared" si="4"/>
        <v>0.79999999999999993</v>
      </c>
      <c r="D29" s="393" t="e">
        <f t="shared" si="5"/>
        <v>#REF!</v>
      </c>
      <c r="E29" s="390" t="e">
        <f t="shared" si="6"/>
        <v>#REF!</v>
      </c>
      <c r="F29" s="391" t="e">
        <f t="shared" si="0"/>
        <v>#REF!</v>
      </c>
      <c r="G29" s="470" t="s">
        <v>480</v>
      </c>
      <c r="H29" s="386" t="e">
        <f t="shared" si="1"/>
        <v>#REF!</v>
      </c>
      <c r="I29" s="387" t="e">
        <f t="shared" si="2"/>
        <v>#REF!</v>
      </c>
      <c r="J29" s="387" t="e">
        <f t="shared" si="3"/>
        <v>#REF!</v>
      </c>
      <c r="K29" s="318"/>
      <c r="L29" s="318"/>
      <c r="M29" s="318"/>
      <c r="N29" s="318"/>
      <c r="O29" s="318"/>
      <c r="P29" s="318"/>
      <c r="Q29" s="318"/>
      <c r="R29" s="318"/>
    </row>
    <row r="30" spans="1:18" x14ac:dyDescent="0.2">
      <c r="A30" s="388">
        <v>12</v>
      </c>
      <c r="B30" s="389">
        <v>0.08</v>
      </c>
      <c r="C30" s="389">
        <f t="shared" si="4"/>
        <v>0.87999999999999989</v>
      </c>
      <c r="D30" s="393" t="e">
        <f t="shared" si="5"/>
        <v>#REF!</v>
      </c>
      <c r="E30" s="390" t="e">
        <f t="shared" si="6"/>
        <v>#REF!</v>
      </c>
      <c r="F30" s="391" t="e">
        <f t="shared" si="0"/>
        <v>#REF!</v>
      </c>
      <c r="G30" s="470" t="s">
        <v>481</v>
      </c>
      <c r="H30" s="386" t="e">
        <f t="shared" si="1"/>
        <v>#REF!</v>
      </c>
      <c r="I30" s="387" t="e">
        <f t="shared" si="2"/>
        <v>#REF!</v>
      </c>
      <c r="J30" s="387" t="e">
        <f t="shared" si="3"/>
        <v>#REF!</v>
      </c>
      <c r="K30" s="318"/>
      <c r="L30" s="318"/>
      <c r="M30" s="318"/>
      <c r="N30" s="318"/>
      <c r="O30" s="318"/>
      <c r="P30" s="318"/>
      <c r="Q30" s="318"/>
      <c r="R30" s="318"/>
    </row>
    <row r="31" spans="1:18" x14ac:dyDescent="0.2">
      <c r="A31" s="388">
        <v>13</v>
      </c>
      <c r="B31" s="389">
        <v>0.06</v>
      </c>
      <c r="C31" s="389">
        <f t="shared" si="4"/>
        <v>0.94</v>
      </c>
      <c r="D31" s="393" t="e">
        <f t="shared" si="5"/>
        <v>#REF!</v>
      </c>
      <c r="E31" s="390" t="e">
        <f t="shared" si="6"/>
        <v>#REF!</v>
      </c>
      <c r="F31" s="391" t="e">
        <f t="shared" si="0"/>
        <v>#REF!</v>
      </c>
      <c r="G31" s="470" t="s">
        <v>482</v>
      </c>
      <c r="H31" s="386" t="e">
        <f t="shared" si="1"/>
        <v>#REF!</v>
      </c>
      <c r="I31" s="387" t="e">
        <f t="shared" si="2"/>
        <v>#REF!</v>
      </c>
      <c r="J31" s="387" t="e">
        <f t="shared" si="3"/>
        <v>#REF!</v>
      </c>
      <c r="K31" s="318"/>
      <c r="L31" s="318"/>
      <c r="M31" s="318"/>
      <c r="N31" s="318"/>
      <c r="O31" s="318"/>
      <c r="P31" s="318"/>
      <c r="Q31" s="318"/>
      <c r="R31" s="318"/>
    </row>
    <row r="32" spans="1:18" x14ac:dyDescent="0.2">
      <c r="A32" s="388">
        <v>14</v>
      </c>
      <c r="B32" s="389">
        <v>0.04</v>
      </c>
      <c r="C32" s="389">
        <f>B32+C31</f>
        <v>0.98</v>
      </c>
      <c r="D32" s="393" t="e">
        <f>ROUND(B32*$D$11*(100-$D$14)/100,0)</f>
        <v>#REF!</v>
      </c>
      <c r="E32" s="390" t="e">
        <f>E31+D32</f>
        <v>#REF!</v>
      </c>
      <c r="F32" s="391" t="e">
        <f t="shared" si="0"/>
        <v>#REF!</v>
      </c>
      <c r="G32" s="470" t="s">
        <v>483</v>
      </c>
      <c r="H32" s="394" t="e">
        <f>ROUND(D32*0.1,0)</f>
        <v>#REF!</v>
      </c>
      <c r="I32" s="387" t="e">
        <f t="shared" si="2"/>
        <v>#REF!</v>
      </c>
      <c r="J32" s="387" t="e">
        <f>ROUNDUP(D32*$D$12/100,-(LEN(D32)-$I$15))</f>
        <v>#REF!</v>
      </c>
      <c r="K32" s="318"/>
      <c r="L32" s="318"/>
      <c r="M32" s="318"/>
      <c r="N32" s="318"/>
      <c r="O32" s="318"/>
      <c r="P32" s="318"/>
      <c r="Q32" s="318"/>
      <c r="R32" s="318"/>
    </row>
    <row r="33" spans="1:23" ht="12.75" thickBot="1" x14ac:dyDescent="0.25">
      <c r="A33" s="371">
        <v>15</v>
      </c>
      <c r="B33" s="372">
        <v>0.02</v>
      </c>
      <c r="C33" s="372">
        <f>B33+C32</f>
        <v>1</v>
      </c>
      <c r="D33" s="373" t="e">
        <f>ROUND(B33*$D$11*(100-$D$14)/100,0)</f>
        <v>#REF!</v>
      </c>
      <c r="E33" s="374" t="e">
        <f>E32+D33</f>
        <v>#REF!</v>
      </c>
      <c r="F33" s="375" t="e">
        <f t="shared" si="0"/>
        <v>#REF!</v>
      </c>
      <c r="G33" s="485" t="s">
        <v>484</v>
      </c>
      <c r="H33" s="377" t="e">
        <f>ROUND(D33*0.1,0)</f>
        <v>#REF!</v>
      </c>
      <c r="I33" s="387" t="e">
        <f t="shared" si="2"/>
        <v>#REF!</v>
      </c>
      <c r="J33" s="387" t="e">
        <f>ROUNDUP(D33*$D$12/100,-(LEN(D33)-$I$15))</f>
        <v>#REF!</v>
      </c>
      <c r="K33" s="318"/>
      <c r="L33" s="318"/>
      <c r="M33" s="318"/>
      <c r="N33" s="318"/>
      <c r="O33" s="318"/>
      <c r="P33" s="318"/>
      <c r="Q33" s="318"/>
      <c r="R33" s="318"/>
    </row>
    <row r="34" spans="1:23" ht="12.75" thickBot="1" x14ac:dyDescent="0.25">
      <c r="A34" s="480" t="str">
        <f>A33*30 &amp; " dias"</f>
        <v>450 dias</v>
      </c>
      <c r="B34" s="481">
        <f>SUM(B19:B33)</f>
        <v>1</v>
      </c>
      <c r="C34" s="482"/>
      <c r="D34" s="483" t="e">
        <f>SUM(D18:D33)</f>
        <v>#REF!</v>
      </c>
      <c r="E34" s="318"/>
      <c r="F34" s="318"/>
      <c r="G34" s="318"/>
      <c r="H34" s="318"/>
      <c r="I34" s="382" t="e">
        <f>SUM(I18:I33)</f>
        <v>#REF!</v>
      </c>
      <c r="J34" s="382" t="e">
        <f>SUM(J18:J33)</f>
        <v>#REF!</v>
      </c>
      <c r="K34" s="318"/>
      <c r="L34" s="318"/>
      <c r="M34" s="318"/>
      <c r="N34" s="318"/>
      <c r="O34" s="318"/>
      <c r="P34" s="318"/>
      <c r="Q34" s="318"/>
      <c r="R34" s="318"/>
    </row>
    <row r="35" spans="1:23" x14ac:dyDescent="0.2">
      <c r="A35" s="324"/>
      <c r="B35" s="329"/>
      <c r="C35" s="327"/>
      <c r="D35" s="327"/>
      <c r="E35" s="327"/>
      <c r="F35" s="327"/>
      <c r="G35" s="327"/>
      <c r="H35" s="330" t="s">
        <v>432</v>
      </c>
      <c r="I35" s="1095" t="e">
        <f>I34+J34</f>
        <v>#REF!</v>
      </c>
      <c r="J35" s="1096"/>
      <c r="K35" s="318"/>
      <c r="L35" s="318"/>
      <c r="M35" s="318"/>
      <c r="N35" s="318"/>
      <c r="O35" s="318"/>
      <c r="P35" s="318"/>
      <c r="Q35" s="318"/>
      <c r="R35" s="318"/>
    </row>
    <row r="36" spans="1:23" x14ac:dyDescent="0.2">
      <c r="A36" s="323" t="s">
        <v>433</v>
      </c>
      <c r="B36" s="323"/>
      <c r="C36" s="323"/>
      <c r="D36" s="327"/>
      <c r="E36" s="318"/>
      <c r="F36" s="327"/>
      <c r="G36" s="327"/>
      <c r="H36" s="330" t="s">
        <v>434</v>
      </c>
      <c r="I36" s="341" t="e">
        <f>I35/1.1-D11</f>
        <v>#REF!</v>
      </c>
      <c r="J36" s="318"/>
      <c r="K36" s="318"/>
      <c r="L36" s="318"/>
      <c r="M36" s="318"/>
      <c r="N36" s="318"/>
      <c r="O36" s="318"/>
      <c r="P36" s="318"/>
      <c r="Q36" s="318"/>
      <c r="R36" s="318"/>
    </row>
    <row r="37" spans="1:23" x14ac:dyDescent="0.2">
      <c r="A37" s="318"/>
      <c r="B37" s="383"/>
      <c r="C37" s="327"/>
      <c r="D37" s="327"/>
      <c r="E37" s="327"/>
      <c r="F37" s="327"/>
      <c r="G37" s="327"/>
      <c r="H37" s="324"/>
      <c r="I37" s="318"/>
      <c r="J37" s="318"/>
      <c r="K37" s="318"/>
      <c r="L37" s="318"/>
      <c r="M37" s="318"/>
      <c r="N37" s="318"/>
      <c r="O37" s="318"/>
      <c r="P37" s="318"/>
      <c r="Q37" s="318"/>
      <c r="R37" s="318"/>
    </row>
    <row r="38" spans="1:23" x14ac:dyDescent="0.2">
      <c r="A38" s="318"/>
      <c r="B38" s="383"/>
      <c r="C38" s="327"/>
      <c r="D38" s="327"/>
      <c r="E38" s="327"/>
      <c r="F38" s="327"/>
      <c r="G38" s="327"/>
      <c r="H38" s="324"/>
      <c r="I38" s="318"/>
      <c r="J38" s="318"/>
      <c r="K38" s="318"/>
      <c r="L38" s="318"/>
      <c r="M38" s="318"/>
      <c r="N38" s="318"/>
      <c r="O38" s="318"/>
      <c r="P38" s="318"/>
      <c r="Q38" s="318"/>
      <c r="R38" s="318"/>
    </row>
    <row r="39" spans="1:23" s="473" customFormat="1" ht="12.75" customHeight="1" x14ac:dyDescent="0.2">
      <c r="A39" s="471"/>
      <c r="B39" s="472" t="s">
        <v>542</v>
      </c>
      <c r="C39" s="472" t="s">
        <v>470</v>
      </c>
      <c r="D39" s="472" t="s">
        <v>471</v>
      </c>
      <c r="E39" s="472" t="s">
        <v>472</v>
      </c>
      <c r="F39" s="472" t="s">
        <v>473</v>
      </c>
      <c r="G39" s="472" t="s">
        <v>474</v>
      </c>
      <c r="H39" s="472" t="s">
        <v>475</v>
      </c>
      <c r="I39" s="472" t="s">
        <v>476</v>
      </c>
      <c r="J39" s="472" t="s">
        <v>477</v>
      </c>
      <c r="K39" s="472" t="s">
        <v>478</v>
      </c>
      <c r="L39" s="472" t="s">
        <v>479</v>
      </c>
      <c r="M39" s="472" t="s">
        <v>480</v>
      </c>
      <c r="N39" s="472" t="s">
        <v>481</v>
      </c>
      <c r="O39" s="472" t="s">
        <v>482</v>
      </c>
      <c r="P39" s="472" t="s">
        <v>483</v>
      </c>
      <c r="Q39" s="472" t="s">
        <v>484</v>
      </c>
      <c r="R39" s="318"/>
      <c r="S39" s="318"/>
      <c r="T39" s="318"/>
      <c r="U39" s="318"/>
      <c r="V39" s="318"/>
      <c r="W39" s="318"/>
    </row>
    <row r="40" spans="1:23" x14ac:dyDescent="0.2">
      <c r="A40" s="384" t="s">
        <v>435</v>
      </c>
      <c r="B40" s="361">
        <v>0</v>
      </c>
      <c r="C40" s="361"/>
      <c r="D40" s="361"/>
      <c r="E40" s="361"/>
      <c r="F40" s="361"/>
      <c r="G40" s="361"/>
      <c r="H40" s="361"/>
      <c r="I40" s="361"/>
      <c r="J40" s="361"/>
      <c r="K40" s="361"/>
      <c r="L40" s="361"/>
      <c r="M40" s="361"/>
      <c r="N40" s="361"/>
      <c r="O40" s="361"/>
      <c r="P40" s="361"/>
      <c r="Q40" s="361"/>
      <c r="R40" s="327">
        <f>SUM(B40:Q40)</f>
        <v>0</v>
      </c>
    </row>
    <row r="41" spans="1:23" x14ac:dyDescent="0.2">
      <c r="A41" s="384" t="s">
        <v>436</v>
      </c>
      <c r="B41" s="361" t="e">
        <f>$J18</f>
        <v>#REF!</v>
      </c>
      <c r="C41" s="361" t="e">
        <f>$J19</f>
        <v>#REF!</v>
      </c>
      <c r="D41" s="361" t="e">
        <f>$J20</f>
        <v>#REF!</v>
      </c>
      <c r="E41" s="361" t="e">
        <f>$J21</f>
        <v>#REF!</v>
      </c>
      <c r="F41" s="361" t="e">
        <f>$J22</f>
        <v>#REF!</v>
      </c>
      <c r="G41" s="361" t="e">
        <f>$J23</f>
        <v>#REF!</v>
      </c>
      <c r="H41" s="361" t="e">
        <f>$J24</f>
        <v>#REF!</v>
      </c>
      <c r="I41" s="361" t="e">
        <f>$J25</f>
        <v>#REF!</v>
      </c>
      <c r="J41" s="361" t="e">
        <f>$J26</f>
        <v>#REF!</v>
      </c>
      <c r="K41" s="361" t="e">
        <f>$J27</f>
        <v>#REF!</v>
      </c>
      <c r="L41" s="361" t="e">
        <f>$J28</f>
        <v>#REF!</v>
      </c>
      <c r="M41" s="361" t="e">
        <f>$J29</f>
        <v>#REF!</v>
      </c>
      <c r="N41" s="361" t="e">
        <f>$J30</f>
        <v>#REF!</v>
      </c>
      <c r="O41" s="361" t="e">
        <f>$J31</f>
        <v>#REF!</v>
      </c>
      <c r="P41" s="361" t="e">
        <f>$J32</f>
        <v>#REF!</v>
      </c>
      <c r="Q41" s="361" t="e">
        <f>$J33</f>
        <v>#REF!</v>
      </c>
      <c r="R41" s="327" t="e">
        <f t="shared" ref="R41:R45" si="7">SUM(B41:Q41)</f>
        <v>#REF!</v>
      </c>
      <c r="S41" s="318"/>
      <c r="T41" s="318"/>
      <c r="U41" s="318"/>
    </row>
    <row r="42" spans="1:23" x14ac:dyDescent="0.2">
      <c r="A42" s="575" t="s">
        <v>575</v>
      </c>
      <c r="B42" s="576" t="e">
        <f>SUM(B40:B41)</f>
        <v>#REF!</v>
      </c>
      <c r="C42" s="576" t="e">
        <f t="shared" ref="C42:Q42" si="8">SUM(C40:C41)</f>
        <v>#REF!</v>
      </c>
      <c r="D42" s="576" t="e">
        <f t="shared" si="8"/>
        <v>#REF!</v>
      </c>
      <c r="E42" s="576" t="e">
        <f t="shared" si="8"/>
        <v>#REF!</v>
      </c>
      <c r="F42" s="576" t="e">
        <f t="shared" si="8"/>
        <v>#REF!</v>
      </c>
      <c r="G42" s="576" t="e">
        <f t="shared" si="8"/>
        <v>#REF!</v>
      </c>
      <c r="H42" s="576" t="e">
        <f t="shared" si="8"/>
        <v>#REF!</v>
      </c>
      <c r="I42" s="576" t="e">
        <f t="shared" si="8"/>
        <v>#REF!</v>
      </c>
      <c r="J42" s="576" t="e">
        <f t="shared" si="8"/>
        <v>#REF!</v>
      </c>
      <c r="K42" s="576" t="e">
        <f t="shared" si="8"/>
        <v>#REF!</v>
      </c>
      <c r="L42" s="576" t="e">
        <f t="shared" si="8"/>
        <v>#REF!</v>
      </c>
      <c r="M42" s="576" t="e">
        <f t="shared" si="8"/>
        <v>#REF!</v>
      </c>
      <c r="N42" s="576" t="e">
        <f t="shared" si="8"/>
        <v>#REF!</v>
      </c>
      <c r="O42" s="576" t="e">
        <f t="shared" si="8"/>
        <v>#REF!</v>
      </c>
      <c r="P42" s="576" t="e">
        <f t="shared" si="8"/>
        <v>#REF!</v>
      </c>
      <c r="Q42" s="576" t="e">
        <f t="shared" si="8"/>
        <v>#REF!</v>
      </c>
      <c r="R42" s="327" t="e">
        <f t="shared" si="7"/>
        <v>#REF!</v>
      </c>
    </row>
    <row r="43" spans="1:23" s="558" customFormat="1" x14ac:dyDescent="0.2">
      <c r="A43" s="577" t="s">
        <v>440</v>
      </c>
      <c r="B43" s="577">
        <v>0</v>
      </c>
      <c r="C43" s="577" t="e">
        <f>C51</f>
        <v>#REF!</v>
      </c>
      <c r="D43" s="577" t="e">
        <f t="shared" ref="D43:Q43" si="9">C43</f>
        <v>#REF!</v>
      </c>
      <c r="E43" s="577" t="e">
        <f t="shared" si="9"/>
        <v>#REF!</v>
      </c>
      <c r="F43" s="577" t="e">
        <f t="shared" si="9"/>
        <v>#REF!</v>
      </c>
      <c r="G43" s="577" t="e">
        <f t="shared" si="9"/>
        <v>#REF!</v>
      </c>
      <c r="H43" s="577" t="e">
        <f t="shared" si="9"/>
        <v>#REF!</v>
      </c>
      <c r="I43" s="577" t="e">
        <f t="shared" si="9"/>
        <v>#REF!</v>
      </c>
      <c r="J43" s="577" t="e">
        <f t="shared" si="9"/>
        <v>#REF!</v>
      </c>
      <c r="K43" s="577" t="e">
        <f t="shared" si="9"/>
        <v>#REF!</v>
      </c>
      <c r="L43" s="577" t="e">
        <f t="shared" si="9"/>
        <v>#REF!</v>
      </c>
      <c r="M43" s="577" t="e">
        <f t="shared" si="9"/>
        <v>#REF!</v>
      </c>
      <c r="N43" s="577" t="e">
        <f t="shared" si="9"/>
        <v>#REF!</v>
      </c>
      <c r="O43" s="577" t="e">
        <f t="shared" si="9"/>
        <v>#REF!</v>
      </c>
      <c r="P43" s="577" t="e">
        <f t="shared" si="9"/>
        <v>#REF!</v>
      </c>
      <c r="Q43" s="577" t="e">
        <f t="shared" si="9"/>
        <v>#REF!</v>
      </c>
      <c r="R43" s="327" t="e">
        <f t="shared" si="7"/>
        <v>#REF!</v>
      </c>
      <c r="S43" s="318"/>
      <c r="T43" s="318"/>
      <c r="U43" s="318"/>
    </row>
    <row r="44" spans="1:23" s="558" customFormat="1" x14ac:dyDescent="0.2">
      <c r="A44" s="577" t="s">
        <v>542</v>
      </c>
      <c r="B44" s="577" t="e">
        <f>A49*10%</f>
        <v>#REF!</v>
      </c>
      <c r="C44" s="577"/>
      <c r="D44" s="577"/>
      <c r="E44" s="577"/>
      <c r="F44" s="577"/>
      <c r="G44" s="577"/>
      <c r="H44" s="577"/>
      <c r="I44" s="577"/>
      <c r="J44" s="577"/>
      <c r="K44" s="577"/>
      <c r="L44" s="577"/>
      <c r="M44" s="577"/>
      <c r="N44" s="577"/>
      <c r="O44" s="577"/>
      <c r="P44" s="577"/>
      <c r="Q44" s="577"/>
      <c r="R44" s="327" t="e">
        <f t="shared" si="7"/>
        <v>#REF!</v>
      </c>
      <c r="S44" s="319"/>
      <c r="T44" s="319"/>
      <c r="U44" s="319"/>
    </row>
    <row r="45" spans="1:23" s="558" customFormat="1" x14ac:dyDescent="0.2">
      <c r="A45" s="577"/>
      <c r="B45" s="577" t="e">
        <f>SUM(B42:B44)</f>
        <v>#REF!</v>
      </c>
      <c r="C45" s="577" t="e">
        <f t="shared" ref="C45:Q45" si="10">SUM(C42:C44)</f>
        <v>#REF!</v>
      </c>
      <c r="D45" s="577" t="e">
        <f t="shared" si="10"/>
        <v>#REF!</v>
      </c>
      <c r="E45" s="577" t="e">
        <f t="shared" si="10"/>
        <v>#REF!</v>
      </c>
      <c r="F45" s="577" t="e">
        <f t="shared" si="10"/>
        <v>#REF!</v>
      </c>
      <c r="G45" s="577" t="e">
        <f t="shared" si="10"/>
        <v>#REF!</v>
      </c>
      <c r="H45" s="577" t="e">
        <f t="shared" si="10"/>
        <v>#REF!</v>
      </c>
      <c r="I45" s="577" t="e">
        <f t="shared" si="10"/>
        <v>#REF!</v>
      </c>
      <c r="J45" s="577" t="e">
        <f t="shared" si="10"/>
        <v>#REF!</v>
      </c>
      <c r="K45" s="577" t="e">
        <f t="shared" si="10"/>
        <v>#REF!</v>
      </c>
      <c r="L45" s="577" t="e">
        <f t="shared" si="10"/>
        <v>#REF!</v>
      </c>
      <c r="M45" s="577" t="e">
        <f t="shared" si="10"/>
        <v>#REF!</v>
      </c>
      <c r="N45" s="577" t="e">
        <f t="shared" si="10"/>
        <v>#REF!</v>
      </c>
      <c r="O45" s="577" t="e">
        <f t="shared" si="10"/>
        <v>#REF!</v>
      </c>
      <c r="P45" s="577" t="e">
        <f t="shared" si="10"/>
        <v>#REF!</v>
      </c>
      <c r="Q45" s="577" t="e">
        <f t="shared" si="10"/>
        <v>#REF!</v>
      </c>
      <c r="R45" s="327" t="e">
        <f t="shared" si="7"/>
        <v>#REF!</v>
      </c>
      <c r="S45" s="318"/>
      <c r="T45" s="318"/>
      <c r="U45" s="318"/>
    </row>
    <row r="46" spans="1:23" x14ac:dyDescent="0.2">
      <c r="R46" s="327"/>
    </row>
    <row r="47" spans="1:23" x14ac:dyDescent="0.2">
      <c r="R47" s="327"/>
      <c r="S47" s="318"/>
      <c r="T47" s="318"/>
      <c r="U47" s="318"/>
    </row>
    <row r="48" spans="1:23" x14ac:dyDescent="0.2">
      <c r="R48" s="327"/>
    </row>
    <row r="49" spans="1:21" x14ac:dyDescent="0.2">
      <c r="A49" s="319" t="e">
        <f>'4. CC D'!#REF!</f>
        <v>#REF!</v>
      </c>
      <c r="R49" s="327"/>
      <c r="S49" s="318"/>
      <c r="T49" s="318"/>
      <c r="U49" s="318"/>
    </row>
    <row r="50" spans="1:21" x14ac:dyDescent="0.2">
      <c r="A50" s="319" t="e">
        <f>A49*0.1</f>
        <v>#REF!</v>
      </c>
      <c r="R50" s="327"/>
    </row>
    <row r="51" spans="1:21" x14ac:dyDescent="0.2">
      <c r="A51" s="319" t="e">
        <f>A49*0.45</f>
        <v>#REF!</v>
      </c>
      <c r="C51" s="319" t="e">
        <f>A51/15</f>
        <v>#REF!</v>
      </c>
      <c r="R51" s="327"/>
      <c r="S51" s="318"/>
      <c r="T51" s="318"/>
      <c r="U51" s="318"/>
    </row>
    <row r="52" spans="1:21" x14ac:dyDescent="0.2">
      <c r="R52" s="327"/>
    </row>
  </sheetData>
  <mergeCells count="6">
    <mergeCell ref="I35:J35"/>
    <mergeCell ref="A1:J1"/>
    <mergeCell ref="B3:I4"/>
    <mergeCell ref="A5:C5"/>
    <mergeCell ref="D7:F7"/>
    <mergeCell ref="C15:D1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7"/>
  <sheetViews>
    <sheetView showGridLines="0" topLeftCell="B22" zoomScale="85" zoomScaleNormal="85" workbookViewId="0">
      <selection activeCell="B43" sqref="A43:XFD43"/>
    </sheetView>
  </sheetViews>
  <sheetFormatPr defaultColWidth="9.140625" defaultRowHeight="12" x14ac:dyDescent="0.2"/>
  <cols>
    <col min="1" max="1" width="8.42578125" style="318" customWidth="1"/>
    <col min="2" max="2" width="14.42578125" style="329" customWidth="1"/>
    <col min="3" max="3" width="15.42578125" style="327" customWidth="1"/>
    <col min="4" max="4" width="16.42578125" style="327" customWidth="1"/>
    <col min="5" max="5" width="16.140625" style="327" customWidth="1"/>
    <col min="6" max="6" width="13.7109375" style="318" customWidth="1"/>
    <col min="7" max="7" width="18.85546875" style="318" customWidth="1"/>
    <col min="8" max="8" width="15.7109375" style="324" customWidth="1"/>
    <col min="9" max="10" width="16.5703125" style="318" customWidth="1"/>
    <col min="11" max="11" width="16.5703125" style="318" bestFit="1" customWidth="1"/>
    <col min="12" max="12" width="13.42578125" style="318" customWidth="1"/>
    <col min="13" max="13" width="14.7109375" style="318" customWidth="1"/>
    <col min="14" max="14" width="15.28515625" style="318" bestFit="1" customWidth="1"/>
    <col min="15" max="21" width="14.42578125" style="318" customWidth="1"/>
    <col min="22" max="22" width="15.28515625" style="318" bestFit="1" customWidth="1"/>
    <col min="23" max="23" width="14.7109375" style="318" bestFit="1" customWidth="1"/>
    <col min="24" max="256" width="9.140625" style="318"/>
    <col min="257" max="257" width="8.42578125" style="318" customWidth="1"/>
    <col min="258" max="258" width="14.42578125" style="318" customWidth="1"/>
    <col min="259" max="259" width="15.42578125" style="318" customWidth="1"/>
    <col min="260" max="260" width="16.42578125" style="318" customWidth="1"/>
    <col min="261" max="261" width="16.140625" style="318" customWidth="1"/>
    <col min="262" max="262" width="13.7109375" style="318" customWidth="1"/>
    <col min="263" max="263" width="18.85546875" style="318" customWidth="1"/>
    <col min="264" max="264" width="15.7109375" style="318" customWidth="1"/>
    <col min="265" max="266" width="16.5703125" style="318" customWidth="1"/>
    <col min="267" max="267" width="14.85546875" style="318" bestFit="1" customWidth="1"/>
    <col min="268" max="268" width="13.42578125" style="318" customWidth="1"/>
    <col min="269" max="269" width="14.7109375" style="318" customWidth="1"/>
    <col min="270" max="270" width="14.7109375" style="318" bestFit="1" customWidth="1"/>
    <col min="271" max="277" width="14.42578125" style="318" customWidth="1"/>
    <col min="278" max="278" width="14.85546875" style="318" bestFit="1" customWidth="1"/>
    <col min="279" max="279" width="11.7109375" style="318" bestFit="1" customWidth="1"/>
    <col min="280" max="512" width="9.140625" style="318"/>
    <col min="513" max="513" width="8.42578125" style="318" customWidth="1"/>
    <col min="514" max="514" width="14.42578125" style="318" customWidth="1"/>
    <col min="515" max="515" width="15.42578125" style="318" customWidth="1"/>
    <col min="516" max="516" width="16.42578125" style="318" customWidth="1"/>
    <col min="517" max="517" width="16.140625" style="318" customWidth="1"/>
    <col min="518" max="518" width="13.7109375" style="318" customWidth="1"/>
    <col min="519" max="519" width="18.85546875" style="318" customWidth="1"/>
    <col min="520" max="520" width="15.7109375" style="318" customWidth="1"/>
    <col min="521" max="522" width="16.5703125" style="318" customWidth="1"/>
    <col min="523" max="523" width="14.85546875" style="318" bestFit="1" customWidth="1"/>
    <col min="524" max="524" width="13.42578125" style="318" customWidth="1"/>
    <col min="525" max="525" width="14.7109375" style="318" customWidth="1"/>
    <col min="526" max="526" width="14.7109375" style="318" bestFit="1" customWidth="1"/>
    <col min="527" max="533" width="14.42578125" style="318" customWidth="1"/>
    <col min="534" max="534" width="14.85546875" style="318" bestFit="1" customWidth="1"/>
    <col min="535" max="535" width="11.7109375" style="318" bestFit="1" customWidth="1"/>
    <col min="536" max="768" width="9.140625" style="318"/>
    <col min="769" max="769" width="8.42578125" style="318" customWidth="1"/>
    <col min="770" max="770" width="14.42578125" style="318" customWidth="1"/>
    <col min="771" max="771" width="15.42578125" style="318" customWidth="1"/>
    <col min="772" max="772" width="16.42578125" style="318" customWidth="1"/>
    <col min="773" max="773" width="16.140625" style="318" customWidth="1"/>
    <col min="774" max="774" width="13.7109375" style="318" customWidth="1"/>
    <col min="775" max="775" width="18.85546875" style="318" customWidth="1"/>
    <col min="776" max="776" width="15.7109375" style="318" customWidth="1"/>
    <col min="777" max="778" width="16.5703125" style="318" customWidth="1"/>
    <col min="779" max="779" width="14.85546875" style="318" bestFit="1" customWidth="1"/>
    <col min="780" max="780" width="13.42578125" style="318" customWidth="1"/>
    <col min="781" max="781" width="14.7109375" style="318" customWidth="1"/>
    <col min="782" max="782" width="14.7109375" style="318" bestFit="1" customWidth="1"/>
    <col min="783" max="789" width="14.42578125" style="318" customWidth="1"/>
    <col min="790" max="790" width="14.85546875" style="318" bestFit="1" customWidth="1"/>
    <col min="791" max="791" width="11.7109375" style="318" bestFit="1" customWidth="1"/>
    <col min="792" max="1024" width="9.140625" style="318"/>
    <col min="1025" max="1025" width="8.42578125" style="318" customWidth="1"/>
    <col min="1026" max="1026" width="14.42578125" style="318" customWidth="1"/>
    <col min="1027" max="1027" width="15.42578125" style="318" customWidth="1"/>
    <col min="1028" max="1028" width="16.42578125" style="318" customWidth="1"/>
    <col min="1029" max="1029" width="16.140625" style="318" customWidth="1"/>
    <col min="1030" max="1030" width="13.7109375" style="318" customWidth="1"/>
    <col min="1031" max="1031" width="18.85546875" style="318" customWidth="1"/>
    <col min="1032" max="1032" width="15.7109375" style="318" customWidth="1"/>
    <col min="1033" max="1034" width="16.5703125" style="318" customWidth="1"/>
    <col min="1035" max="1035" width="14.85546875" style="318" bestFit="1" customWidth="1"/>
    <col min="1036" max="1036" width="13.42578125" style="318" customWidth="1"/>
    <col min="1037" max="1037" width="14.7109375" style="318" customWidth="1"/>
    <col min="1038" max="1038" width="14.7109375" style="318" bestFit="1" customWidth="1"/>
    <col min="1039" max="1045" width="14.42578125" style="318" customWidth="1"/>
    <col min="1046" max="1046" width="14.85546875" style="318" bestFit="1" customWidth="1"/>
    <col min="1047" max="1047" width="11.7109375" style="318" bestFit="1" customWidth="1"/>
    <col min="1048" max="1280" width="9.140625" style="318"/>
    <col min="1281" max="1281" width="8.42578125" style="318" customWidth="1"/>
    <col min="1282" max="1282" width="14.42578125" style="318" customWidth="1"/>
    <col min="1283" max="1283" width="15.42578125" style="318" customWidth="1"/>
    <col min="1284" max="1284" width="16.42578125" style="318" customWidth="1"/>
    <col min="1285" max="1285" width="16.140625" style="318" customWidth="1"/>
    <col min="1286" max="1286" width="13.7109375" style="318" customWidth="1"/>
    <col min="1287" max="1287" width="18.85546875" style="318" customWidth="1"/>
    <col min="1288" max="1288" width="15.7109375" style="318" customWidth="1"/>
    <col min="1289" max="1290" width="16.5703125" style="318" customWidth="1"/>
    <col min="1291" max="1291" width="14.85546875" style="318" bestFit="1" customWidth="1"/>
    <col min="1292" max="1292" width="13.42578125" style="318" customWidth="1"/>
    <col min="1293" max="1293" width="14.7109375" style="318" customWidth="1"/>
    <col min="1294" max="1294" width="14.7109375" style="318" bestFit="1" customWidth="1"/>
    <col min="1295" max="1301" width="14.42578125" style="318" customWidth="1"/>
    <col min="1302" max="1302" width="14.85546875" style="318" bestFit="1" customWidth="1"/>
    <col min="1303" max="1303" width="11.7109375" style="318" bestFit="1" customWidth="1"/>
    <col min="1304" max="1536" width="9.140625" style="318"/>
    <col min="1537" max="1537" width="8.42578125" style="318" customWidth="1"/>
    <col min="1538" max="1538" width="14.42578125" style="318" customWidth="1"/>
    <col min="1539" max="1539" width="15.42578125" style="318" customWidth="1"/>
    <col min="1540" max="1540" width="16.42578125" style="318" customWidth="1"/>
    <col min="1541" max="1541" width="16.140625" style="318" customWidth="1"/>
    <col min="1542" max="1542" width="13.7109375" style="318" customWidth="1"/>
    <col min="1543" max="1543" width="18.85546875" style="318" customWidth="1"/>
    <col min="1544" max="1544" width="15.7109375" style="318" customWidth="1"/>
    <col min="1545" max="1546" width="16.5703125" style="318" customWidth="1"/>
    <col min="1547" max="1547" width="14.85546875" style="318" bestFit="1" customWidth="1"/>
    <col min="1548" max="1548" width="13.42578125" style="318" customWidth="1"/>
    <col min="1549" max="1549" width="14.7109375" style="318" customWidth="1"/>
    <col min="1550" max="1550" width="14.7109375" style="318" bestFit="1" customWidth="1"/>
    <col min="1551" max="1557" width="14.42578125" style="318" customWidth="1"/>
    <col min="1558" max="1558" width="14.85546875" style="318" bestFit="1" customWidth="1"/>
    <col min="1559" max="1559" width="11.7109375" style="318" bestFit="1" customWidth="1"/>
    <col min="1560" max="1792" width="9.140625" style="318"/>
    <col min="1793" max="1793" width="8.42578125" style="318" customWidth="1"/>
    <col min="1794" max="1794" width="14.42578125" style="318" customWidth="1"/>
    <col min="1795" max="1795" width="15.42578125" style="318" customWidth="1"/>
    <col min="1796" max="1796" width="16.42578125" style="318" customWidth="1"/>
    <col min="1797" max="1797" width="16.140625" style="318" customWidth="1"/>
    <col min="1798" max="1798" width="13.7109375" style="318" customWidth="1"/>
    <col min="1799" max="1799" width="18.85546875" style="318" customWidth="1"/>
    <col min="1800" max="1800" width="15.7109375" style="318" customWidth="1"/>
    <col min="1801" max="1802" width="16.5703125" style="318" customWidth="1"/>
    <col min="1803" max="1803" width="14.85546875" style="318" bestFit="1" customWidth="1"/>
    <col min="1804" max="1804" width="13.42578125" style="318" customWidth="1"/>
    <col min="1805" max="1805" width="14.7109375" style="318" customWidth="1"/>
    <col min="1806" max="1806" width="14.7109375" style="318" bestFit="1" customWidth="1"/>
    <col min="1807" max="1813" width="14.42578125" style="318" customWidth="1"/>
    <col min="1814" max="1814" width="14.85546875" style="318" bestFit="1" customWidth="1"/>
    <col min="1815" max="1815" width="11.7109375" style="318" bestFit="1" customWidth="1"/>
    <col min="1816" max="2048" width="9.140625" style="318"/>
    <col min="2049" max="2049" width="8.42578125" style="318" customWidth="1"/>
    <col min="2050" max="2050" width="14.42578125" style="318" customWidth="1"/>
    <col min="2051" max="2051" width="15.42578125" style="318" customWidth="1"/>
    <col min="2052" max="2052" width="16.42578125" style="318" customWidth="1"/>
    <col min="2053" max="2053" width="16.140625" style="318" customWidth="1"/>
    <col min="2054" max="2054" width="13.7109375" style="318" customWidth="1"/>
    <col min="2055" max="2055" width="18.85546875" style="318" customWidth="1"/>
    <col min="2056" max="2056" width="15.7109375" style="318" customWidth="1"/>
    <col min="2057" max="2058" width="16.5703125" style="318" customWidth="1"/>
    <col min="2059" max="2059" width="14.85546875" style="318" bestFit="1" customWidth="1"/>
    <col min="2060" max="2060" width="13.42578125" style="318" customWidth="1"/>
    <col min="2061" max="2061" width="14.7109375" style="318" customWidth="1"/>
    <col min="2062" max="2062" width="14.7109375" style="318" bestFit="1" customWidth="1"/>
    <col min="2063" max="2069" width="14.42578125" style="318" customWidth="1"/>
    <col min="2070" max="2070" width="14.85546875" style="318" bestFit="1" customWidth="1"/>
    <col min="2071" max="2071" width="11.7109375" style="318" bestFit="1" customWidth="1"/>
    <col min="2072" max="2304" width="9.140625" style="318"/>
    <col min="2305" max="2305" width="8.42578125" style="318" customWidth="1"/>
    <col min="2306" max="2306" width="14.42578125" style="318" customWidth="1"/>
    <col min="2307" max="2307" width="15.42578125" style="318" customWidth="1"/>
    <col min="2308" max="2308" width="16.42578125" style="318" customWidth="1"/>
    <col min="2309" max="2309" width="16.140625" style="318" customWidth="1"/>
    <col min="2310" max="2310" width="13.7109375" style="318" customWidth="1"/>
    <col min="2311" max="2311" width="18.85546875" style="318" customWidth="1"/>
    <col min="2312" max="2312" width="15.7109375" style="318" customWidth="1"/>
    <col min="2313" max="2314" width="16.5703125" style="318" customWidth="1"/>
    <col min="2315" max="2315" width="14.85546875" style="318" bestFit="1" customWidth="1"/>
    <col min="2316" max="2316" width="13.42578125" style="318" customWidth="1"/>
    <col min="2317" max="2317" width="14.7109375" style="318" customWidth="1"/>
    <col min="2318" max="2318" width="14.7109375" style="318" bestFit="1" customWidth="1"/>
    <col min="2319" max="2325" width="14.42578125" style="318" customWidth="1"/>
    <col min="2326" max="2326" width="14.85546875" style="318" bestFit="1" customWidth="1"/>
    <col min="2327" max="2327" width="11.7109375" style="318" bestFit="1" customWidth="1"/>
    <col min="2328" max="2560" width="9.140625" style="318"/>
    <col min="2561" max="2561" width="8.42578125" style="318" customWidth="1"/>
    <col min="2562" max="2562" width="14.42578125" style="318" customWidth="1"/>
    <col min="2563" max="2563" width="15.42578125" style="318" customWidth="1"/>
    <col min="2564" max="2564" width="16.42578125" style="318" customWidth="1"/>
    <col min="2565" max="2565" width="16.140625" style="318" customWidth="1"/>
    <col min="2566" max="2566" width="13.7109375" style="318" customWidth="1"/>
    <col min="2567" max="2567" width="18.85546875" style="318" customWidth="1"/>
    <col min="2568" max="2568" width="15.7109375" style="318" customWidth="1"/>
    <col min="2569" max="2570" width="16.5703125" style="318" customWidth="1"/>
    <col min="2571" max="2571" width="14.85546875" style="318" bestFit="1" customWidth="1"/>
    <col min="2572" max="2572" width="13.42578125" style="318" customWidth="1"/>
    <col min="2573" max="2573" width="14.7109375" style="318" customWidth="1"/>
    <col min="2574" max="2574" width="14.7109375" style="318" bestFit="1" customWidth="1"/>
    <col min="2575" max="2581" width="14.42578125" style="318" customWidth="1"/>
    <col min="2582" max="2582" width="14.85546875" style="318" bestFit="1" customWidth="1"/>
    <col min="2583" max="2583" width="11.7109375" style="318" bestFit="1" customWidth="1"/>
    <col min="2584" max="2816" width="9.140625" style="318"/>
    <col min="2817" max="2817" width="8.42578125" style="318" customWidth="1"/>
    <col min="2818" max="2818" width="14.42578125" style="318" customWidth="1"/>
    <col min="2819" max="2819" width="15.42578125" style="318" customWidth="1"/>
    <col min="2820" max="2820" width="16.42578125" style="318" customWidth="1"/>
    <col min="2821" max="2821" width="16.140625" style="318" customWidth="1"/>
    <col min="2822" max="2822" width="13.7109375" style="318" customWidth="1"/>
    <col min="2823" max="2823" width="18.85546875" style="318" customWidth="1"/>
    <col min="2824" max="2824" width="15.7109375" style="318" customWidth="1"/>
    <col min="2825" max="2826" width="16.5703125" style="318" customWidth="1"/>
    <col min="2827" max="2827" width="14.85546875" style="318" bestFit="1" customWidth="1"/>
    <col min="2828" max="2828" width="13.42578125" style="318" customWidth="1"/>
    <col min="2829" max="2829" width="14.7109375" style="318" customWidth="1"/>
    <col min="2830" max="2830" width="14.7109375" style="318" bestFit="1" customWidth="1"/>
    <col min="2831" max="2837" width="14.42578125" style="318" customWidth="1"/>
    <col min="2838" max="2838" width="14.85546875" style="318" bestFit="1" customWidth="1"/>
    <col min="2839" max="2839" width="11.7109375" style="318" bestFit="1" customWidth="1"/>
    <col min="2840" max="3072" width="9.140625" style="318"/>
    <col min="3073" max="3073" width="8.42578125" style="318" customWidth="1"/>
    <col min="3074" max="3074" width="14.42578125" style="318" customWidth="1"/>
    <col min="3075" max="3075" width="15.42578125" style="318" customWidth="1"/>
    <col min="3076" max="3076" width="16.42578125" style="318" customWidth="1"/>
    <col min="3077" max="3077" width="16.140625" style="318" customWidth="1"/>
    <col min="3078" max="3078" width="13.7109375" style="318" customWidth="1"/>
    <col min="3079" max="3079" width="18.85546875" style="318" customWidth="1"/>
    <col min="3080" max="3080" width="15.7109375" style="318" customWidth="1"/>
    <col min="3081" max="3082" width="16.5703125" style="318" customWidth="1"/>
    <col min="3083" max="3083" width="14.85546875" style="318" bestFit="1" customWidth="1"/>
    <col min="3084" max="3084" width="13.42578125" style="318" customWidth="1"/>
    <col min="3085" max="3085" width="14.7109375" style="318" customWidth="1"/>
    <col min="3086" max="3086" width="14.7109375" style="318" bestFit="1" customWidth="1"/>
    <col min="3087" max="3093" width="14.42578125" style="318" customWidth="1"/>
    <col min="3094" max="3094" width="14.85546875" style="318" bestFit="1" customWidth="1"/>
    <col min="3095" max="3095" width="11.7109375" style="318" bestFit="1" customWidth="1"/>
    <col min="3096" max="3328" width="9.140625" style="318"/>
    <col min="3329" max="3329" width="8.42578125" style="318" customWidth="1"/>
    <col min="3330" max="3330" width="14.42578125" style="318" customWidth="1"/>
    <col min="3331" max="3331" width="15.42578125" style="318" customWidth="1"/>
    <col min="3332" max="3332" width="16.42578125" style="318" customWidth="1"/>
    <col min="3333" max="3333" width="16.140625" style="318" customWidth="1"/>
    <col min="3334" max="3334" width="13.7109375" style="318" customWidth="1"/>
    <col min="3335" max="3335" width="18.85546875" style="318" customWidth="1"/>
    <col min="3336" max="3336" width="15.7109375" style="318" customWidth="1"/>
    <col min="3337" max="3338" width="16.5703125" style="318" customWidth="1"/>
    <col min="3339" max="3339" width="14.85546875" style="318" bestFit="1" customWidth="1"/>
    <col min="3340" max="3340" width="13.42578125" style="318" customWidth="1"/>
    <col min="3341" max="3341" width="14.7109375" style="318" customWidth="1"/>
    <col min="3342" max="3342" width="14.7109375" style="318" bestFit="1" customWidth="1"/>
    <col min="3343" max="3349" width="14.42578125" style="318" customWidth="1"/>
    <col min="3350" max="3350" width="14.85546875" style="318" bestFit="1" customWidth="1"/>
    <col min="3351" max="3351" width="11.7109375" style="318" bestFit="1" customWidth="1"/>
    <col min="3352" max="3584" width="9.140625" style="318"/>
    <col min="3585" max="3585" width="8.42578125" style="318" customWidth="1"/>
    <col min="3586" max="3586" width="14.42578125" style="318" customWidth="1"/>
    <col min="3587" max="3587" width="15.42578125" style="318" customWidth="1"/>
    <col min="3588" max="3588" width="16.42578125" style="318" customWidth="1"/>
    <col min="3589" max="3589" width="16.140625" style="318" customWidth="1"/>
    <col min="3590" max="3590" width="13.7109375" style="318" customWidth="1"/>
    <col min="3591" max="3591" width="18.85546875" style="318" customWidth="1"/>
    <col min="3592" max="3592" width="15.7109375" style="318" customWidth="1"/>
    <col min="3593" max="3594" width="16.5703125" style="318" customWidth="1"/>
    <col min="3595" max="3595" width="14.85546875" style="318" bestFit="1" customWidth="1"/>
    <col min="3596" max="3596" width="13.42578125" style="318" customWidth="1"/>
    <col min="3597" max="3597" width="14.7109375" style="318" customWidth="1"/>
    <col min="3598" max="3598" width="14.7109375" style="318" bestFit="1" customWidth="1"/>
    <col min="3599" max="3605" width="14.42578125" style="318" customWidth="1"/>
    <col min="3606" max="3606" width="14.85546875" style="318" bestFit="1" customWidth="1"/>
    <col min="3607" max="3607" width="11.7109375" style="318" bestFit="1" customWidth="1"/>
    <col min="3608" max="3840" width="9.140625" style="318"/>
    <col min="3841" max="3841" width="8.42578125" style="318" customWidth="1"/>
    <col min="3842" max="3842" width="14.42578125" style="318" customWidth="1"/>
    <col min="3843" max="3843" width="15.42578125" style="318" customWidth="1"/>
    <col min="3844" max="3844" width="16.42578125" style="318" customWidth="1"/>
    <col min="3845" max="3845" width="16.140625" style="318" customWidth="1"/>
    <col min="3846" max="3846" width="13.7109375" style="318" customWidth="1"/>
    <col min="3847" max="3847" width="18.85546875" style="318" customWidth="1"/>
    <col min="3848" max="3848" width="15.7109375" style="318" customWidth="1"/>
    <col min="3849" max="3850" width="16.5703125" style="318" customWidth="1"/>
    <col min="3851" max="3851" width="14.85546875" style="318" bestFit="1" customWidth="1"/>
    <col min="3852" max="3852" width="13.42578125" style="318" customWidth="1"/>
    <col min="3853" max="3853" width="14.7109375" style="318" customWidth="1"/>
    <col min="3854" max="3854" width="14.7109375" style="318" bestFit="1" customWidth="1"/>
    <col min="3855" max="3861" width="14.42578125" style="318" customWidth="1"/>
    <col min="3862" max="3862" width="14.85546875" style="318" bestFit="1" customWidth="1"/>
    <col min="3863" max="3863" width="11.7109375" style="318" bestFit="1" customWidth="1"/>
    <col min="3864" max="4096" width="9.140625" style="318"/>
    <col min="4097" max="4097" width="8.42578125" style="318" customWidth="1"/>
    <col min="4098" max="4098" width="14.42578125" style="318" customWidth="1"/>
    <col min="4099" max="4099" width="15.42578125" style="318" customWidth="1"/>
    <col min="4100" max="4100" width="16.42578125" style="318" customWidth="1"/>
    <col min="4101" max="4101" width="16.140625" style="318" customWidth="1"/>
    <col min="4102" max="4102" width="13.7109375" style="318" customWidth="1"/>
    <col min="4103" max="4103" width="18.85546875" style="318" customWidth="1"/>
    <col min="4104" max="4104" width="15.7109375" style="318" customWidth="1"/>
    <col min="4105" max="4106" width="16.5703125" style="318" customWidth="1"/>
    <col min="4107" max="4107" width="14.85546875" style="318" bestFit="1" customWidth="1"/>
    <col min="4108" max="4108" width="13.42578125" style="318" customWidth="1"/>
    <col min="4109" max="4109" width="14.7109375" style="318" customWidth="1"/>
    <col min="4110" max="4110" width="14.7109375" style="318" bestFit="1" customWidth="1"/>
    <col min="4111" max="4117" width="14.42578125" style="318" customWidth="1"/>
    <col min="4118" max="4118" width="14.85546875" style="318" bestFit="1" customWidth="1"/>
    <col min="4119" max="4119" width="11.7109375" style="318" bestFit="1" customWidth="1"/>
    <col min="4120" max="4352" width="9.140625" style="318"/>
    <col min="4353" max="4353" width="8.42578125" style="318" customWidth="1"/>
    <col min="4354" max="4354" width="14.42578125" style="318" customWidth="1"/>
    <col min="4355" max="4355" width="15.42578125" style="318" customWidth="1"/>
    <col min="4356" max="4356" width="16.42578125" style="318" customWidth="1"/>
    <col min="4357" max="4357" width="16.140625" style="318" customWidth="1"/>
    <col min="4358" max="4358" width="13.7109375" style="318" customWidth="1"/>
    <col min="4359" max="4359" width="18.85546875" style="318" customWidth="1"/>
    <col min="4360" max="4360" width="15.7109375" style="318" customWidth="1"/>
    <col min="4361" max="4362" width="16.5703125" style="318" customWidth="1"/>
    <col min="4363" max="4363" width="14.85546875" style="318" bestFit="1" customWidth="1"/>
    <col min="4364" max="4364" width="13.42578125" style="318" customWidth="1"/>
    <col min="4365" max="4365" width="14.7109375" style="318" customWidth="1"/>
    <col min="4366" max="4366" width="14.7109375" style="318" bestFit="1" customWidth="1"/>
    <col min="4367" max="4373" width="14.42578125" style="318" customWidth="1"/>
    <col min="4374" max="4374" width="14.85546875" style="318" bestFit="1" customWidth="1"/>
    <col min="4375" max="4375" width="11.7109375" style="318" bestFit="1" customWidth="1"/>
    <col min="4376" max="4608" width="9.140625" style="318"/>
    <col min="4609" max="4609" width="8.42578125" style="318" customWidth="1"/>
    <col min="4610" max="4610" width="14.42578125" style="318" customWidth="1"/>
    <col min="4611" max="4611" width="15.42578125" style="318" customWidth="1"/>
    <col min="4612" max="4612" width="16.42578125" style="318" customWidth="1"/>
    <col min="4613" max="4613" width="16.140625" style="318" customWidth="1"/>
    <col min="4614" max="4614" width="13.7109375" style="318" customWidth="1"/>
    <col min="4615" max="4615" width="18.85546875" style="318" customWidth="1"/>
    <col min="4616" max="4616" width="15.7109375" style="318" customWidth="1"/>
    <col min="4617" max="4618" width="16.5703125" style="318" customWidth="1"/>
    <col min="4619" max="4619" width="14.85546875" style="318" bestFit="1" customWidth="1"/>
    <col min="4620" max="4620" width="13.42578125" style="318" customWidth="1"/>
    <col min="4621" max="4621" width="14.7109375" style="318" customWidth="1"/>
    <col min="4622" max="4622" width="14.7109375" style="318" bestFit="1" customWidth="1"/>
    <col min="4623" max="4629" width="14.42578125" style="318" customWidth="1"/>
    <col min="4630" max="4630" width="14.85546875" style="318" bestFit="1" customWidth="1"/>
    <col min="4631" max="4631" width="11.7109375" style="318" bestFit="1" customWidth="1"/>
    <col min="4632" max="4864" width="9.140625" style="318"/>
    <col min="4865" max="4865" width="8.42578125" style="318" customWidth="1"/>
    <col min="4866" max="4866" width="14.42578125" style="318" customWidth="1"/>
    <col min="4867" max="4867" width="15.42578125" style="318" customWidth="1"/>
    <col min="4868" max="4868" width="16.42578125" style="318" customWidth="1"/>
    <col min="4869" max="4869" width="16.140625" style="318" customWidth="1"/>
    <col min="4870" max="4870" width="13.7109375" style="318" customWidth="1"/>
    <col min="4871" max="4871" width="18.85546875" style="318" customWidth="1"/>
    <col min="4872" max="4872" width="15.7109375" style="318" customWidth="1"/>
    <col min="4873" max="4874" width="16.5703125" style="318" customWidth="1"/>
    <col min="4875" max="4875" width="14.85546875" style="318" bestFit="1" customWidth="1"/>
    <col min="4876" max="4876" width="13.42578125" style="318" customWidth="1"/>
    <col min="4877" max="4877" width="14.7109375" style="318" customWidth="1"/>
    <col min="4878" max="4878" width="14.7109375" style="318" bestFit="1" customWidth="1"/>
    <col min="4879" max="4885" width="14.42578125" style="318" customWidth="1"/>
    <col min="4886" max="4886" width="14.85546875" style="318" bestFit="1" customWidth="1"/>
    <col min="4887" max="4887" width="11.7109375" style="318" bestFit="1" customWidth="1"/>
    <col min="4888" max="5120" width="9.140625" style="318"/>
    <col min="5121" max="5121" width="8.42578125" style="318" customWidth="1"/>
    <col min="5122" max="5122" width="14.42578125" style="318" customWidth="1"/>
    <col min="5123" max="5123" width="15.42578125" style="318" customWidth="1"/>
    <col min="5124" max="5124" width="16.42578125" style="318" customWidth="1"/>
    <col min="5125" max="5125" width="16.140625" style="318" customWidth="1"/>
    <col min="5126" max="5126" width="13.7109375" style="318" customWidth="1"/>
    <col min="5127" max="5127" width="18.85546875" style="318" customWidth="1"/>
    <col min="5128" max="5128" width="15.7109375" style="318" customWidth="1"/>
    <col min="5129" max="5130" width="16.5703125" style="318" customWidth="1"/>
    <col min="5131" max="5131" width="14.85546875" style="318" bestFit="1" customWidth="1"/>
    <col min="5132" max="5132" width="13.42578125" style="318" customWidth="1"/>
    <col min="5133" max="5133" width="14.7109375" style="318" customWidth="1"/>
    <col min="5134" max="5134" width="14.7109375" style="318" bestFit="1" customWidth="1"/>
    <col min="5135" max="5141" width="14.42578125" style="318" customWidth="1"/>
    <col min="5142" max="5142" width="14.85546875" style="318" bestFit="1" customWidth="1"/>
    <col min="5143" max="5143" width="11.7109375" style="318" bestFit="1" customWidth="1"/>
    <col min="5144" max="5376" width="9.140625" style="318"/>
    <col min="5377" max="5377" width="8.42578125" style="318" customWidth="1"/>
    <col min="5378" max="5378" width="14.42578125" style="318" customWidth="1"/>
    <col min="5379" max="5379" width="15.42578125" style="318" customWidth="1"/>
    <col min="5380" max="5380" width="16.42578125" style="318" customWidth="1"/>
    <col min="5381" max="5381" width="16.140625" style="318" customWidth="1"/>
    <col min="5382" max="5382" width="13.7109375" style="318" customWidth="1"/>
    <col min="5383" max="5383" width="18.85546875" style="318" customWidth="1"/>
    <col min="5384" max="5384" width="15.7109375" style="318" customWidth="1"/>
    <col min="5385" max="5386" width="16.5703125" style="318" customWidth="1"/>
    <col min="5387" max="5387" width="14.85546875" style="318" bestFit="1" customWidth="1"/>
    <col min="5388" max="5388" width="13.42578125" style="318" customWidth="1"/>
    <col min="5389" max="5389" width="14.7109375" style="318" customWidth="1"/>
    <col min="5390" max="5390" width="14.7109375" style="318" bestFit="1" customWidth="1"/>
    <col min="5391" max="5397" width="14.42578125" style="318" customWidth="1"/>
    <col min="5398" max="5398" width="14.85546875" style="318" bestFit="1" customWidth="1"/>
    <col min="5399" max="5399" width="11.7109375" style="318" bestFit="1" customWidth="1"/>
    <col min="5400" max="5632" width="9.140625" style="318"/>
    <col min="5633" max="5633" width="8.42578125" style="318" customWidth="1"/>
    <col min="5634" max="5634" width="14.42578125" style="318" customWidth="1"/>
    <col min="5635" max="5635" width="15.42578125" style="318" customWidth="1"/>
    <col min="5636" max="5636" width="16.42578125" style="318" customWidth="1"/>
    <col min="5637" max="5637" width="16.140625" style="318" customWidth="1"/>
    <col min="5638" max="5638" width="13.7109375" style="318" customWidth="1"/>
    <col min="5639" max="5639" width="18.85546875" style="318" customWidth="1"/>
    <col min="5640" max="5640" width="15.7109375" style="318" customWidth="1"/>
    <col min="5641" max="5642" width="16.5703125" style="318" customWidth="1"/>
    <col min="5643" max="5643" width="14.85546875" style="318" bestFit="1" customWidth="1"/>
    <col min="5644" max="5644" width="13.42578125" style="318" customWidth="1"/>
    <col min="5645" max="5645" width="14.7109375" style="318" customWidth="1"/>
    <col min="5646" max="5646" width="14.7109375" style="318" bestFit="1" customWidth="1"/>
    <col min="5647" max="5653" width="14.42578125" style="318" customWidth="1"/>
    <col min="5654" max="5654" width="14.85546875" style="318" bestFit="1" customWidth="1"/>
    <col min="5655" max="5655" width="11.7109375" style="318" bestFit="1" customWidth="1"/>
    <col min="5656" max="5888" width="9.140625" style="318"/>
    <col min="5889" max="5889" width="8.42578125" style="318" customWidth="1"/>
    <col min="5890" max="5890" width="14.42578125" style="318" customWidth="1"/>
    <col min="5891" max="5891" width="15.42578125" style="318" customWidth="1"/>
    <col min="5892" max="5892" width="16.42578125" style="318" customWidth="1"/>
    <col min="5893" max="5893" width="16.140625" style="318" customWidth="1"/>
    <col min="5894" max="5894" width="13.7109375" style="318" customWidth="1"/>
    <col min="5895" max="5895" width="18.85546875" style="318" customWidth="1"/>
    <col min="5896" max="5896" width="15.7109375" style="318" customWidth="1"/>
    <col min="5897" max="5898" width="16.5703125" style="318" customWidth="1"/>
    <col min="5899" max="5899" width="14.85546875" style="318" bestFit="1" customWidth="1"/>
    <col min="5900" max="5900" width="13.42578125" style="318" customWidth="1"/>
    <col min="5901" max="5901" width="14.7109375" style="318" customWidth="1"/>
    <col min="5902" max="5902" width="14.7109375" style="318" bestFit="1" customWidth="1"/>
    <col min="5903" max="5909" width="14.42578125" style="318" customWidth="1"/>
    <col min="5910" max="5910" width="14.85546875" style="318" bestFit="1" customWidth="1"/>
    <col min="5911" max="5911" width="11.7109375" style="318" bestFit="1" customWidth="1"/>
    <col min="5912" max="6144" width="9.140625" style="318"/>
    <col min="6145" max="6145" width="8.42578125" style="318" customWidth="1"/>
    <col min="6146" max="6146" width="14.42578125" style="318" customWidth="1"/>
    <col min="6147" max="6147" width="15.42578125" style="318" customWidth="1"/>
    <col min="6148" max="6148" width="16.42578125" style="318" customWidth="1"/>
    <col min="6149" max="6149" width="16.140625" style="318" customWidth="1"/>
    <col min="6150" max="6150" width="13.7109375" style="318" customWidth="1"/>
    <col min="6151" max="6151" width="18.85546875" style="318" customWidth="1"/>
    <col min="6152" max="6152" width="15.7109375" style="318" customWidth="1"/>
    <col min="6153" max="6154" width="16.5703125" style="318" customWidth="1"/>
    <col min="6155" max="6155" width="14.85546875" style="318" bestFit="1" customWidth="1"/>
    <col min="6156" max="6156" width="13.42578125" style="318" customWidth="1"/>
    <col min="6157" max="6157" width="14.7109375" style="318" customWidth="1"/>
    <col min="6158" max="6158" width="14.7109375" style="318" bestFit="1" customWidth="1"/>
    <col min="6159" max="6165" width="14.42578125" style="318" customWidth="1"/>
    <col min="6166" max="6166" width="14.85546875" style="318" bestFit="1" customWidth="1"/>
    <col min="6167" max="6167" width="11.7109375" style="318" bestFit="1" customWidth="1"/>
    <col min="6168" max="6400" width="9.140625" style="318"/>
    <col min="6401" max="6401" width="8.42578125" style="318" customWidth="1"/>
    <col min="6402" max="6402" width="14.42578125" style="318" customWidth="1"/>
    <col min="6403" max="6403" width="15.42578125" style="318" customWidth="1"/>
    <col min="6404" max="6404" width="16.42578125" style="318" customWidth="1"/>
    <col min="6405" max="6405" width="16.140625" style="318" customWidth="1"/>
    <col min="6406" max="6406" width="13.7109375" style="318" customWidth="1"/>
    <col min="6407" max="6407" width="18.85546875" style="318" customWidth="1"/>
    <col min="6408" max="6408" width="15.7109375" style="318" customWidth="1"/>
    <col min="6409" max="6410" width="16.5703125" style="318" customWidth="1"/>
    <col min="6411" max="6411" width="14.85546875" style="318" bestFit="1" customWidth="1"/>
    <col min="6412" max="6412" width="13.42578125" style="318" customWidth="1"/>
    <col min="6413" max="6413" width="14.7109375" style="318" customWidth="1"/>
    <col min="6414" max="6414" width="14.7109375" style="318" bestFit="1" customWidth="1"/>
    <col min="6415" max="6421" width="14.42578125" style="318" customWidth="1"/>
    <col min="6422" max="6422" width="14.85546875" style="318" bestFit="1" customWidth="1"/>
    <col min="6423" max="6423" width="11.7109375" style="318" bestFit="1" customWidth="1"/>
    <col min="6424" max="6656" width="9.140625" style="318"/>
    <col min="6657" max="6657" width="8.42578125" style="318" customWidth="1"/>
    <col min="6658" max="6658" width="14.42578125" style="318" customWidth="1"/>
    <col min="6659" max="6659" width="15.42578125" style="318" customWidth="1"/>
    <col min="6660" max="6660" width="16.42578125" style="318" customWidth="1"/>
    <col min="6661" max="6661" width="16.140625" style="318" customWidth="1"/>
    <col min="6662" max="6662" width="13.7109375" style="318" customWidth="1"/>
    <col min="6663" max="6663" width="18.85546875" style="318" customWidth="1"/>
    <col min="6664" max="6664" width="15.7109375" style="318" customWidth="1"/>
    <col min="6665" max="6666" width="16.5703125" style="318" customWidth="1"/>
    <col min="6667" max="6667" width="14.85546875" style="318" bestFit="1" customWidth="1"/>
    <col min="6668" max="6668" width="13.42578125" style="318" customWidth="1"/>
    <col min="6669" max="6669" width="14.7109375" style="318" customWidth="1"/>
    <col min="6670" max="6670" width="14.7109375" style="318" bestFit="1" customWidth="1"/>
    <col min="6671" max="6677" width="14.42578125" style="318" customWidth="1"/>
    <col min="6678" max="6678" width="14.85546875" style="318" bestFit="1" customWidth="1"/>
    <col min="6679" max="6679" width="11.7109375" style="318" bestFit="1" customWidth="1"/>
    <col min="6680" max="6912" width="9.140625" style="318"/>
    <col min="6913" max="6913" width="8.42578125" style="318" customWidth="1"/>
    <col min="6914" max="6914" width="14.42578125" style="318" customWidth="1"/>
    <col min="6915" max="6915" width="15.42578125" style="318" customWidth="1"/>
    <col min="6916" max="6916" width="16.42578125" style="318" customWidth="1"/>
    <col min="6917" max="6917" width="16.140625" style="318" customWidth="1"/>
    <col min="6918" max="6918" width="13.7109375" style="318" customWidth="1"/>
    <col min="6919" max="6919" width="18.85546875" style="318" customWidth="1"/>
    <col min="6920" max="6920" width="15.7109375" style="318" customWidth="1"/>
    <col min="6921" max="6922" width="16.5703125" style="318" customWidth="1"/>
    <col min="6923" max="6923" width="14.85546875" style="318" bestFit="1" customWidth="1"/>
    <col min="6924" max="6924" width="13.42578125" style="318" customWidth="1"/>
    <col min="6925" max="6925" width="14.7109375" style="318" customWidth="1"/>
    <col min="6926" max="6926" width="14.7109375" style="318" bestFit="1" customWidth="1"/>
    <col min="6927" max="6933" width="14.42578125" style="318" customWidth="1"/>
    <col min="6934" max="6934" width="14.85546875" style="318" bestFit="1" customWidth="1"/>
    <col min="6935" max="6935" width="11.7109375" style="318" bestFit="1" customWidth="1"/>
    <col min="6936" max="7168" width="9.140625" style="318"/>
    <col min="7169" max="7169" width="8.42578125" style="318" customWidth="1"/>
    <col min="7170" max="7170" width="14.42578125" style="318" customWidth="1"/>
    <col min="7171" max="7171" width="15.42578125" style="318" customWidth="1"/>
    <col min="7172" max="7172" width="16.42578125" style="318" customWidth="1"/>
    <col min="7173" max="7173" width="16.140625" style="318" customWidth="1"/>
    <col min="7174" max="7174" width="13.7109375" style="318" customWidth="1"/>
    <col min="7175" max="7175" width="18.85546875" style="318" customWidth="1"/>
    <col min="7176" max="7176" width="15.7109375" style="318" customWidth="1"/>
    <col min="7177" max="7178" width="16.5703125" style="318" customWidth="1"/>
    <col min="7179" max="7179" width="14.85546875" style="318" bestFit="1" customWidth="1"/>
    <col min="7180" max="7180" width="13.42578125" style="318" customWidth="1"/>
    <col min="7181" max="7181" width="14.7109375" style="318" customWidth="1"/>
    <col min="7182" max="7182" width="14.7109375" style="318" bestFit="1" customWidth="1"/>
    <col min="7183" max="7189" width="14.42578125" style="318" customWidth="1"/>
    <col min="7190" max="7190" width="14.85546875" style="318" bestFit="1" customWidth="1"/>
    <col min="7191" max="7191" width="11.7109375" style="318" bestFit="1" customWidth="1"/>
    <col min="7192" max="7424" width="9.140625" style="318"/>
    <col min="7425" max="7425" width="8.42578125" style="318" customWidth="1"/>
    <col min="7426" max="7426" width="14.42578125" style="318" customWidth="1"/>
    <col min="7427" max="7427" width="15.42578125" style="318" customWidth="1"/>
    <col min="7428" max="7428" width="16.42578125" style="318" customWidth="1"/>
    <col min="7429" max="7429" width="16.140625" style="318" customWidth="1"/>
    <col min="7430" max="7430" width="13.7109375" style="318" customWidth="1"/>
    <col min="7431" max="7431" width="18.85546875" style="318" customWidth="1"/>
    <col min="7432" max="7432" width="15.7109375" style="318" customWidth="1"/>
    <col min="7433" max="7434" width="16.5703125" style="318" customWidth="1"/>
    <col min="7435" max="7435" width="14.85546875" style="318" bestFit="1" customWidth="1"/>
    <col min="7436" max="7436" width="13.42578125" style="318" customWidth="1"/>
    <col min="7437" max="7437" width="14.7109375" style="318" customWidth="1"/>
    <col min="7438" max="7438" width="14.7109375" style="318" bestFit="1" customWidth="1"/>
    <col min="7439" max="7445" width="14.42578125" style="318" customWidth="1"/>
    <col min="7446" max="7446" width="14.85546875" style="318" bestFit="1" customWidth="1"/>
    <col min="7447" max="7447" width="11.7109375" style="318" bestFit="1" customWidth="1"/>
    <col min="7448" max="7680" width="9.140625" style="318"/>
    <col min="7681" max="7681" width="8.42578125" style="318" customWidth="1"/>
    <col min="7682" max="7682" width="14.42578125" style="318" customWidth="1"/>
    <col min="7683" max="7683" width="15.42578125" style="318" customWidth="1"/>
    <col min="7684" max="7684" width="16.42578125" style="318" customWidth="1"/>
    <col min="7685" max="7685" width="16.140625" style="318" customWidth="1"/>
    <col min="7686" max="7686" width="13.7109375" style="318" customWidth="1"/>
    <col min="7687" max="7687" width="18.85546875" style="318" customWidth="1"/>
    <col min="7688" max="7688" width="15.7109375" style="318" customWidth="1"/>
    <col min="7689" max="7690" width="16.5703125" style="318" customWidth="1"/>
    <col min="7691" max="7691" width="14.85546875" style="318" bestFit="1" customWidth="1"/>
    <col min="7692" max="7692" width="13.42578125" style="318" customWidth="1"/>
    <col min="7693" max="7693" width="14.7109375" style="318" customWidth="1"/>
    <col min="7694" max="7694" width="14.7109375" style="318" bestFit="1" customWidth="1"/>
    <col min="7695" max="7701" width="14.42578125" style="318" customWidth="1"/>
    <col min="7702" max="7702" width="14.85546875" style="318" bestFit="1" customWidth="1"/>
    <col min="7703" max="7703" width="11.7109375" style="318" bestFit="1" customWidth="1"/>
    <col min="7704" max="7936" width="9.140625" style="318"/>
    <col min="7937" max="7937" width="8.42578125" style="318" customWidth="1"/>
    <col min="7938" max="7938" width="14.42578125" style="318" customWidth="1"/>
    <col min="7939" max="7939" width="15.42578125" style="318" customWidth="1"/>
    <col min="7940" max="7940" width="16.42578125" style="318" customWidth="1"/>
    <col min="7941" max="7941" width="16.140625" style="318" customWidth="1"/>
    <col min="7942" max="7942" width="13.7109375" style="318" customWidth="1"/>
    <col min="7943" max="7943" width="18.85546875" style="318" customWidth="1"/>
    <col min="7944" max="7944" width="15.7109375" style="318" customWidth="1"/>
    <col min="7945" max="7946" width="16.5703125" style="318" customWidth="1"/>
    <col min="7947" max="7947" width="14.85546875" style="318" bestFit="1" customWidth="1"/>
    <col min="7948" max="7948" width="13.42578125" style="318" customWidth="1"/>
    <col min="7949" max="7949" width="14.7109375" style="318" customWidth="1"/>
    <col min="7950" max="7950" width="14.7109375" style="318" bestFit="1" customWidth="1"/>
    <col min="7951" max="7957" width="14.42578125" style="318" customWidth="1"/>
    <col min="7958" max="7958" width="14.85546875" style="318" bestFit="1" customWidth="1"/>
    <col min="7959" max="7959" width="11.7109375" style="318" bestFit="1" customWidth="1"/>
    <col min="7960" max="8192" width="9.140625" style="318"/>
    <col min="8193" max="8193" width="8.42578125" style="318" customWidth="1"/>
    <col min="8194" max="8194" width="14.42578125" style="318" customWidth="1"/>
    <col min="8195" max="8195" width="15.42578125" style="318" customWidth="1"/>
    <col min="8196" max="8196" width="16.42578125" style="318" customWidth="1"/>
    <col min="8197" max="8197" width="16.140625" style="318" customWidth="1"/>
    <col min="8198" max="8198" width="13.7109375" style="318" customWidth="1"/>
    <col min="8199" max="8199" width="18.85546875" style="318" customWidth="1"/>
    <col min="8200" max="8200" width="15.7109375" style="318" customWidth="1"/>
    <col min="8201" max="8202" width="16.5703125" style="318" customWidth="1"/>
    <col min="8203" max="8203" width="14.85546875" style="318" bestFit="1" customWidth="1"/>
    <col min="8204" max="8204" width="13.42578125" style="318" customWidth="1"/>
    <col min="8205" max="8205" width="14.7109375" style="318" customWidth="1"/>
    <col min="8206" max="8206" width="14.7109375" style="318" bestFit="1" customWidth="1"/>
    <col min="8207" max="8213" width="14.42578125" style="318" customWidth="1"/>
    <col min="8214" max="8214" width="14.85546875" style="318" bestFit="1" customWidth="1"/>
    <col min="8215" max="8215" width="11.7109375" style="318" bestFit="1" customWidth="1"/>
    <col min="8216" max="8448" width="9.140625" style="318"/>
    <col min="8449" max="8449" width="8.42578125" style="318" customWidth="1"/>
    <col min="8450" max="8450" width="14.42578125" style="318" customWidth="1"/>
    <col min="8451" max="8451" width="15.42578125" style="318" customWidth="1"/>
    <col min="8452" max="8452" width="16.42578125" style="318" customWidth="1"/>
    <col min="8453" max="8453" width="16.140625" style="318" customWidth="1"/>
    <col min="8454" max="8454" width="13.7109375" style="318" customWidth="1"/>
    <col min="8455" max="8455" width="18.85546875" style="318" customWidth="1"/>
    <col min="8456" max="8456" width="15.7109375" style="318" customWidth="1"/>
    <col min="8457" max="8458" width="16.5703125" style="318" customWidth="1"/>
    <col min="8459" max="8459" width="14.85546875" style="318" bestFit="1" customWidth="1"/>
    <col min="8460" max="8460" width="13.42578125" style="318" customWidth="1"/>
    <col min="8461" max="8461" width="14.7109375" style="318" customWidth="1"/>
    <col min="8462" max="8462" width="14.7109375" style="318" bestFit="1" customWidth="1"/>
    <col min="8463" max="8469" width="14.42578125" style="318" customWidth="1"/>
    <col min="8470" max="8470" width="14.85546875" style="318" bestFit="1" customWidth="1"/>
    <col min="8471" max="8471" width="11.7109375" style="318" bestFit="1" customWidth="1"/>
    <col min="8472" max="8704" width="9.140625" style="318"/>
    <col min="8705" max="8705" width="8.42578125" style="318" customWidth="1"/>
    <col min="8706" max="8706" width="14.42578125" style="318" customWidth="1"/>
    <col min="8707" max="8707" width="15.42578125" style="318" customWidth="1"/>
    <col min="8708" max="8708" width="16.42578125" style="318" customWidth="1"/>
    <col min="8709" max="8709" width="16.140625" style="318" customWidth="1"/>
    <col min="8710" max="8710" width="13.7109375" style="318" customWidth="1"/>
    <col min="8711" max="8711" width="18.85546875" style="318" customWidth="1"/>
    <col min="8712" max="8712" width="15.7109375" style="318" customWidth="1"/>
    <col min="8713" max="8714" width="16.5703125" style="318" customWidth="1"/>
    <col min="8715" max="8715" width="14.85546875" style="318" bestFit="1" customWidth="1"/>
    <col min="8716" max="8716" width="13.42578125" style="318" customWidth="1"/>
    <col min="8717" max="8717" width="14.7109375" style="318" customWidth="1"/>
    <col min="8718" max="8718" width="14.7109375" style="318" bestFit="1" customWidth="1"/>
    <col min="8719" max="8725" width="14.42578125" style="318" customWidth="1"/>
    <col min="8726" max="8726" width="14.85546875" style="318" bestFit="1" customWidth="1"/>
    <col min="8727" max="8727" width="11.7109375" style="318" bestFit="1" customWidth="1"/>
    <col min="8728" max="8960" width="9.140625" style="318"/>
    <col min="8961" max="8961" width="8.42578125" style="318" customWidth="1"/>
    <col min="8962" max="8962" width="14.42578125" style="318" customWidth="1"/>
    <col min="8963" max="8963" width="15.42578125" style="318" customWidth="1"/>
    <col min="8964" max="8964" width="16.42578125" style="318" customWidth="1"/>
    <col min="8965" max="8965" width="16.140625" style="318" customWidth="1"/>
    <col min="8966" max="8966" width="13.7109375" style="318" customWidth="1"/>
    <col min="8967" max="8967" width="18.85546875" style="318" customWidth="1"/>
    <col min="8968" max="8968" width="15.7109375" style="318" customWidth="1"/>
    <col min="8969" max="8970" width="16.5703125" style="318" customWidth="1"/>
    <col min="8971" max="8971" width="14.85546875" style="318" bestFit="1" customWidth="1"/>
    <col min="8972" max="8972" width="13.42578125" style="318" customWidth="1"/>
    <col min="8973" max="8973" width="14.7109375" style="318" customWidth="1"/>
    <col min="8974" max="8974" width="14.7109375" style="318" bestFit="1" customWidth="1"/>
    <col min="8975" max="8981" width="14.42578125" style="318" customWidth="1"/>
    <col min="8982" max="8982" width="14.85546875" style="318" bestFit="1" customWidth="1"/>
    <col min="8983" max="8983" width="11.7109375" style="318" bestFit="1" customWidth="1"/>
    <col min="8984" max="9216" width="9.140625" style="318"/>
    <col min="9217" max="9217" width="8.42578125" style="318" customWidth="1"/>
    <col min="9218" max="9218" width="14.42578125" style="318" customWidth="1"/>
    <col min="9219" max="9219" width="15.42578125" style="318" customWidth="1"/>
    <col min="9220" max="9220" width="16.42578125" style="318" customWidth="1"/>
    <col min="9221" max="9221" width="16.140625" style="318" customWidth="1"/>
    <col min="9222" max="9222" width="13.7109375" style="318" customWidth="1"/>
    <col min="9223" max="9223" width="18.85546875" style="318" customWidth="1"/>
    <col min="9224" max="9224" width="15.7109375" style="318" customWidth="1"/>
    <col min="9225" max="9226" width="16.5703125" style="318" customWidth="1"/>
    <col min="9227" max="9227" width="14.85546875" style="318" bestFit="1" customWidth="1"/>
    <col min="9228" max="9228" width="13.42578125" style="318" customWidth="1"/>
    <col min="9229" max="9229" width="14.7109375" style="318" customWidth="1"/>
    <col min="9230" max="9230" width="14.7109375" style="318" bestFit="1" customWidth="1"/>
    <col min="9231" max="9237" width="14.42578125" style="318" customWidth="1"/>
    <col min="9238" max="9238" width="14.85546875" style="318" bestFit="1" customWidth="1"/>
    <col min="9239" max="9239" width="11.7109375" style="318" bestFit="1" customWidth="1"/>
    <col min="9240" max="9472" width="9.140625" style="318"/>
    <col min="9473" max="9473" width="8.42578125" style="318" customWidth="1"/>
    <col min="9474" max="9474" width="14.42578125" style="318" customWidth="1"/>
    <col min="9475" max="9475" width="15.42578125" style="318" customWidth="1"/>
    <col min="9476" max="9476" width="16.42578125" style="318" customWidth="1"/>
    <col min="9477" max="9477" width="16.140625" style="318" customWidth="1"/>
    <col min="9478" max="9478" width="13.7109375" style="318" customWidth="1"/>
    <col min="9479" max="9479" width="18.85546875" style="318" customWidth="1"/>
    <col min="9480" max="9480" width="15.7109375" style="318" customWidth="1"/>
    <col min="9481" max="9482" width="16.5703125" style="318" customWidth="1"/>
    <col min="9483" max="9483" width="14.85546875" style="318" bestFit="1" customWidth="1"/>
    <col min="9484" max="9484" width="13.42578125" style="318" customWidth="1"/>
    <col min="9485" max="9485" width="14.7109375" style="318" customWidth="1"/>
    <col min="9486" max="9486" width="14.7109375" style="318" bestFit="1" customWidth="1"/>
    <col min="9487" max="9493" width="14.42578125" style="318" customWidth="1"/>
    <col min="9494" max="9494" width="14.85546875" style="318" bestFit="1" customWidth="1"/>
    <col min="9495" max="9495" width="11.7109375" style="318" bestFit="1" customWidth="1"/>
    <col min="9496" max="9728" width="9.140625" style="318"/>
    <col min="9729" max="9729" width="8.42578125" style="318" customWidth="1"/>
    <col min="9730" max="9730" width="14.42578125" style="318" customWidth="1"/>
    <col min="9731" max="9731" width="15.42578125" style="318" customWidth="1"/>
    <col min="9732" max="9732" width="16.42578125" style="318" customWidth="1"/>
    <col min="9733" max="9733" width="16.140625" style="318" customWidth="1"/>
    <col min="9734" max="9734" width="13.7109375" style="318" customWidth="1"/>
    <col min="9735" max="9735" width="18.85546875" style="318" customWidth="1"/>
    <col min="9736" max="9736" width="15.7109375" style="318" customWidth="1"/>
    <col min="9737" max="9738" width="16.5703125" style="318" customWidth="1"/>
    <col min="9739" max="9739" width="14.85546875" style="318" bestFit="1" customWidth="1"/>
    <col min="9740" max="9740" width="13.42578125" style="318" customWidth="1"/>
    <col min="9741" max="9741" width="14.7109375" style="318" customWidth="1"/>
    <col min="9742" max="9742" width="14.7109375" style="318" bestFit="1" customWidth="1"/>
    <col min="9743" max="9749" width="14.42578125" style="318" customWidth="1"/>
    <col min="9750" max="9750" width="14.85546875" style="318" bestFit="1" customWidth="1"/>
    <col min="9751" max="9751" width="11.7109375" style="318" bestFit="1" customWidth="1"/>
    <col min="9752" max="9984" width="9.140625" style="318"/>
    <col min="9985" max="9985" width="8.42578125" style="318" customWidth="1"/>
    <col min="9986" max="9986" width="14.42578125" style="318" customWidth="1"/>
    <col min="9987" max="9987" width="15.42578125" style="318" customWidth="1"/>
    <col min="9988" max="9988" width="16.42578125" style="318" customWidth="1"/>
    <col min="9989" max="9989" width="16.140625" style="318" customWidth="1"/>
    <col min="9990" max="9990" width="13.7109375" style="318" customWidth="1"/>
    <col min="9991" max="9991" width="18.85546875" style="318" customWidth="1"/>
    <col min="9992" max="9992" width="15.7109375" style="318" customWidth="1"/>
    <col min="9993" max="9994" width="16.5703125" style="318" customWidth="1"/>
    <col min="9995" max="9995" width="14.85546875" style="318" bestFit="1" customWidth="1"/>
    <col min="9996" max="9996" width="13.42578125" style="318" customWidth="1"/>
    <col min="9997" max="9997" width="14.7109375" style="318" customWidth="1"/>
    <col min="9998" max="9998" width="14.7109375" style="318" bestFit="1" customWidth="1"/>
    <col min="9999" max="10005" width="14.42578125" style="318" customWidth="1"/>
    <col min="10006" max="10006" width="14.85546875" style="318" bestFit="1" customWidth="1"/>
    <col min="10007" max="10007" width="11.7109375" style="318" bestFit="1" customWidth="1"/>
    <col min="10008" max="10240" width="9.140625" style="318"/>
    <col min="10241" max="10241" width="8.42578125" style="318" customWidth="1"/>
    <col min="10242" max="10242" width="14.42578125" style="318" customWidth="1"/>
    <col min="10243" max="10243" width="15.42578125" style="318" customWidth="1"/>
    <col min="10244" max="10244" width="16.42578125" style="318" customWidth="1"/>
    <col min="10245" max="10245" width="16.140625" style="318" customWidth="1"/>
    <col min="10246" max="10246" width="13.7109375" style="318" customWidth="1"/>
    <col min="10247" max="10247" width="18.85546875" style="318" customWidth="1"/>
    <col min="10248" max="10248" width="15.7109375" style="318" customWidth="1"/>
    <col min="10249" max="10250" width="16.5703125" style="318" customWidth="1"/>
    <col min="10251" max="10251" width="14.85546875" style="318" bestFit="1" customWidth="1"/>
    <col min="10252" max="10252" width="13.42578125" style="318" customWidth="1"/>
    <col min="10253" max="10253" width="14.7109375" style="318" customWidth="1"/>
    <col min="10254" max="10254" width="14.7109375" style="318" bestFit="1" customWidth="1"/>
    <col min="10255" max="10261" width="14.42578125" style="318" customWidth="1"/>
    <col min="10262" max="10262" width="14.85546875" style="318" bestFit="1" customWidth="1"/>
    <col min="10263" max="10263" width="11.7109375" style="318" bestFit="1" customWidth="1"/>
    <col min="10264" max="10496" width="9.140625" style="318"/>
    <col min="10497" max="10497" width="8.42578125" style="318" customWidth="1"/>
    <col min="10498" max="10498" width="14.42578125" style="318" customWidth="1"/>
    <col min="10499" max="10499" width="15.42578125" style="318" customWidth="1"/>
    <col min="10500" max="10500" width="16.42578125" style="318" customWidth="1"/>
    <col min="10501" max="10501" width="16.140625" style="318" customWidth="1"/>
    <col min="10502" max="10502" width="13.7109375" style="318" customWidth="1"/>
    <col min="10503" max="10503" width="18.85546875" style="318" customWidth="1"/>
    <col min="10504" max="10504" width="15.7109375" style="318" customWidth="1"/>
    <col min="10505" max="10506" width="16.5703125" style="318" customWidth="1"/>
    <col min="10507" max="10507" width="14.85546875" style="318" bestFit="1" customWidth="1"/>
    <col min="10508" max="10508" width="13.42578125" style="318" customWidth="1"/>
    <col min="10509" max="10509" width="14.7109375" style="318" customWidth="1"/>
    <col min="10510" max="10510" width="14.7109375" style="318" bestFit="1" customWidth="1"/>
    <col min="10511" max="10517" width="14.42578125" style="318" customWidth="1"/>
    <col min="10518" max="10518" width="14.85546875" style="318" bestFit="1" customWidth="1"/>
    <col min="10519" max="10519" width="11.7109375" style="318" bestFit="1" customWidth="1"/>
    <col min="10520" max="10752" width="9.140625" style="318"/>
    <col min="10753" max="10753" width="8.42578125" style="318" customWidth="1"/>
    <col min="10754" max="10754" width="14.42578125" style="318" customWidth="1"/>
    <col min="10755" max="10755" width="15.42578125" style="318" customWidth="1"/>
    <col min="10756" max="10756" width="16.42578125" style="318" customWidth="1"/>
    <col min="10757" max="10757" width="16.140625" style="318" customWidth="1"/>
    <col min="10758" max="10758" width="13.7109375" style="318" customWidth="1"/>
    <col min="10759" max="10759" width="18.85546875" style="318" customWidth="1"/>
    <col min="10760" max="10760" width="15.7109375" style="318" customWidth="1"/>
    <col min="10761" max="10762" width="16.5703125" style="318" customWidth="1"/>
    <col min="10763" max="10763" width="14.85546875" style="318" bestFit="1" customWidth="1"/>
    <col min="10764" max="10764" width="13.42578125" style="318" customWidth="1"/>
    <col min="10765" max="10765" width="14.7109375" style="318" customWidth="1"/>
    <col min="10766" max="10766" width="14.7109375" style="318" bestFit="1" customWidth="1"/>
    <col min="10767" max="10773" width="14.42578125" style="318" customWidth="1"/>
    <col min="10774" max="10774" width="14.85546875" style="318" bestFit="1" customWidth="1"/>
    <col min="10775" max="10775" width="11.7109375" style="318" bestFit="1" customWidth="1"/>
    <col min="10776" max="11008" width="9.140625" style="318"/>
    <col min="11009" max="11009" width="8.42578125" style="318" customWidth="1"/>
    <col min="11010" max="11010" width="14.42578125" style="318" customWidth="1"/>
    <col min="11011" max="11011" width="15.42578125" style="318" customWidth="1"/>
    <col min="11012" max="11012" width="16.42578125" style="318" customWidth="1"/>
    <col min="11013" max="11013" width="16.140625" style="318" customWidth="1"/>
    <col min="11014" max="11014" width="13.7109375" style="318" customWidth="1"/>
    <col min="11015" max="11015" width="18.85546875" style="318" customWidth="1"/>
    <col min="11016" max="11016" width="15.7109375" style="318" customWidth="1"/>
    <col min="11017" max="11018" width="16.5703125" style="318" customWidth="1"/>
    <col min="11019" max="11019" width="14.85546875" style="318" bestFit="1" customWidth="1"/>
    <col min="11020" max="11020" width="13.42578125" style="318" customWidth="1"/>
    <col min="11021" max="11021" width="14.7109375" style="318" customWidth="1"/>
    <col min="11022" max="11022" width="14.7109375" style="318" bestFit="1" customWidth="1"/>
    <col min="11023" max="11029" width="14.42578125" style="318" customWidth="1"/>
    <col min="11030" max="11030" width="14.85546875" style="318" bestFit="1" customWidth="1"/>
    <col min="11031" max="11031" width="11.7109375" style="318" bestFit="1" customWidth="1"/>
    <col min="11032" max="11264" width="9.140625" style="318"/>
    <col min="11265" max="11265" width="8.42578125" style="318" customWidth="1"/>
    <col min="11266" max="11266" width="14.42578125" style="318" customWidth="1"/>
    <col min="11267" max="11267" width="15.42578125" style="318" customWidth="1"/>
    <col min="11268" max="11268" width="16.42578125" style="318" customWidth="1"/>
    <col min="11269" max="11269" width="16.140625" style="318" customWidth="1"/>
    <col min="11270" max="11270" width="13.7109375" style="318" customWidth="1"/>
    <col min="11271" max="11271" width="18.85546875" style="318" customWidth="1"/>
    <col min="11272" max="11272" width="15.7109375" style="318" customWidth="1"/>
    <col min="11273" max="11274" width="16.5703125" style="318" customWidth="1"/>
    <col min="11275" max="11275" width="14.85546875" style="318" bestFit="1" customWidth="1"/>
    <col min="11276" max="11276" width="13.42578125" style="318" customWidth="1"/>
    <col min="11277" max="11277" width="14.7109375" style="318" customWidth="1"/>
    <col min="11278" max="11278" width="14.7109375" style="318" bestFit="1" customWidth="1"/>
    <col min="11279" max="11285" width="14.42578125" style="318" customWidth="1"/>
    <col min="11286" max="11286" width="14.85546875" style="318" bestFit="1" customWidth="1"/>
    <col min="11287" max="11287" width="11.7109375" style="318" bestFit="1" customWidth="1"/>
    <col min="11288" max="11520" width="9.140625" style="318"/>
    <col min="11521" max="11521" width="8.42578125" style="318" customWidth="1"/>
    <col min="11522" max="11522" width="14.42578125" style="318" customWidth="1"/>
    <col min="11523" max="11523" width="15.42578125" style="318" customWidth="1"/>
    <col min="11524" max="11524" width="16.42578125" style="318" customWidth="1"/>
    <col min="11525" max="11525" width="16.140625" style="318" customWidth="1"/>
    <col min="11526" max="11526" width="13.7109375" style="318" customWidth="1"/>
    <col min="11527" max="11527" width="18.85546875" style="318" customWidth="1"/>
    <col min="11528" max="11528" width="15.7109375" style="318" customWidth="1"/>
    <col min="11529" max="11530" width="16.5703125" style="318" customWidth="1"/>
    <col min="11531" max="11531" width="14.85546875" style="318" bestFit="1" customWidth="1"/>
    <col min="11532" max="11532" width="13.42578125" style="318" customWidth="1"/>
    <col min="11533" max="11533" width="14.7109375" style="318" customWidth="1"/>
    <col min="11534" max="11534" width="14.7109375" style="318" bestFit="1" customWidth="1"/>
    <col min="11535" max="11541" width="14.42578125" style="318" customWidth="1"/>
    <col min="11542" max="11542" width="14.85546875" style="318" bestFit="1" customWidth="1"/>
    <col min="11543" max="11543" width="11.7109375" style="318" bestFit="1" customWidth="1"/>
    <col min="11544" max="11776" width="9.140625" style="318"/>
    <col min="11777" max="11777" width="8.42578125" style="318" customWidth="1"/>
    <col min="11778" max="11778" width="14.42578125" style="318" customWidth="1"/>
    <col min="11779" max="11779" width="15.42578125" style="318" customWidth="1"/>
    <col min="11780" max="11780" width="16.42578125" style="318" customWidth="1"/>
    <col min="11781" max="11781" width="16.140625" style="318" customWidth="1"/>
    <col min="11782" max="11782" width="13.7109375" style="318" customWidth="1"/>
    <col min="11783" max="11783" width="18.85546875" style="318" customWidth="1"/>
    <col min="11784" max="11784" width="15.7109375" style="318" customWidth="1"/>
    <col min="11785" max="11786" width="16.5703125" style="318" customWidth="1"/>
    <col min="11787" max="11787" width="14.85546875" style="318" bestFit="1" customWidth="1"/>
    <col min="11788" max="11788" width="13.42578125" style="318" customWidth="1"/>
    <col min="11789" max="11789" width="14.7109375" style="318" customWidth="1"/>
    <col min="11790" max="11790" width="14.7109375" style="318" bestFit="1" customWidth="1"/>
    <col min="11791" max="11797" width="14.42578125" style="318" customWidth="1"/>
    <col min="11798" max="11798" width="14.85546875" style="318" bestFit="1" customWidth="1"/>
    <col min="11799" max="11799" width="11.7109375" style="318" bestFit="1" customWidth="1"/>
    <col min="11800" max="12032" width="9.140625" style="318"/>
    <col min="12033" max="12033" width="8.42578125" style="318" customWidth="1"/>
    <col min="12034" max="12034" width="14.42578125" style="318" customWidth="1"/>
    <col min="12035" max="12035" width="15.42578125" style="318" customWidth="1"/>
    <col min="12036" max="12036" width="16.42578125" style="318" customWidth="1"/>
    <col min="12037" max="12037" width="16.140625" style="318" customWidth="1"/>
    <col min="12038" max="12038" width="13.7109375" style="318" customWidth="1"/>
    <col min="12039" max="12039" width="18.85546875" style="318" customWidth="1"/>
    <col min="12040" max="12040" width="15.7109375" style="318" customWidth="1"/>
    <col min="12041" max="12042" width="16.5703125" style="318" customWidth="1"/>
    <col min="12043" max="12043" width="14.85546875" style="318" bestFit="1" customWidth="1"/>
    <col min="12044" max="12044" width="13.42578125" style="318" customWidth="1"/>
    <col min="12045" max="12045" width="14.7109375" style="318" customWidth="1"/>
    <col min="12046" max="12046" width="14.7109375" style="318" bestFit="1" customWidth="1"/>
    <col min="12047" max="12053" width="14.42578125" style="318" customWidth="1"/>
    <col min="12054" max="12054" width="14.85546875" style="318" bestFit="1" customWidth="1"/>
    <col min="12055" max="12055" width="11.7109375" style="318" bestFit="1" customWidth="1"/>
    <col min="12056" max="12288" width="9.140625" style="318"/>
    <col min="12289" max="12289" width="8.42578125" style="318" customWidth="1"/>
    <col min="12290" max="12290" width="14.42578125" style="318" customWidth="1"/>
    <col min="12291" max="12291" width="15.42578125" style="318" customWidth="1"/>
    <col min="12292" max="12292" width="16.42578125" style="318" customWidth="1"/>
    <col min="12293" max="12293" width="16.140625" style="318" customWidth="1"/>
    <col min="12294" max="12294" width="13.7109375" style="318" customWidth="1"/>
    <col min="12295" max="12295" width="18.85546875" style="318" customWidth="1"/>
    <col min="12296" max="12296" width="15.7109375" style="318" customWidth="1"/>
    <col min="12297" max="12298" width="16.5703125" style="318" customWidth="1"/>
    <col min="12299" max="12299" width="14.85546875" style="318" bestFit="1" customWidth="1"/>
    <col min="12300" max="12300" width="13.42578125" style="318" customWidth="1"/>
    <col min="12301" max="12301" width="14.7109375" style="318" customWidth="1"/>
    <col min="12302" max="12302" width="14.7109375" style="318" bestFit="1" customWidth="1"/>
    <col min="12303" max="12309" width="14.42578125" style="318" customWidth="1"/>
    <col min="12310" max="12310" width="14.85546875" style="318" bestFit="1" customWidth="1"/>
    <col min="12311" max="12311" width="11.7109375" style="318" bestFit="1" customWidth="1"/>
    <col min="12312" max="12544" width="9.140625" style="318"/>
    <col min="12545" max="12545" width="8.42578125" style="318" customWidth="1"/>
    <col min="12546" max="12546" width="14.42578125" style="318" customWidth="1"/>
    <col min="12547" max="12547" width="15.42578125" style="318" customWidth="1"/>
    <col min="12548" max="12548" width="16.42578125" style="318" customWidth="1"/>
    <col min="12549" max="12549" width="16.140625" style="318" customWidth="1"/>
    <col min="12550" max="12550" width="13.7109375" style="318" customWidth="1"/>
    <col min="12551" max="12551" width="18.85546875" style="318" customWidth="1"/>
    <col min="12552" max="12552" width="15.7109375" style="318" customWidth="1"/>
    <col min="12553" max="12554" width="16.5703125" style="318" customWidth="1"/>
    <col min="12555" max="12555" width="14.85546875" style="318" bestFit="1" customWidth="1"/>
    <col min="12556" max="12556" width="13.42578125" style="318" customWidth="1"/>
    <col min="12557" max="12557" width="14.7109375" style="318" customWidth="1"/>
    <col min="12558" max="12558" width="14.7109375" style="318" bestFit="1" customWidth="1"/>
    <col min="12559" max="12565" width="14.42578125" style="318" customWidth="1"/>
    <col min="12566" max="12566" width="14.85546875" style="318" bestFit="1" customWidth="1"/>
    <col min="12567" max="12567" width="11.7109375" style="318" bestFit="1" customWidth="1"/>
    <col min="12568" max="12800" width="9.140625" style="318"/>
    <col min="12801" max="12801" width="8.42578125" style="318" customWidth="1"/>
    <col min="12802" max="12802" width="14.42578125" style="318" customWidth="1"/>
    <col min="12803" max="12803" width="15.42578125" style="318" customWidth="1"/>
    <col min="12804" max="12804" width="16.42578125" style="318" customWidth="1"/>
    <col min="12805" max="12805" width="16.140625" style="318" customWidth="1"/>
    <col min="12806" max="12806" width="13.7109375" style="318" customWidth="1"/>
    <col min="12807" max="12807" width="18.85546875" style="318" customWidth="1"/>
    <col min="12808" max="12808" width="15.7109375" style="318" customWidth="1"/>
    <col min="12809" max="12810" width="16.5703125" style="318" customWidth="1"/>
    <col min="12811" max="12811" width="14.85546875" style="318" bestFit="1" customWidth="1"/>
    <col min="12812" max="12812" width="13.42578125" style="318" customWidth="1"/>
    <col min="12813" max="12813" width="14.7109375" style="318" customWidth="1"/>
    <col min="12814" max="12814" width="14.7109375" style="318" bestFit="1" customWidth="1"/>
    <col min="12815" max="12821" width="14.42578125" style="318" customWidth="1"/>
    <col min="12822" max="12822" width="14.85546875" style="318" bestFit="1" customWidth="1"/>
    <col min="12823" max="12823" width="11.7109375" style="318" bestFit="1" customWidth="1"/>
    <col min="12824" max="13056" width="9.140625" style="318"/>
    <col min="13057" max="13057" width="8.42578125" style="318" customWidth="1"/>
    <col min="13058" max="13058" width="14.42578125" style="318" customWidth="1"/>
    <col min="13059" max="13059" width="15.42578125" style="318" customWidth="1"/>
    <col min="13060" max="13060" width="16.42578125" style="318" customWidth="1"/>
    <col min="13061" max="13061" width="16.140625" style="318" customWidth="1"/>
    <col min="13062" max="13062" width="13.7109375" style="318" customWidth="1"/>
    <col min="13063" max="13063" width="18.85546875" style="318" customWidth="1"/>
    <col min="13064" max="13064" width="15.7109375" style="318" customWidth="1"/>
    <col min="13065" max="13066" width="16.5703125" style="318" customWidth="1"/>
    <col min="13067" max="13067" width="14.85546875" style="318" bestFit="1" customWidth="1"/>
    <col min="13068" max="13068" width="13.42578125" style="318" customWidth="1"/>
    <col min="13069" max="13069" width="14.7109375" style="318" customWidth="1"/>
    <col min="13070" max="13070" width="14.7109375" style="318" bestFit="1" customWidth="1"/>
    <col min="13071" max="13077" width="14.42578125" style="318" customWidth="1"/>
    <col min="13078" max="13078" width="14.85546875" style="318" bestFit="1" customWidth="1"/>
    <col min="13079" max="13079" width="11.7109375" style="318" bestFit="1" customWidth="1"/>
    <col min="13080" max="13312" width="9.140625" style="318"/>
    <col min="13313" max="13313" width="8.42578125" style="318" customWidth="1"/>
    <col min="13314" max="13314" width="14.42578125" style="318" customWidth="1"/>
    <col min="13315" max="13315" width="15.42578125" style="318" customWidth="1"/>
    <col min="13316" max="13316" width="16.42578125" style="318" customWidth="1"/>
    <col min="13317" max="13317" width="16.140625" style="318" customWidth="1"/>
    <col min="13318" max="13318" width="13.7109375" style="318" customWidth="1"/>
    <col min="13319" max="13319" width="18.85546875" style="318" customWidth="1"/>
    <col min="13320" max="13320" width="15.7109375" style="318" customWidth="1"/>
    <col min="13321" max="13322" width="16.5703125" style="318" customWidth="1"/>
    <col min="13323" max="13323" width="14.85546875" style="318" bestFit="1" customWidth="1"/>
    <col min="13324" max="13324" width="13.42578125" style="318" customWidth="1"/>
    <col min="13325" max="13325" width="14.7109375" style="318" customWidth="1"/>
    <col min="13326" max="13326" width="14.7109375" style="318" bestFit="1" customWidth="1"/>
    <col min="13327" max="13333" width="14.42578125" style="318" customWidth="1"/>
    <col min="13334" max="13334" width="14.85546875" style="318" bestFit="1" customWidth="1"/>
    <col min="13335" max="13335" width="11.7109375" style="318" bestFit="1" customWidth="1"/>
    <col min="13336" max="13568" width="9.140625" style="318"/>
    <col min="13569" max="13569" width="8.42578125" style="318" customWidth="1"/>
    <col min="13570" max="13570" width="14.42578125" style="318" customWidth="1"/>
    <col min="13571" max="13571" width="15.42578125" style="318" customWidth="1"/>
    <col min="13572" max="13572" width="16.42578125" style="318" customWidth="1"/>
    <col min="13573" max="13573" width="16.140625" style="318" customWidth="1"/>
    <col min="13574" max="13574" width="13.7109375" style="318" customWidth="1"/>
    <col min="13575" max="13575" width="18.85546875" style="318" customWidth="1"/>
    <col min="13576" max="13576" width="15.7109375" style="318" customWidth="1"/>
    <col min="13577" max="13578" width="16.5703125" style="318" customWidth="1"/>
    <col min="13579" max="13579" width="14.85546875" style="318" bestFit="1" customWidth="1"/>
    <col min="13580" max="13580" width="13.42578125" style="318" customWidth="1"/>
    <col min="13581" max="13581" width="14.7109375" style="318" customWidth="1"/>
    <col min="13582" max="13582" width="14.7109375" style="318" bestFit="1" customWidth="1"/>
    <col min="13583" max="13589" width="14.42578125" style="318" customWidth="1"/>
    <col min="13590" max="13590" width="14.85546875" style="318" bestFit="1" customWidth="1"/>
    <col min="13591" max="13591" width="11.7109375" style="318" bestFit="1" customWidth="1"/>
    <col min="13592" max="13824" width="9.140625" style="318"/>
    <col min="13825" max="13825" width="8.42578125" style="318" customWidth="1"/>
    <col min="13826" max="13826" width="14.42578125" style="318" customWidth="1"/>
    <col min="13827" max="13827" width="15.42578125" style="318" customWidth="1"/>
    <col min="13828" max="13828" width="16.42578125" style="318" customWidth="1"/>
    <col min="13829" max="13829" width="16.140625" style="318" customWidth="1"/>
    <col min="13830" max="13830" width="13.7109375" style="318" customWidth="1"/>
    <col min="13831" max="13831" width="18.85546875" style="318" customWidth="1"/>
    <col min="13832" max="13832" width="15.7109375" style="318" customWidth="1"/>
    <col min="13833" max="13834" width="16.5703125" style="318" customWidth="1"/>
    <col min="13835" max="13835" width="14.85546875" style="318" bestFit="1" customWidth="1"/>
    <col min="13836" max="13836" width="13.42578125" style="318" customWidth="1"/>
    <col min="13837" max="13837" width="14.7109375" style="318" customWidth="1"/>
    <col min="13838" max="13838" width="14.7109375" style="318" bestFit="1" customWidth="1"/>
    <col min="13839" max="13845" width="14.42578125" style="318" customWidth="1"/>
    <col min="13846" max="13846" width="14.85546875" style="318" bestFit="1" customWidth="1"/>
    <col min="13847" max="13847" width="11.7109375" style="318" bestFit="1" customWidth="1"/>
    <col min="13848" max="14080" width="9.140625" style="318"/>
    <col min="14081" max="14081" width="8.42578125" style="318" customWidth="1"/>
    <col min="14082" max="14082" width="14.42578125" style="318" customWidth="1"/>
    <col min="14083" max="14083" width="15.42578125" style="318" customWidth="1"/>
    <col min="14084" max="14084" width="16.42578125" style="318" customWidth="1"/>
    <col min="14085" max="14085" width="16.140625" style="318" customWidth="1"/>
    <col min="14086" max="14086" width="13.7109375" style="318" customWidth="1"/>
    <col min="14087" max="14087" width="18.85546875" style="318" customWidth="1"/>
    <col min="14088" max="14088" width="15.7109375" style="318" customWidth="1"/>
    <col min="14089" max="14090" width="16.5703125" style="318" customWidth="1"/>
    <col min="14091" max="14091" width="14.85546875" style="318" bestFit="1" customWidth="1"/>
    <col min="14092" max="14092" width="13.42578125" style="318" customWidth="1"/>
    <col min="14093" max="14093" width="14.7109375" style="318" customWidth="1"/>
    <col min="14094" max="14094" width="14.7109375" style="318" bestFit="1" customWidth="1"/>
    <col min="14095" max="14101" width="14.42578125" style="318" customWidth="1"/>
    <col min="14102" max="14102" width="14.85546875" style="318" bestFit="1" customWidth="1"/>
    <col min="14103" max="14103" width="11.7109375" style="318" bestFit="1" customWidth="1"/>
    <col min="14104" max="14336" width="9.140625" style="318"/>
    <col min="14337" max="14337" width="8.42578125" style="318" customWidth="1"/>
    <col min="14338" max="14338" width="14.42578125" style="318" customWidth="1"/>
    <col min="14339" max="14339" width="15.42578125" style="318" customWidth="1"/>
    <col min="14340" max="14340" width="16.42578125" style="318" customWidth="1"/>
    <col min="14341" max="14341" width="16.140625" style="318" customWidth="1"/>
    <col min="14342" max="14342" width="13.7109375" style="318" customWidth="1"/>
    <col min="14343" max="14343" width="18.85546875" style="318" customWidth="1"/>
    <col min="14344" max="14344" width="15.7109375" style="318" customWidth="1"/>
    <col min="14345" max="14346" width="16.5703125" style="318" customWidth="1"/>
    <col min="14347" max="14347" width="14.85546875" style="318" bestFit="1" customWidth="1"/>
    <col min="14348" max="14348" width="13.42578125" style="318" customWidth="1"/>
    <col min="14349" max="14349" width="14.7109375" style="318" customWidth="1"/>
    <col min="14350" max="14350" width="14.7109375" style="318" bestFit="1" customWidth="1"/>
    <col min="14351" max="14357" width="14.42578125" style="318" customWidth="1"/>
    <col min="14358" max="14358" width="14.85546875" style="318" bestFit="1" customWidth="1"/>
    <col min="14359" max="14359" width="11.7109375" style="318" bestFit="1" customWidth="1"/>
    <col min="14360" max="14592" width="9.140625" style="318"/>
    <col min="14593" max="14593" width="8.42578125" style="318" customWidth="1"/>
    <col min="14594" max="14594" width="14.42578125" style="318" customWidth="1"/>
    <col min="14595" max="14595" width="15.42578125" style="318" customWidth="1"/>
    <col min="14596" max="14596" width="16.42578125" style="318" customWidth="1"/>
    <col min="14597" max="14597" width="16.140625" style="318" customWidth="1"/>
    <col min="14598" max="14598" width="13.7109375" style="318" customWidth="1"/>
    <col min="14599" max="14599" width="18.85546875" style="318" customWidth="1"/>
    <col min="14600" max="14600" width="15.7109375" style="318" customWidth="1"/>
    <col min="14601" max="14602" width="16.5703125" style="318" customWidth="1"/>
    <col min="14603" max="14603" width="14.85546875" style="318" bestFit="1" customWidth="1"/>
    <col min="14604" max="14604" width="13.42578125" style="318" customWidth="1"/>
    <col min="14605" max="14605" width="14.7109375" style="318" customWidth="1"/>
    <col min="14606" max="14606" width="14.7109375" style="318" bestFit="1" customWidth="1"/>
    <col min="14607" max="14613" width="14.42578125" style="318" customWidth="1"/>
    <col min="14614" max="14614" width="14.85546875" style="318" bestFit="1" customWidth="1"/>
    <col min="14615" max="14615" width="11.7109375" style="318" bestFit="1" customWidth="1"/>
    <col min="14616" max="14848" width="9.140625" style="318"/>
    <col min="14849" max="14849" width="8.42578125" style="318" customWidth="1"/>
    <col min="14850" max="14850" width="14.42578125" style="318" customWidth="1"/>
    <col min="14851" max="14851" width="15.42578125" style="318" customWidth="1"/>
    <col min="14852" max="14852" width="16.42578125" style="318" customWidth="1"/>
    <col min="14853" max="14853" width="16.140625" style="318" customWidth="1"/>
    <col min="14854" max="14854" width="13.7109375" style="318" customWidth="1"/>
    <col min="14855" max="14855" width="18.85546875" style="318" customWidth="1"/>
    <col min="14856" max="14856" width="15.7109375" style="318" customWidth="1"/>
    <col min="14857" max="14858" width="16.5703125" style="318" customWidth="1"/>
    <col min="14859" max="14859" width="14.85546875" style="318" bestFit="1" customWidth="1"/>
    <col min="14860" max="14860" width="13.42578125" style="318" customWidth="1"/>
    <col min="14861" max="14861" width="14.7109375" style="318" customWidth="1"/>
    <col min="14862" max="14862" width="14.7109375" style="318" bestFit="1" customWidth="1"/>
    <col min="14863" max="14869" width="14.42578125" style="318" customWidth="1"/>
    <col min="14870" max="14870" width="14.85546875" style="318" bestFit="1" customWidth="1"/>
    <col min="14871" max="14871" width="11.7109375" style="318" bestFit="1" customWidth="1"/>
    <col min="14872" max="15104" width="9.140625" style="318"/>
    <col min="15105" max="15105" width="8.42578125" style="318" customWidth="1"/>
    <col min="15106" max="15106" width="14.42578125" style="318" customWidth="1"/>
    <col min="15107" max="15107" width="15.42578125" style="318" customWidth="1"/>
    <col min="15108" max="15108" width="16.42578125" style="318" customWidth="1"/>
    <col min="15109" max="15109" width="16.140625" style="318" customWidth="1"/>
    <col min="15110" max="15110" width="13.7109375" style="318" customWidth="1"/>
    <col min="15111" max="15111" width="18.85546875" style="318" customWidth="1"/>
    <col min="15112" max="15112" width="15.7109375" style="318" customWidth="1"/>
    <col min="15113" max="15114" width="16.5703125" style="318" customWidth="1"/>
    <col min="15115" max="15115" width="14.85546875" style="318" bestFit="1" customWidth="1"/>
    <col min="15116" max="15116" width="13.42578125" style="318" customWidth="1"/>
    <col min="15117" max="15117" width="14.7109375" style="318" customWidth="1"/>
    <col min="15118" max="15118" width="14.7109375" style="318" bestFit="1" customWidth="1"/>
    <col min="15119" max="15125" width="14.42578125" style="318" customWidth="1"/>
    <col min="15126" max="15126" width="14.85546875" style="318" bestFit="1" customWidth="1"/>
    <col min="15127" max="15127" width="11.7109375" style="318" bestFit="1" customWidth="1"/>
    <col min="15128" max="15360" width="9.140625" style="318"/>
    <col min="15361" max="15361" width="8.42578125" style="318" customWidth="1"/>
    <col min="15362" max="15362" width="14.42578125" style="318" customWidth="1"/>
    <col min="15363" max="15363" width="15.42578125" style="318" customWidth="1"/>
    <col min="15364" max="15364" width="16.42578125" style="318" customWidth="1"/>
    <col min="15365" max="15365" width="16.140625" style="318" customWidth="1"/>
    <col min="15366" max="15366" width="13.7109375" style="318" customWidth="1"/>
    <col min="15367" max="15367" width="18.85546875" style="318" customWidth="1"/>
    <col min="15368" max="15368" width="15.7109375" style="318" customWidth="1"/>
    <col min="15369" max="15370" width="16.5703125" style="318" customWidth="1"/>
    <col min="15371" max="15371" width="14.85546875" style="318" bestFit="1" customWidth="1"/>
    <col min="15372" max="15372" width="13.42578125" style="318" customWidth="1"/>
    <col min="15373" max="15373" width="14.7109375" style="318" customWidth="1"/>
    <col min="15374" max="15374" width="14.7109375" style="318" bestFit="1" customWidth="1"/>
    <col min="15375" max="15381" width="14.42578125" style="318" customWidth="1"/>
    <col min="15382" max="15382" width="14.85546875" style="318" bestFit="1" customWidth="1"/>
    <col min="15383" max="15383" width="11.7109375" style="318" bestFit="1" customWidth="1"/>
    <col min="15384" max="15616" width="9.140625" style="318"/>
    <col min="15617" max="15617" width="8.42578125" style="318" customWidth="1"/>
    <col min="15618" max="15618" width="14.42578125" style="318" customWidth="1"/>
    <col min="15619" max="15619" width="15.42578125" style="318" customWidth="1"/>
    <col min="15620" max="15620" width="16.42578125" style="318" customWidth="1"/>
    <col min="15621" max="15621" width="16.140625" style="318" customWidth="1"/>
    <col min="15622" max="15622" width="13.7109375" style="318" customWidth="1"/>
    <col min="15623" max="15623" width="18.85546875" style="318" customWidth="1"/>
    <col min="15624" max="15624" width="15.7109375" style="318" customWidth="1"/>
    <col min="15625" max="15626" width="16.5703125" style="318" customWidth="1"/>
    <col min="15627" max="15627" width="14.85546875" style="318" bestFit="1" customWidth="1"/>
    <col min="15628" max="15628" width="13.42578125" style="318" customWidth="1"/>
    <col min="15629" max="15629" width="14.7109375" style="318" customWidth="1"/>
    <col min="15630" max="15630" width="14.7109375" style="318" bestFit="1" customWidth="1"/>
    <col min="15631" max="15637" width="14.42578125" style="318" customWidth="1"/>
    <col min="15638" max="15638" width="14.85546875" style="318" bestFit="1" customWidth="1"/>
    <col min="15639" max="15639" width="11.7109375" style="318" bestFit="1" customWidth="1"/>
    <col min="15640" max="15872" width="9.140625" style="318"/>
    <col min="15873" max="15873" width="8.42578125" style="318" customWidth="1"/>
    <col min="15874" max="15874" width="14.42578125" style="318" customWidth="1"/>
    <col min="15875" max="15875" width="15.42578125" style="318" customWidth="1"/>
    <col min="15876" max="15876" width="16.42578125" style="318" customWidth="1"/>
    <col min="15877" max="15877" width="16.140625" style="318" customWidth="1"/>
    <col min="15878" max="15878" width="13.7109375" style="318" customWidth="1"/>
    <col min="15879" max="15879" width="18.85546875" style="318" customWidth="1"/>
    <col min="15880" max="15880" width="15.7109375" style="318" customWidth="1"/>
    <col min="15881" max="15882" width="16.5703125" style="318" customWidth="1"/>
    <col min="15883" max="15883" width="14.85546875" style="318" bestFit="1" customWidth="1"/>
    <col min="15884" max="15884" width="13.42578125" style="318" customWidth="1"/>
    <col min="15885" max="15885" width="14.7109375" style="318" customWidth="1"/>
    <col min="15886" max="15886" width="14.7109375" style="318" bestFit="1" customWidth="1"/>
    <col min="15887" max="15893" width="14.42578125" style="318" customWidth="1"/>
    <col min="15894" max="15894" width="14.85546875" style="318" bestFit="1" customWidth="1"/>
    <col min="15895" max="15895" width="11.7109375" style="318" bestFit="1" customWidth="1"/>
    <col min="15896" max="16128" width="9.140625" style="318"/>
    <col min="16129" max="16129" width="8.42578125" style="318" customWidth="1"/>
    <col min="16130" max="16130" width="14.42578125" style="318" customWidth="1"/>
    <col min="16131" max="16131" width="15.42578125" style="318" customWidth="1"/>
    <col min="16132" max="16132" width="16.42578125" style="318" customWidth="1"/>
    <col min="16133" max="16133" width="16.140625" style="318" customWidth="1"/>
    <col min="16134" max="16134" width="13.7109375" style="318" customWidth="1"/>
    <col min="16135" max="16135" width="18.85546875" style="318" customWidth="1"/>
    <col min="16136" max="16136" width="15.7109375" style="318" customWidth="1"/>
    <col min="16137" max="16138" width="16.5703125" style="318" customWidth="1"/>
    <col min="16139" max="16139" width="14.85546875" style="318" bestFit="1" customWidth="1"/>
    <col min="16140" max="16140" width="13.42578125" style="318" customWidth="1"/>
    <col min="16141" max="16141" width="14.7109375" style="318" customWidth="1"/>
    <col min="16142" max="16142" width="14.7109375" style="318" bestFit="1" customWidth="1"/>
    <col min="16143" max="16149" width="14.42578125" style="318" customWidth="1"/>
    <col min="16150" max="16150" width="14.85546875" style="318" bestFit="1" customWidth="1"/>
    <col min="16151" max="16151" width="11.7109375" style="318" bestFit="1" customWidth="1"/>
    <col min="16152" max="16384" width="9.140625" style="318"/>
  </cols>
  <sheetData>
    <row r="1" spans="1:10" ht="18" customHeight="1" x14ac:dyDescent="0.2">
      <c r="A1" s="1090" t="s">
        <v>410</v>
      </c>
      <c r="B1" s="1090"/>
      <c r="C1" s="1090"/>
      <c r="D1" s="1090"/>
      <c r="E1" s="1090"/>
      <c r="F1" s="1090"/>
      <c r="G1" s="1090"/>
      <c r="H1" s="1090"/>
      <c r="I1" s="1090"/>
      <c r="J1" s="1090"/>
    </row>
    <row r="2" spans="1:10" x14ac:dyDescent="0.2">
      <c r="A2" s="320"/>
      <c r="B2" s="321"/>
      <c r="C2" s="322"/>
      <c r="D2" s="322"/>
      <c r="E2" s="323"/>
      <c r="F2" s="323"/>
    </row>
    <row r="3" spans="1:10" x14ac:dyDescent="0.2">
      <c r="A3" s="320" t="s">
        <v>411</v>
      </c>
      <c r="B3" s="1091" t="s">
        <v>379</v>
      </c>
      <c r="C3" s="1091"/>
      <c r="D3" s="1091"/>
      <c r="E3" s="1091"/>
      <c r="F3" s="1091"/>
      <c r="G3" s="1091"/>
      <c r="H3" s="1091"/>
      <c r="I3" s="1091"/>
      <c r="J3" s="325"/>
    </row>
    <row r="4" spans="1:10" x14ac:dyDescent="0.2">
      <c r="A4" s="326"/>
      <c r="B4" s="1091"/>
      <c r="C4" s="1091"/>
      <c r="D4" s="1091"/>
      <c r="E4" s="1091"/>
      <c r="F4" s="1091"/>
      <c r="G4" s="1091"/>
      <c r="H4" s="1091"/>
      <c r="I4" s="1091"/>
      <c r="J4" s="325"/>
    </row>
    <row r="5" spans="1:10" ht="15" customHeight="1" x14ac:dyDescent="0.2">
      <c r="A5" s="1092" t="str">
        <f>CONCATENATE("PLAZO: ",A38," MESES (",A39,")")</f>
        <v>PLAZO: 20 MESES (600 dias)</v>
      </c>
      <c r="B5" s="1092"/>
      <c r="C5" s="1092"/>
    </row>
    <row r="7" spans="1:10" x14ac:dyDescent="0.2">
      <c r="C7" s="330" t="s">
        <v>412</v>
      </c>
      <c r="D7" s="1093"/>
      <c r="E7" s="1093"/>
      <c r="F7" s="1093"/>
      <c r="H7" s="330" t="s">
        <v>413</v>
      </c>
      <c r="I7" s="331">
        <f ca="1">NOW()</f>
        <v>42304.713902662035</v>
      </c>
    </row>
    <row r="8" spans="1:10" x14ac:dyDescent="0.2">
      <c r="C8" s="330" t="str">
        <f>IF(D7=0,"MONTO ESTIMADO CON IVA:","MONTO DE CONTRATO CON IVA:")</f>
        <v>MONTO ESTIMADO CON IVA:</v>
      </c>
      <c r="D8" s="332">
        <f>'4. CC D'!K25</f>
        <v>3315000</v>
      </c>
      <c r="E8" s="333" t="s">
        <v>414</v>
      </c>
      <c r="F8" s="318" t="s">
        <v>415</v>
      </c>
      <c r="H8" s="324" t="s">
        <v>416</v>
      </c>
      <c r="I8" s="334">
        <v>1</v>
      </c>
    </row>
    <row r="9" spans="1:10" hidden="1" x14ac:dyDescent="0.2">
      <c r="C9" s="330"/>
      <c r="D9" s="332"/>
      <c r="E9" s="327" t="s">
        <v>417</v>
      </c>
      <c r="I9" s="335"/>
    </row>
    <row r="10" spans="1:10" hidden="1" x14ac:dyDescent="0.2">
      <c r="C10" s="330"/>
      <c r="D10" s="332"/>
      <c r="E10" s="327" t="s">
        <v>414</v>
      </c>
      <c r="I10" s="335"/>
    </row>
    <row r="11" spans="1:10" x14ac:dyDescent="0.2">
      <c r="B11" s="318"/>
      <c r="C11" s="330" t="str">
        <f>IF(D7=0,"MONTO ESTIMADO SIN IVA:","MONTO DE CONTRATO SIN IVA:")</f>
        <v>MONTO ESTIMADO SIN IVA:</v>
      </c>
      <c r="D11" s="336">
        <f>D8</f>
        <v>3315000</v>
      </c>
      <c r="E11" s="337" t="s">
        <v>417</v>
      </c>
      <c r="F11" s="327"/>
    </row>
    <row r="12" spans="1:10" x14ac:dyDescent="0.2">
      <c r="B12" s="318"/>
      <c r="C12" s="330" t="s">
        <v>418</v>
      </c>
      <c r="D12" s="334">
        <v>100</v>
      </c>
      <c r="F12" s="327" t="s">
        <v>419</v>
      </c>
    </row>
    <row r="13" spans="1:10" x14ac:dyDescent="0.2">
      <c r="B13" s="318"/>
      <c r="C13" s="330" t="s">
        <v>420</v>
      </c>
      <c r="D13" s="338">
        <f>100-D12</f>
        <v>0</v>
      </c>
      <c r="F13" s="327"/>
    </row>
    <row r="14" spans="1:10" x14ac:dyDescent="0.2">
      <c r="B14" s="318"/>
      <c r="C14" s="330" t="s">
        <v>421</v>
      </c>
      <c r="D14" s="335">
        <v>10</v>
      </c>
      <c r="F14" s="327"/>
    </row>
    <row r="15" spans="1:10" x14ac:dyDescent="0.2">
      <c r="B15" s="330" t="s">
        <v>422</v>
      </c>
      <c r="C15" s="1094">
        <v>40878</v>
      </c>
      <c r="D15" s="1094"/>
      <c r="E15" s="339" t="s">
        <v>423</v>
      </c>
      <c r="F15" s="340"/>
      <c r="H15" s="341" t="s">
        <v>424</v>
      </c>
      <c r="I15" s="334">
        <v>7</v>
      </c>
    </row>
    <row r="16" spans="1:10" ht="12.75" thickBot="1" x14ac:dyDescent="0.25">
      <c r="F16" s="342"/>
    </row>
    <row r="17" spans="1:10" ht="42" customHeight="1" thickBot="1" x14ac:dyDescent="0.25">
      <c r="A17" s="343" t="s">
        <v>425</v>
      </c>
      <c r="B17" s="344" t="s">
        <v>426</v>
      </c>
      <c r="C17" s="344" t="s">
        <v>427</v>
      </c>
      <c r="D17" s="345" t="str">
        <f>CONCATENATE("MONTO MENSUAL DESCONTADO ",ROUND(D14,0),"% ANTICIPO")</f>
        <v>MONTO MENSUAL DESCONTADO 10%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row>
    <row r="18" spans="1:10" ht="12.75" customHeight="1" x14ac:dyDescent="0.2">
      <c r="A18" s="351">
        <v>0</v>
      </c>
      <c r="B18" s="352">
        <f>D14/100</f>
        <v>0.1</v>
      </c>
      <c r="C18" s="352">
        <v>0</v>
      </c>
      <c r="D18" s="353">
        <f>ROUND(B18*D11,0)</f>
        <v>331500</v>
      </c>
      <c r="E18" s="354">
        <f>D18</f>
        <v>331500</v>
      </c>
      <c r="F18" s="355">
        <f t="shared" ref="F18:F38" si="0">E18/$E$38</f>
        <v>9.9999969834096578E-2</v>
      </c>
      <c r="G18" s="356">
        <f>C15</f>
        <v>40878</v>
      </c>
      <c r="H18" s="386">
        <f t="shared" ref="H18:H36" si="1">ROUND(D18*0.1,0)</f>
        <v>33150</v>
      </c>
      <c r="I18" s="387">
        <f t="shared" ref="I18:I37" si="2">ROUNDUP((D18+H18-J18),-(LEN(D18)-$I$15))</f>
        <v>33150</v>
      </c>
      <c r="J18" s="387">
        <f t="shared" ref="J18:J37" si="3">ROUNDUP(D18*$D$12/100,-(LEN(D18)-$I$15))</f>
        <v>331500</v>
      </c>
    </row>
    <row r="19" spans="1:10" x14ac:dyDescent="0.2">
      <c r="A19" s="359">
        <v>1</v>
      </c>
      <c r="B19" s="360">
        <v>0.02</v>
      </c>
      <c r="C19" s="360">
        <f t="shared" ref="C19:C38" si="4">B19+C18</f>
        <v>0.02</v>
      </c>
      <c r="D19" s="361">
        <f t="shared" ref="D19:D37" si="5">ROUND(B19*$D$11*(100-$D$14)/100,0)</f>
        <v>59670</v>
      </c>
      <c r="E19" s="362">
        <f t="shared" ref="E19:E38" si="6">E18+D19</f>
        <v>391170</v>
      </c>
      <c r="F19" s="363">
        <f t="shared" si="0"/>
        <v>0.11799996440423396</v>
      </c>
      <c r="G19" s="364">
        <f t="shared" ref="G19:G38" si="7">G18+31</f>
        <v>40909</v>
      </c>
      <c r="H19" s="386">
        <f t="shared" si="1"/>
        <v>5967</v>
      </c>
      <c r="I19" s="387">
        <f t="shared" si="2"/>
        <v>5967</v>
      </c>
      <c r="J19" s="387">
        <f t="shared" si="3"/>
        <v>59670</v>
      </c>
    </row>
    <row r="20" spans="1:10" x14ac:dyDescent="0.2">
      <c r="A20" s="359">
        <v>2</v>
      </c>
      <c r="B20" s="360">
        <v>2.5000000000000001E-2</v>
      </c>
      <c r="C20" s="360">
        <f t="shared" si="4"/>
        <v>4.4999999999999998E-2</v>
      </c>
      <c r="D20" s="361">
        <f t="shared" si="5"/>
        <v>74588</v>
      </c>
      <c r="E20" s="362">
        <f t="shared" si="6"/>
        <v>465758</v>
      </c>
      <c r="F20" s="363">
        <f t="shared" si="0"/>
        <v>0.1405001084464228</v>
      </c>
      <c r="G20" s="364">
        <f t="shared" si="7"/>
        <v>40940</v>
      </c>
      <c r="H20" s="386">
        <f t="shared" si="1"/>
        <v>7459</v>
      </c>
      <c r="I20" s="387">
        <f t="shared" si="2"/>
        <v>7459</v>
      </c>
      <c r="J20" s="387">
        <f t="shared" si="3"/>
        <v>74588</v>
      </c>
    </row>
    <row r="21" spans="1:10" x14ac:dyDescent="0.2">
      <c r="A21" s="388">
        <v>3</v>
      </c>
      <c r="B21" s="389">
        <v>0.03</v>
      </c>
      <c r="C21" s="389">
        <f t="shared" si="4"/>
        <v>7.4999999999999997E-2</v>
      </c>
      <c r="D21" s="361">
        <f t="shared" si="5"/>
        <v>89505</v>
      </c>
      <c r="E21" s="390">
        <f t="shared" si="6"/>
        <v>555263</v>
      </c>
      <c r="F21" s="391">
        <f t="shared" si="0"/>
        <v>0.16750010030162887</v>
      </c>
      <c r="G21" s="392">
        <f t="shared" si="7"/>
        <v>40971</v>
      </c>
      <c r="H21" s="386">
        <f t="shared" si="1"/>
        <v>8951</v>
      </c>
      <c r="I21" s="387">
        <f t="shared" si="2"/>
        <v>8951</v>
      </c>
      <c r="J21" s="387">
        <f t="shared" si="3"/>
        <v>89505</v>
      </c>
    </row>
    <row r="22" spans="1:10" x14ac:dyDescent="0.2">
      <c r="A22" s="388">
        <v>4</v>
      </c>
      <c r="B22" s="389">
        <v>3.5000000000000003E-2</v>
      </c>
      <c r="C22" s="389">
        <f t="shared" si="4"/>
        <v>0.11</v>
      </c>
      <c r="D22" s="361">
        <f t="shared" si="5"/>
        <v>104423</v>
      </c>
      <c r="E22" s="390">
        <f t="shared" si="6"/>
        <v>659686</v>
      </c>
      <c r="F22" s="391">
        <f t="shared" si="0"/>
        <v>0.19900024162888638</v>
      </c>
      <c r="G22" s="392">
        <f t="shared" si="7"/>
        <v>41002</v>
      </c>
      <c r="H22" s="386">
        <f t="shared" si="1"/>
        <v>10442</v>
      </c>
      <c r="I22" s="387">
        <f t="shared" si="2"/>
        <v>10442</v>
      </c>
      <c r="J22" s="387">
        <f t="shared" si="3"/>
        <v>104423</v>
      </c>
    </row>
    <row r="23" spans="1:10" x14ac:dyDescent="0.2">
      <c r="A23" s="388">
        <v>5</v>
      </c>
      <c r="B23" s="389">
        <v>0.04</v>
      </c>
      <c r="C23" s="389">
        <f t="shared" si="4"/>
        <v>0.15</v>
      </c>
      <c r="D23" s="361">
        <f t="shared" si="5"/>
        <v>119340</v>
      </c>
      <c r="E23" s="390">
        <f t="shared" si="6"/>
        <v>779026</v>
      </c>
      <c r="F23" s="391">
        <f t="shared" si="0"/>
        <v>0.23500023076916116</v>
      </c>
      <c r="G23" s="392">
        <f t="shared" si="7"/>
        <v>41033</v>
      </c>
      <c r="H23" s="386">
        <f t="shared" si="1"/>
        <v>11934</v>
      </c>
      <c r="I23" s="387">
        <f t="shared" si="2"/>
        <v>11934</v>
      </c>
      <c r="J23" s="387">
        <f t="shared" si="3"/>
        <v>119340</v>
      </c>
    </row>
    <row r="24" spans="1:10" x14ac:dyDescent="0.2">
      <c r="A24" s="388">
        <v>6</v>
      </c>
      <c r="B24" s="389">
        <v>0.05</v>
      </c>
      <c r="C24" s="389">
        <f t="shared" si="4"/>
        <v>0.2</v>
      </c>
      <c r="D24" s="361">
        <f t="shared" si="5"/>
        <v>149175</v>
      </c>
      <c r="E24" s="390">
        <f t="shared" si="6"/>
        <v>928201</v>
      </c>
      <c r="F24" s="391">
        <f t="shared" si="0"/>
        <v>0.28000021719450463</v>
      </c>
      <c r="G24" s="392">
        <f t="shared" si="7"/>
        <v>41064</v>
      </c>
      <c r="H24" s="386">
        <f t="shared" si="1"/>
        <v>14918</v>
      </c>
      <c r="I24" s="387">
        <f t="shared" si="2"/>
        <v>14918</v>
      </c>
      <c r="J24" s="387">
        <f t="shared" si="3"/>
        <v>149175</v>
      </c>
    </row>
    <row r="25" spans="1:10" x14ac:dyDescent="0.2">
      <c r="A25" s="388">
        <v>7</v>
      </c>
      <c r="B25" s="389">
        <v>0.05</v>
      </c>
      <c r="C25" s="389">
        <f t="shared" si="4"/>
        <v>0.25</v>
      </c>
      <c r="D25" s="361">
        <f t="shared" si="5"/>
        <v>149175</v>
      </c>
      <c r="E25" s="390">
        <f t="shared" si="6"/>
        <v>1077376</v>
      </c>
      <c r="F25" s="391">
        <f t="shared" si="0"/>
        <v>0.3250002036198481</v>
      </c>
      <c r="G25" s="392">
        <f t="shared" si="7"/>
        <v>41095</v>
      </c>
      <c r="H25" s="386">
        <f t="shared" si="1"/>
        <v>14918</v>
      </c>
      <c r="I25" s="387">
        <f t="shared" si="2"/>
        <v>14918</v>
      </c>
      <c r="J25" s="387">
        <f t="shared" si="3"/>
        <v>149175</v>
      </c>
    </row>
    <row r="26" spans="1:10" x14ac:dyDescent="0.2">
      <c r="A26" s="388">
        <v>8</v>
      </c>
      <c r="B26" s="389">
        <v>0.06</v>
      </c>
      <c r="C26" s="389">
        <f t="shared" si="4"/>
        <v>0.31</v>
      </c>
      <c r="D26" s="361">
        <f t="shared" si="5"/>
        <v>179010</v>
      </c>
      <c r="E26" s="390">
        <f t="shared" si="6"/>
        <v>1256386</v>
      </c>
      <c r="F26" s="391">
        <f t="shared" si="0"/>
        <v>0.37900018733026025</v>
      </c>
      <c r="G26" s="392">
        <f t="shared" si="7"/>
        <v>41126</v>
      </c>
      <c r="H26" s="386">
        <f t="shared" si="1"/>
        <v>17901</v>
      </c>
      <c r="I26" s="387">
        <f t="shared" si="2"/>
        <v>17901</v>
      </c>
      <c r="J26" s="387">
        <f t="shared" si="3"/>
        <v>179010</v>
      </c>
    </row>
    <row r="27" spans="1:10" x14ac:dyDescent="0.2">
      <c r="A27" s="388">
        <v>9</v>
      </c>
      <c r="B27" s="389">
        <v>7.0000000000000007E-2</v>
      </c>
      <c r="C27" s="389">
        <f t="shared" si="4"/>
        <v>0.38</v>
      </c>
      <c r="D27" s="361">
        <f t="shared" si="5"/>
        <v>208845</v>
      </c>
      <c r="E27" s="390">
        <f t="shared" si="6"/>
        <v>1465231</v>
      </c>
      <c r="F27" s="391">
        <f t="shared" si="0"/>
        <v>0.44200016832574107</v>
      </c>
      <c r="G27" s="392">
        <f t="shared" si="7"/>
        <v>41157</v>
      </c>
      <c r="H27" s="386">
        <f t="shared" si="1"/>
        <v>20885</v>
      </c>
      <c r="I27" s="387">
        <f t="shared" si="2"/>
        <v>20885</v>
      </c>
      <c r="J27" s="387">
        <f t="shared" si="3"/>
        <v>208845</v>
      </c>
    </row>
    <row r="28" spans="1:10" x14ac:dyDescent="0.2">
      <c r="A28" s="388">
        <v>10</v>
      </c>
      <c r="B28" s="389">
        <v>0.08</v>
      </c>
      <c r="C28" s="389">
        <f t="shared" si="4"/>
        <v>0.46</v>
      </c>
      <c r="D28" s="393">
        <f t="shared" si="5"/>
        <v>238680</v>
      </c>
      <c r="E28" s="390">
        <f t="shared" si="6"/>
        <v>1703911</v>
      </c>
      <c r="F28" s="391">
        <f t="shared" si="0"/>
        <v>0.51400014660629056</v>
      </c>
      <c r="G28" s="392">
        <f t="shared" si="7"/>
        <v>41188</v>
      </c>
      <c r="H28" s="386">
        <f t="shared" si="1"/>
        <v>23868</v>
      </c>
      <c r="I28" s="387">
        <f t="shared" si="2"/>
        <v>23868</v>
      </c>
      <c r="J28" s="387">
        <f t="shared" si="3"/>
        <v>238680</v>
      </c>
    </row>
    <row r="29" spans="1:10" x14ac:dyDescent="0.2">
      <c r="A29" s="388">
        <v>11</v>
      </c>
      <c r="B29" s="389">
        <v>0.08</v>
      </c>
      <c r="C29" s="389">
        <f t="shared" si="4"/>
        <v>0.54</v>
      </c>
      <c r="D29" s="393">
        <f t="shared" si="5"/>
        <v>238680</v>
      </c>
      <c r="E29" s="390">
        <f t="shared" si="6"/>
        <v>1942591</v>
      </c>
      <c r="F29" s="391">
        <f t="shared" si="0"/>
        <v>0.58600012488684017</v>
      </c>
      <c r="G29" s="392">
        <f t="shared" si="7"/>
        <v>41219</v>
      </c>
      <c r="H29" s="386">
        <f t="shared" si="1"/>
        <v>23868</v>
      </c>
      <c r="I29" s="387">
        <f t="shared" si="2"/>
        <v>23868</v>
      </c>
      <c r="J29" s="387">
        <f t="shared" si="3"/>
        <v>238680</v>
      </c>
    </row>
    <row r="30" spans="1:10" x14ac:dyDescent="0.2">
      <c r="A30" s="388">
        <v>12</v>
      </c>
      <c r="B30" s="389">
        <v>7.0000000000000007E-2</v>
      </c>
      <c r="C30" s="389">
        <f t="shared" si="4"/>
        <v>0.6100000000000001</v>
      </c>
      <c r="D30" s="393">
        <f t="shared" si="5"/>
        <v>208845</v>
      </c>
      <c r="E30" s="390">
        <f t="shared" si="6"/>
        <v>2151436</v>
      </c>
      <c r="F30" s="391">
        <f t="shared" si="0"/>
        <v>0.64900010588232104</v>
      </c>
      <c r="G30" s="392">
        <f t="shared" si="7"/>
        <v>41250</v>
      </c>
      <c r="H30" s="386">
        <f t="shared" si="1"/>
        <v>20885</v>
      </c>
      <c r="I30" s="387">
        <f t="shared" si="2"/>
        <v>20885</v>
      </c>
      <c r="J30" s="387">
        <f t="shared" si="3"/>
        <v>208845</v>
      </c>
    </row>
    <row r="31" spans="1:10" x14ac:dyDescent="0.2">
      <c r="A31" s="388">
        <v>13</v>
      </c>
      <c r="B31" s="389">
        <v>7.0000000000000007E-2</v>
      </c>
      <c r="C31" s="389">
        <f t="shared" si="4"/>
        <v>0.68000000000000016</v>
      </c>
      <c r="D31" s="393">
        <f t="shared" si="5"/>
        <v>208845</v>
      </c>
      <c r="E31" s="390">
        <f t="shared" si="6"/>
        <v>2360281</v>
      </c>
      <c r="F31" s="391">
        <f t="shared" si="0"/>
        <v>0.71200008687780181</v>
      </c>
      <c r="G31" s="392">
        <f t="shared" si="7"/>
        <v>41281</v>
      </c>
      <c r="H31" s="386">
        <f t="shared" si="1"/>
        <v>20885</v>
      </c>
      <c r="I31" s="387">
        <f t="shared" si="2"/>
        <v>20885</v>
      </c>
      <c r="J31" s="387">
        <f t="shared" si="3"/>
        <v>208845</v>
      </c>
    </row>
    <row r="32" spans="1:10" x14ac:dyDescent="0.2">
      <c r="A32" s="388">
        <v>14</v>
      </c>
      <c r="B32" s="389">
        <v>0.06</v>
      </c>
      <c r="C32" s="389">
        <f t="shared" si="4"/>
        <v>0.74000000000000021</v>
      </c>
      <c r="D32" s="393">
        <f t="shared" si="5"/>
        <v>179010</v>
      </c>
      <c r="E32" s="390">
        <f t="shared" si="6"/>
        <v>2539291</v>
      </c>
      <c r="F32" s="391">
        <f t="shared" si="0"/>
        <v>0.76600007058821395</v>
      </c>
      <c r="G32" s="392">
        <f t="shared" si="7"/>
        <v>41312</v>
      </c>
      <c r="H32" s="386">
        <f t="shared" si="1"/>
        <v>17901</v>
      </c>
      <c r="I32" s="387">
        <f t="shared" si="2"/>
        <v>17901</v>
      </c>
      <c r="J32" s="387">
        <f t="shared" si="3"/>
        <v>179010</v>
      </c>
    </row>
    <row r="33" spans="1:23" x14ac:dyDescent="0.2">
      <c r="A33" s="388">
        <v>15</v>
      </c>
      <c r="B33" s="389">
        <v>0.06</v>
      </c>
      <c r="C33" s="389">
        <f t="shared" si="4"/>
        <v>0.80000000000000027</v>
      </c>
      <c r="D33" s="393">
        <f t="shared" si="5"/>
        <v>179010</v>
      </c>
      <c r="E33" s="390">
        <f t="shared" si="6"/>
        <v>2718301</v>
      </c>
      <c r="F33" s="391">
        <f t="shared" si="0"/>
        <v>0.8200000542986261</v>
      </c>
      <c r="G33" s="392">
        <f t="shared" si="7"/>
        <v>41343</v>
      </c>
      <c r="H33" s="386">
        <f t="shared" si="1"/>
        <v>17901</v>
      </c>
      <c r="I33" s="387">
        <f t="shared" si="2"/>
        <v>17901</v>
      </c>
      <c r="J33" s="387">
        <f t="shared" si="3"/>
        <v>179010</v>
      </c>
    </row>
    <row r="34" spans="1:23" x14ac:dyDescent="0.2">
      <c r="A34" s="388">
        <v>16</v>
      </c>
      <c r="B34" s="389">
        <v>0.05</v>
      </c>
      <c r="C34" s="389">
        <f t="shared" si="4"/>
        <v>0.85000000000000031</v>
      </c>
      <c r="D34" s="393">
        <f t="shared" si="5"/>
        <v>149175</v>
      </c>
      <c r="E34" s="390">
        <f t="shared" si="6"/>
        <v>2867476</v>
      </c>
      <c r="F34" s="391">
        <f t="shared" si="0"/>
        <v>0.86500004072396963</v>
      </c>
      <c r="G34" s="392">
        <f t="shared" si="7"/>
        <v>41374</v>
      </c>
      <c r="H34" s="386">
        <f t="shared" si="1"/>
        <v>14918</v>
      </c>
      <c r="I34" s="387">
        <f t="shared" si="2"/>
        <v>14918</v>
      </c>
      <c r="J34" s="387">
        <f t="shared" si="3"/>
        <v>149175</v>
      </c>
    </row>
    <row r="35" spans="1:23" x14ac:dyDescent="0.2">
      <c r="A35" s="388">
        <v>17</v>
      </c>
      <c r="B35" s="389">
        <v>0.05</v>
      </c>
      <c r="C35" s="389">
        <f t="shared" si="4"/>
        <v>0.90000000000000036</v>
      </c>
      <c r="D35" s="393">
        <f t="shared" si="5"/>
        <v>149175</v>
      </c>
      <c r="E35" s="390">
        <f t="shared" si="6"/>
        <v>3016651</v>
      </c>
      <c r="F35" s="391">
        <f t="shared" si="0"/>
        <v>0.91000002714931305</v>
      </c>
      <c r="G35" s="392">
        <f t="shared" si="7"/>
        <v>41405</v>
      </c>
      <c r="H35" s="386">
        <f t="shared" si="1"/>
        <v>14918</v>
      </c>
      <c r="I35" s="387">
        <f t="shared" si="2"/>
        <v>14918</v>
      </c>
      <c r="J35" s="387">
        <f t="shared" si="3"/>
        <v>149175</v>
      </c>
    </row>
    <row r="36" spans="1:23" x14ac:dyDescent="0.2">
      <c r="A36" s="388">
        <v>18</v>
      </c>
      <c r="B36" s="389">
        <v>0.04</v>
      </c>
      <c r="C36" s="389">
        <f t="shared" si="4"/>
        <v>0.94000000000000039</v>
      </c>
      <c r="D36" s="393">
        <f t="shared" si="5"/>
        <v>119340</v>
      </c>
      <c r="E36" s="390">
        <f t="shared" si="6"/>
        <v>3135991</v>
      </c>
      <c r="F36" s="391">
        <f t="shared" si="0"/>
        <v>0.94600001628958785</v>
      </c>
      <c r="G36" s="392">
        <f t="shared" si="7"/>
        <v>41436</v>
      </c>
      <c r="H36" s="386">
        <f t="shared" si="1"/>
        <v>11934</v>
      </c>
      <c r="I36" s="387">
        <f t="shared" si="2"/>
        <v>11934</v>
      </c>
      <c r="J36" s="387">
        <f t="shared" si="3"/>
        <v>119340</v>
      </c>
    </row>
    <row r="37" spans="1:23" x14ac:dyDescent="0.2">
      <c r="A37" s="388">
        <v>19</v>
      </c>
      <c r="B37" s="389">
        <v>0.04</v>
      </c>
      <c r="C37" s="389">
        <f t="shared" si="4"/>
        <v>0.98000000000000043</v>
      </c>
      <c r="D37" s="393">
        <f t="shared" si="5"/>
        <v>119340</v>
      </c>
      <c r="E37" s="390">
        <f t="shared" si="6"/>
        <v>3255331</v>
      </c>
      <c r="F37" s="391">
        <f t="shared" si="0"/>
        <v>0.98200000542986265</v>
      </c>
      <c r="G37" s="392">
        <f t="shared" si="7"/>
        <v>41467</v>
      </c>
      <c r="H37" s="386">
        <f>ROUND(D37*0.1,0)</f>
        <v>11934</v>
      </c>
      <c r="I37" s="387">
        <f t="shared" si="2"/>
        <v>11934</v>
      </c>
      <c r="J37" s="387">
        <f t="shared" si="3"/>
        <v>119340</v>
      </c>
    </row>
    <row r="38" spans="1:23" ht="12.75" thickBot="1" x14ac:dyDescent="0.25">
      <c r="A38" s="371">
        <v>20</v>
      </c>
      <c r="B38" s="372">
        <v>0.02</v>
      </c>
      <c r="C38" s="372">
        <f t="shared" si="4"/>
        <v>1.0000000000000004</v>
      </c>
      <c r="D38" s="373">
        <f>ROUND(B38*$D$11*(100-$D$14)/100,0)</f>
        <v>59670</v>
      </c>
      <c r="E38" s="374">
        <f t="shared" si="6"/>
        <v>3315001</v>
      </c>
      <c r="F38" s="375">
        <f t="shared" si="0"/>
        <v>1</v>
      </c>
      <c r="G38" s="376">
        <f t="shared" si="7"/>
        <v>41498</v>
      </c>
      <c r="H38" s="377">
        <f>ROUND(D38*0.1,0)</f>
        <v>5967</v>
      </c>
      <c r="I38" s="387">
        <f>ROUNDUP((D38+H38-J38),-(LEN(D38)-$I$15))</f>
        <v>5967</v>
      </c>
      <c r="J38" s="387">
        <f>ROUNDUP(D38*$D$12/100,-(LEN(D38)-$I$15))</f>
        <v>59670</v>
      </c>
    </row>
    <row r="39" spans="1:23" ht="20.25" customHeight="1" thickBot="1" x14ac:dyDescent="0.25">
      <c r="A39" s="379" t="str">
        <f>A38*30 &amp; " dias"</f>
        <v>600 dias</v>
      </c>
      <c r="B39" s="380">
        <f>SUM(B19:B38)</f>
        <v>1.0000000000000004</v>
      </c>
      <c r="C39" s="381"/>
      <c r="D39" s="382">
        <f>SUM(D18:D38)</f>
        <v>3315001</v>
      </c>
      <c r="E39" s="318"/>
      <c r="F39" s="324"/>
      <c r="H39" s="318"/>
      <c r="I39" s="382">
        <f>SUM(I18:I38)</f>
        <v>331504</v>
      </c>
      <c r="J39" s="382">
        <f>SUM(J18:J38)</f>
        <v>3315001</v>
      </c>
    </row>
    <row r="40" spans="1:23" ht="15" customHeight="1" x14ac:dyDescent="0.2">
      <c r="A40" s="324"/>
      <c r="H40" s="330" t="s">
        <v>432</v>
      </c>
      <c r="I40" s="1095">
        <f>I39+J39</f>
        <v>3646505</v>
      </c>
      <c r="J40" s="1096"/>
    </row>
    <row r="41" spans="1:23" x14ac:dyDescent="0.2">
      <c r="A41" s="323" t="s">
        <v>433</v>
      </c>
      <c r="B41" s="323"/>
      <c r="C41" s="323"/>
      <c r="H41" s="330" t="s">
        <v>434</v>
      </c>
      <c r="I41" s="341">
        <f>+I40/1.1-D11</f>
        <v>4.5454545454122126</v>
      </c>
    </row>
    <row r="42" spans="1:23" x14ac:dyDescent="0.2">
      <c r="B42" s="383"/>
    </row>
    <row r="43" spans="1:23" s="473" customFormat="1" ht="12.75" customHeight="1" x14ac:dyDescent="0.2">
      <c r="A43" s="471"/>
      <c r="B43" s="472" t="s">
        <v>542</v>
      </c>
      <c r="C43" s="472" t="s">
        <v>470</v>
      </c>
      <c r="D43" s="472" t="s">
        <v>471</v>
      </c>
      <c r="E43" s="472" t="s">
        <v>472</v>
      </c>
      <c r="F43" s="472" t="s">
        <v>473</v>
      </c>
      <c r="G43" s="472" t="s">
        <v>474</v>
      </c>
      <c r="H43" s="472" t="s">
        <v>475</v>
      </c>
      <c r="I43" s="472" t="s">
        <v>476</v>
      </c>
      <c r="J43" s="472" t="s">
        <v>477</v>
      </c>
      <c r="K43" s="472" t="s">
        <v>478</v>
      </c>
      <c r="L43" s="472" t="s">
        <v>479</v>
      </c>
      <c r="M43" s="472" t="s">
        <v>480</v>
      </c>
      <c r="N43" s="472" t="s">
        <v>481</v>
      </c>
      <c r="O43" s="472" t="s">
        <v>482</v>
      </c>
      <c r="P43" s="472" t="s">
        <v>483</v>
      </c>
      <c r="Q43" s="472" t="s">
        <v>484</v>
      </c>
      <c r="R43" s="472" t="s">
        <v>485</v>
      </c>
      <c r="S43" s="472" t="s">
        <v>486</v>
      </c>
      <c r="T43" s="472" t="s">
        <v>487</v>
      </c>
      <c r="U43" s="472" t="s">
        <v>488</v>
      </c>
      <c r="V43" s="472" t="s">
        <v>490</v>
      </c>
    </row>
    <row r="44" spans="1:23" x14ac:dyDescent="0.2">
      <c r="A44" s="384" t="s">
        <v>435</v>
      </c>
      <c r="B44" s="361">
        <v>0</v>
      </c>
      <c r="C44" s="361">
        <v>0</v>
      </c>
      <c r="D44" s="361">
        <v>0</v>
      </c>
      <c r="E44" s="361">
        <v>0</v>
      </c>
      <c r="F44" s="361">
        <v>0</v>
      </c>
      <c r="G44" s="361">
        <v>0</v>
      </c>
      <c r="H44" s="361">
        <v>0</v>
      </c>
      <c r="I44" s="361">
        <v>0</v>
      </c>
      <c r="J44" s="361">
        <v>0</v>
      </c>
      <c r="K44" s="361">
        <v>0</v>
      </c>
      <c r="L44" s="361">
        <v>0</v>
      </c>
      <c r="M44" s="361">
        <v>0</v>
      </c>
      <c r="N44" s="361">
        <v>0</v>
      </c>
      <c r="O44" s="361">
        <v>0</v>
      </c>
      <c r="P44" s="361">
        <v>0</v>
      </c>
      <c r="Q44" s="361">
        <v>0</v>
      </c>
      <c r="R44" s="361">
        <v>0</v>
      </c>
      <c r="S44" s="361">
        <v>0</v>
      </c>
      <c r="T44" s="361">
        <v>0</v>
      </c>
      <c r="U44" s="361">
        <v>0</v>
      </c>
      <c r="V44" s="361">
        <v>0</v>
      </c>
      <c r="W44" s="327">
        <f>SUM(B44:V44)</f>
        <v>0</v>
      </c>
    </row>
    <row r="45" spans="1:23" x14ac:dyDescent="0.2">
      <c r="A45" s="384" t="s">
        <v>436</v>
      </c>
      <c r="B45" s="361">
        <f>$J18</f>
        <v>331500</v>
      </c>
      <c r="C45" s="361">
        <f>$J19</f>
        <v>59670</v>
      </c>
      <c r="D45" s="361">
        <f>$J20</f>
        <v>74588</v>
      </c>
      <c r="E45" s="361">
        <f>$J21</f>
        <v>89505</v>
      </c>
      <c r="F45" s="361">
        <f>$J22</f>
        <v>104423</v>
      </c>
      <c r="G45" s="361">
        <f>$J23</f>
        <v>119340</v>
      </c>
      <c r="H45" s="361">
        <f>$J24</f>
        <v>149175</v>
      </c>
      <c r="I45" s="361">
        <f>$J25</f>
        <v>149175</v>
      </c>
      <c r="J45" s="361">
        <f>$J26</f>
        <v>179010</v>
      </c>
      <c r="K45" s="361">
        <f>$J27</f>
        <v>208845</v>
      </c>
      <c r="L45" s="361">
        <f>$J28</f>
        <v>238680</v>
      </c>
      <c r="M45" s="361">
        <f>$J29</f>
        <v>238680</v>
      </c>
      <c r="N45" s="361">
        <f>$J30</f>
        <v>208845</v>
      </c>
      <c r="O45" s="361">
        <f>$J31</f>
        <v>208845</v>
      </c>
      <c r="P45" s="361">
        <f>$J32</f>
        <v>179010</v>
      </c>
      <c r="Q45" s="361">
        <f>$J33</f>
        <v>179010</v>
      </c>
      <c r="R45" s="361">
        <f>$J34</f>
        <v>149175</v>
      </c>
      <c r="S45" s="361">
        <f>$J35</f>
        <v>149175</v>
      </c>
      <c r="T45" s="361">
        <f>$J36</f>
        <v>119340</v>
      </c>
      <c r="U45" s="361">
        <f>$J37</f>
        <v>119340</v>
      </c>
      <c r="V45" s="361">
        <f>$J38</f>
        <v>59670</v>
      </c>
      <c r="W45" s="327">
        <f>SUM(B45:V45)</f>
        <v>3315001</v>
      </c>
    </row>
    <row r="46" spans="1:23" x14ac:dyDescent="0.2">
      <c r="B46" s="361">
        <f>B44+B45</f>
        <v>331500</v>
      </c>
      <c r="C46" s="361">
        <f t="shared" ref="C46:W46" si="8">C44+C45</f>
        <v>59670</v>
      </c>
      <c r="D46" s="361">
        <f t="shared" si="8"/>
        <v>74588</v>
      </c>
      <c r="E46" s="361">
        <f t="shared" si="8"/>
        <v>89505</v>
      </c>
      <c r="F46" s="361">
        <f t="shared" si="8"/>
        <v>104423</v>
      </c>
      <c r="G46" s="361">
        <f t="shared" si="8"/>
        <v>119340</v>
      </c>
      <c r="H46" s="361">
        <f t="shared" si="8"/>
        <v>149175</v>
      </c>
      <c r="I46" s="361">
        <f t="shared" si="8"/>
        <v>149175</v>
      </c>
      <c r="J46" s="361">
        <f t="shared" si="8"/>
        <v>179010</v>
      </c>
      <c r="K46" s="361">
        <f t="shared" si="8"/>
        <v>208845</v>
      </c>
      <c r="L46" s="361">
        <f t="shared" si="8"/>
        <v>238680</v>
      </c>
      <c r="M46" s="361">
        <f t="shared" si="8"/>
        <v>238680</v>
      </c>
      <c r="N46" s="361">
        <f t="shared" si="8"/>
        <v>208845</v>
      </c>
      <c r="O46" s="361">
        <f t="shared" si="8"/>
        <v>208845</v>
      </c>
      <c r="P46" s="361">
        <f t="shared" si="8"/>
        <v>179010</v>
      </c>
      <c r="Q46" s="361">
        <f t="shared" si="8"/>
        <v>179010</v>
      </c>
      <c r="R46" s="361">
        <f t="shared" si="8"/>
        <v>149175</v>
      </c>
      <c r="S46" s="361">
        <f t="shared" si="8"/>
        <v>149175</v>
      </c>
      <c r="T46" s="361">
        <f t="shared" si="8"/>
        <v>119340</v>
      </c>
      <c r="U46" s="361">
        <f t="shared" si="8"/>
        <v>119340</v>
      </c>
      <c r="V46" s="361">
        <f t="shared" si="8"/>
        <v>59670</v>
      </c>
      <c r="W46" s="361">
        <f t="shared" si="8"/>
        <v>3315001</v>
      </c>
    </row>
    <row r="47" spans="1:23" x14ac:dyDescent="0.2">
      <c r="B47" s="560">
        <f>SUM(B46:V46)</f>
        <v>3315001</v>
      </c>
    </row>
    <row r="50" spans="1:10" x14ac:dyDescent="0.2">
      <c r="A50" s="320" t="s">
        <v>411</v>
      </c>
      <c r="B50" s="1091"/>
      <c r="C50" s="1091"/>
      <c r="D50" s="1091"/>
      <c r="E50" s="1091"/>
      <c r="F50" s="1091"/>
      <c r="G50" s="1091"/>
      <c r="H50" s="1091"/>
      <c r="I50" s="1091"/>
      <c r="J50" s="325"/>
    </row>
    <row r="51" spans="1:10" x14ac:dyDescent="0.2">
      <c r="A51" s="326"/>
      <c r="B51" s="1091"/>
      <c r="C51" s="1091"/>
      <c r="D51" s="1091"/>
      <c r="E51" s="1091"/>
      <c r="F51" s="1091"/>
      <c r="G51" s="1091"/>
      <c r="H51" s="1091"/>
      <c r="I51" s="1091"/>
      <c r="J51" s="325"/>
    </row>
    <row r="52" spans="1:10" x14ac:dyDescent="0.2">
      <c r="A52" s="1092" t="str">
        <f>CONCATENATE("PLAZO: ",A85," MESES (",A86,")")</f>
        <v>PLAZO: 20 MESES (600 dias)</v>
      </c>
      <c r="B52" s="1092"/>
      <c r="C52" s="1092"/>
    </row>
    <row r="54" spans="1:10" x14ac:dyDescent="0.2">
      <c r="C54" s="330" t="s">
        <v>412</v>
      </c>
      <c r="D54" s="1093"/>
      <c r="E54" s="1093"/>
      <c r="F54" s="1093"/>
      <c r="H54" s="330" t="s">
        <v>413</v>
      </c>
      <c r="I54" s="331">
        <f ca="1">NOW()</f>
        <v>42304.713902662035</v>
      </c>
    </row>
    <row r="55" spans="1:10" x14ac:dyDescent="0.2">
      <c r="C55" s="330" t="str">
        <f>IF(D54=0,"MONTO ESTIMADO CON IVA:","MONTO DE CONTRATO CON IVA:")</f>
        <v>MONTO ESTIMADO CON IVA:</v>
      </c>
      <c r="D55" s="332">
        <f>3315000</f>
        <v>3315000</v>
      </c>
      <c r="E55" s="333" t="s">
        <v>414</v>
      </c>
      <c r="F55" s="318" t="s">
        <v>415</v>
      </c>
      <c r="H55" s="324" t="s">
        <v>416</v>
      </c>
      <c r="I55" s="334">
        <v>1</v>
      </c>
    </row>
    <row r="56" spans="1:10" x14ac:dyDescent="0.2">
      <c r="C56" s="330"/>
      <c r="D56" s="332"/>
      <c r="E56" s="327" t="s">
        <v>417</v>
      </c>
      <c r="I56" s="335"/>
    </row>
    <row r="57" spans="1:10" x14ac:dyDescent="0.2">
      <c r="C57" s="330"/>
      <c r="D57" s="332"/>
      <c r="E57" s="327" t="s">
        <v>414</v>
      </c>
      <c r="I57" s="335"/>
    </row>
    <row r="58" spans="1:10" x14ac:dyDescent="0.2">
      <c r="B58" s="318"/>
      <c r="C58" s="330" t="str">
        <f>IF(D54=0,"MONTO ESTIMADO SIN IVA:","MONTO DE CONTRATO SIN IVA:")</f>
        <v>MONTO ESTIMADO SIN IVA:</v>
      </c>
      <c r="D58" s="336">
        <f>IF(E55="Gs",ROUND(D55/1.1,0),IF(E55="USD",ROUND(D55*I55/1.1,0),))</f>
        <v>3013636</v>
      </c>
      <c r="E58" s="337" t="s">
        <v>417</v>
      </c>
      <c r="F58" s="327"/>
    </row>
    <row r="59" spans="1:10" x14ac:dyDescent="0.2">
      <c r="B59" s="318"/>
      <c r="C59" s="330" t="s">
        <v>418</v>
      </c>
      <c r="D59" s="334">
        <v>100</v>
      </c>
      <c r="F59" s="327" t="s">
        <v>419</v>
      </c>
    </row>
    <row r="60" spans="1:10" x14ac:dyDescent="0.2">
      <c r="B60" s="318"/>
      <c r="C60" s="330" t="s">
        <v>420</v>
      </c>
      <c r="D60" s="338">
        <f>100-D59</f>
        <v>0</v>
      </c>
      <c r="F60" s="327"/>
    </row>
    <row r="61" spans="1:10" x14ac:dyDescent="0.2">
      <c r="B61" s="318"/>
      <c r="C61" s="330" t="s">
        <v>421</v>
      </c>
      <c r="D61" s="335">
        <v>10</v>
      </c>
      <c r="F61" s="327"/>
    </row>
    <row r="62" spans="1:10" x14ac:dyDescent="0.2">
      <c r="B62" s="330" t="s">
        <v>422</v>
      </c>
      <c r="C62" s="1094"/>
      <c r="D62" s="1094"/>
      <c r="E62" s="339" t="s">
        <v>423</v>
      </c>
      <c r="F62" s="340"/>
      <c r="H62" s="341" t="s">
        <v>424</v>
      </c>
      <c r="I62" s="334">
        <v>1</v>
      </c>
    </row>
    <row r="63" spans="1:10" ht="12.75" thickBot="1" x14ac:dyDescent="0.25">
      <c r="F63" s="342"/>
    </row>
    <row r="64" spans="1:10" ht="36.75" thickBot="1" x14ac:dyDescent="0.25">
      <c r="A64" s="343" t="s">
        <v>425</v>
      </c>
      <c r="B64" s="344" t="s">
        <v>426</v>
      </c>
      <c r="C64" s="344" t="s">
        <v>427</v>
      </c>
      <c r="D64" s="345" t="str">
        <f>CONCATENATE("MONTO MENSUAL DESCONTADO ",ROUND(D61,0),"% ANTICIPO")</f>
        <v>MONTO MENSUAL DESCONTADO 10% ANTICIPO</v>
      </c>
      <c r="E64" s="346" t="s">
        <v>428</v>
      </c>
      <c r="F64" s="347" t="s">
        <v>429</v>
      </c>
      <c r="G64" s="348" t="s">
        <v>430</v>
      </c>
      <c r="H64" s="349" t="s">
        <v>431</v>
      </c>
      <c r="I64" s="350" t="str">
        <f>CONCATENATE("DESEMBOLSOS FONDO LOCAL (",ROUND(D60,0),"%) + IVA")</f>
        <v>DESEMBOLSOS FONDO LOCAL (0%) + IVA</v>
      </c>
      <c r="J64" s="350" t="str">
        <f>CONCATENATE("DESEMBOLSOS FONDO EXTERNO (",ROUND(D59,0),"%)")</f>
        <v>DESEMBOLSOS FONDO EXTERNO (100%)</v>
      </c>
    </row>
    <row r="65" spans="1:10" x14ac:dyDescent="0.2">
      <c r="A65" s="351">
        <v>0</v>
      </c>
      <c r="B65" s="352">
        <f>D61/100</f>
        <v>0.1</v>
      </c>
      <c r="C65" s="352">
        <v>0</v>
      </c>
      <c r="D65" s="353">
        <f>ROUND(B65*D58,0)</f>
        <v>301364</v>
      </c>
      <c r="E65" s="354">
        <f>D65</f>
        <v>301364</v>
      </c>
      <c r="F65" s="355">
        <f t="shared" ref="F65:F85" si="9">E65/$E$38</f>
        <v>9.0909173179736597E-2</v>
      </c>
      <c r="G65" s="484" t="s">
        <v>543</v>
      </c>
      <c r="H65" s="386">
        <f t="shared" ref="H65:H83" si="10">ROUND(D65*0.1,0)</f>
        <v>30136</v>
      </c>
      <c r="I65" s="387">
        <f t="shared" ref="I65:I84" si="11">ROUNDUP((D65+H65-J65),-(LEN(D65)-$I$15))</f>
        <v>30136</v>
      </c>
      <c r="J65" s="387">
        <f t="shared" ref="J65:J84" si="12">ROUNDUP(D65*$D$12/100,-(LEN(D65)-$I$15))</f>
        <v>301364</v>
      </c>
    </row>
    <row r="66" spans="1:10" x14ac:dyDescent="0.2">
      <c r="A66" s="359">
        <v>1</v>
      </c>
      <c r="B66" s="360">
        <v>0.02</v>
      </c>
      <c r="C66" s="360">
        <f t="shared" ref="C66:C85" si="13">B66+C65</f>
        <v>0.02</v>
      </c>
      <c r="D66" s="361">
        <f t="shared" ref="D66:D84" si="14">ROUND(B66*$D$11*(100-$D$14)/100,0)</f>
        <v>59670</v>
      </c>
      <c r="E66" s="362">
        <f>E65+D66</f>
        <v>361034</v>
      </c>
      <c r="F66" s="363">
        <f t="shared" si="9"/>
        <v>0.10890916774987398</v>
      </c>
      <c r="G66" s="470" t="s">
        <v>470</v>
      </c>
      <c r="H66" s="386">
        <f t="shared" si="10"/>
        <v>5967</v>
      </c>
      <c r="I66" s="387">
        <f t="shared" si="11"/>
        <v>5967</v>
      </c>
      <c r="J66" s="387">
        <f t="shared" si="12"/>
        <v>59670</v>
      </c>
    </row>
    <row r="67" spans="1:10" x14ac:dyDescent="0.2">
      <c r="A67" s="359">
        <v>2</v>
      </c>
      <c r="B67" s="360">
        <v>2.5000000000000001E-2</v>
      </c>
      <c r="C67" s="360">
        <f t="shared" si="13"/>
        <v>4.4999999999999998E-2</v>
      </c>
      <c r="D67" s="361">
        <f t="shared" si="14"/>
        <v>74588</v>
      </c>
      <c r="E67" s="362">
        <f t="shared" ref="E67:E85" si="15">E66+D67</f>
        <v>435622</v>
      </c>
      <c r="F67" s="363">
        <f t="shared" si="9"/>
        <v>0.13140931179206281</v>
      </c>
      <c r="G67" s="470" t="s">
        <v>471</v>
      </c>
      <c r="H67" s="386">
        <f t="shared" si="10"/>
        <v>7459</v>
      </c>
      <c r="I67" s="387">
        <f t="shared" si="11"/>
        <v>7459</v>
      </c>
      <c r="J67" s="387">
        <f t="shared" si="12"/>
        <v>74588</v>
      </c>
    </row>
    <row r="68" spans="1:10" x14ac:dyDescent="0.2">
      <c r="A68" s="388">
        <v>3</v>
      </c>
      <c r="B68" s="389">
        <v>0.03</v>
      </c>
      <c r="C68" s="389">
        <f t="shared" si="13"/>
        <v>7.4999999999999997E-2</v>
      </c>
      <c r="D68" s="361">
        <f t="shared" si="14"/>
        <v>89505</v>
      </c>
      <c r="E68" s="390">
        <f t="shared" si="15"/>
        <v>525127</v>
      </c>
      <c r="F68" s="391">
        <f t="shared" si="9"/>
        <v>0.15840930364726888</v>
      </c>
      <c r="G68" s="470" t="s">
        <v>472</v>
      </c>
      <c r="H68" s="386">
        <f t="shared" si="10"/>
        <v>8951</v>
      </c>
      <c r="I68" s="387">
        <f t="shared" si="11"/>
        <v>8951</v>
      </c>
      <c r="J68" s="387">
        <f t="shared" si="12"/>
        <v>89505</v>
      </c>
    </row>
    <row r="69" spans="1:10" x14ac:dyDescent="0.2">
      <c r="A69" s="388">
        <v>4</v>
      </c>
      <c r="B69" s="389">
        <v>3.5000000000000003E-2</v>
      </c>
      <c r="C69" s="389">
        <f t="shared" si="13"/>
        <v>0.11</v>
      </c>
      <c r="D69" s="361">
        <f t="shared" si="14"/>
        <v>104423</v>
      </c>
      <c r="E69" s="390">
        <f t="shared" si="15"/>
        <v>629550</v>
      </c>
      <c r="F69" s="391">
        <f t="shared" si="9"/>
        <v>0.18990944497452641</v>
      </c>
      <c r="G69" s="470" t="s">
        <v>473</v>
      </c>
      <c r="H69" s="386">
        <f t="shared" si="10"/>
        <v>10442</v>
      </c>
      <c r="I69" s="387">
        <f t="shared" si="11"/>
        <v>10442</v>
      </c>
      <c r="J69" s="387">
        <f t="shared" si="12"/>
        <v>104423</v>
      </c>
    </row>
    <row r="70" spans="1:10" x14ac:dyDescent="0.2">
      <c r="A70" s="388">
        <v>5</v>
      </c>
      <c r="B70" s="389">
        <v>0.04</v>
      </c>
      <c r="C70" s="389">
        <f t="shared" si="13"/>
        <v>0.15</v>
      </c>
      <c r="D70" s="361">
        <f t="shared" si="14"/>
        <v>119340</v>
      </c>
      <c r="E70" s="390">
        <f t="shared" si="15"/>
        <v>748890</v>
      </c>
      <c r="F70" s="391">
        <f t="shared" si="9"/>
        <v>0.22590943411480116</v>
      </c>
      <c r="G70" s="470" t="s">
        <v>474</v>
      </c>
      <c r="H70" s="386">
        <f t="shared" si="10"/>
        <v>11934</v>
      </c>
      <c r="I70" s="387">
        <f t="shared" si="11"/>
        <v>11934</v>
      </c>
      <c r="J70" s="387">
        <f t="shared" si="12"/>
        <v>119340</v>
      </c>
    </row>
    <row r="71" spans="1:10" x14ac:dyDescent="0.2">
      <c r="A71" s="388">
        <v>6</v>
      </c>
      <c r="B71" s="389">
        <v>0.05</v>
      </c>
      <c r="C71" s="389">
        <f t="shared" si="13"/>
        <v>0.2</v>
      </c>
      <c r="D71" s="361">
        <f t="shared" si="14"/>
        <v>149175</v>
      </c>
      <c r="E71" s="390">
        <f t="shared" si="15"/>
        <v>898065</v>
      </c>
      <c r="F71" s="391">
        <f t="shared" si="9"/>
        <v>0.27090942054014461</v>
      </c>
      <c r="G71" s="470" t="s">
        <v>475</v>
      </c>
      <c r="H71" s="386">
        <f t="shared" si="10"/>
        <v>14918</v>
      </c>
      <c r="I71" s="387">
        <f t="shared" si="11"/>
        <v>14918</v>
      </c>
      <c r="J71" s="387">
        <f t="shared" si="12"/>
        <v>149175</v>
      </c>
    </row>
    <row r="72" spans="1:10" x14ac:dyDescent="0.2">
      <c r="A72" s="388">
        <v>7</v>
      </c>
      <c r="B72" s="389">
        <v>0.05</v>
      </c>
      <c r="C72" s="389">
        <f t="shared" si="13"/>
        <v>0.25</v>
      </c>
      <c r="D72" s="361">
        <f t="shared" si="14"/>
        <v>149175</v>
      </c>
      <c r="E72" s="390">
        <f t="shared" si="15"/>
        <v>1047240</v>
      </c>
      <c r="F72" s="391">
        <f t="shared" si="9"/>
        <v>0.31590940696548808</v>
      </c>
      <c r="G72" s="470" t="s">
        <v>476</v>
      </c>
      <c r="H72" s="386">
        <f t="shared" si="10"/>
        <v>14918</v>
      </c>
      <c r="I72" s="387">
        <f t="shared" si="11"/>
        <v>14918</v>
      </c>
      <c r="J72" s="387">
        <f t="shared" si="12"/>
        <v>149175</v>
      </c>
    </row>
    <row r="73" spans="1:10" x14ac:dyDescent="0.2">
      <c r="A73" s="388">
        <v>8</v>
      </c>
      <c r="B73" s="389">
        <v>0.06</v>
      </c>
      <c r="C73" s="389">
        <f t="shared" si="13"/>
        <v>0.31</v>
      </c>
      <c r="D73" s="361">
        <f t="shared" si="14"/>
        <v>179010</v>
      </c>
      <c r="E73" s="390">
        <f t="shared" si="15"/>
        <v>1226250</v>
      </c>
      <c r="F73" s="391">
        <f t="shared" si="9"/>
        <v>0.36990939067590023</v>
      </c>
      <c r="G73" s="470" t="s">
        <v>477</v>
      </c>
      <c r="H73" s="386">
        <f t="shared" si="10"/>
        <v>17901</v>
      </c>
      <c r="I73" s="387">
        <f t="shared" si="11"/>
        <v>17901</v>
      </c>
      <c r="J73" s="387">
        <f t="shared" si="12"/>
        <v>179010</v>
      </c>
    </row>
    <row r="74" spans="1:10" x14ac:dyDescent="0.2">
      <c r="A74" s="388">
        <v>9</v>
      </c>
      <c r="B74" s="389">
        <v>7.0000000000000007E-2</v>
      </c>
      <c r="C74" s="389">
        <f t="shared" si="13"/>
        <v>0.38</v>
      </c>
      <c r="D74" s="361">
        <f t="shared" si="14"/>
        <v>208845</v>
      </c>
      <c r="E74" s="390">
        <f t="shared" si="15"/>
        <v>1435095</v>
      </c>
      <c r="F74" s="391">
        <f t="shared" si="9"/>
        <v>0.4329093716713811</v>
      </c>
      <c r="G74" s="470" t="s">
        <v>478</v>
      </c>
      <c r="H74" s="386">
        <f t="shared" si="10"/>
        <v>20885</v>
      </c>
      <c r="I74" s="387">
        <f t="shared" si="11"/>
        <v>20885</v>
      </c>
      <c r="J74" s="387">
        <f t="shared" si="12"/>
        <v>208845</v>
      </c>
    </row>
    <row r="75" spans="1:10" x14ac:dyDescent="0.2">
      <c r="A75" s="388">
        <v>10</v>
      </c>
      <c r="B75" s="389">
        <v>0.08</v>
      </c>
      <c r="C75" s="389">
        <f t="shared" si="13"/>
        <v>0.46</v>
      </c>
      <c r="D75" s="393">
        <f t="shared" si="14"/>
        <v>238680</v>
      </c>
      <c r="E75" s="390">
        <f t="shared" si="15"/>
        <v>1673775</v>
      </c>
      <c r="F75" s="391">
        <f t="shared" si="9"/>
        <v>0.5049093499519306</v>
      </c>
      <c r="G75" s="470" t="s">
        <v>479</v>
      </c>
      <c r="H75" s="386">
        <f t="shared" si="10"/>
        <v>23868</v>
      </c>
      <c r="I75" s="387">
        <f t="shared" si="11"/>
        <v>23868</v>
      </c>
      <c r="J75" s="387">
        <f t="shared" si="12"/>
        <v>238680</v>
      </c>
    </row>
    <row r="76" spans="1:10" x14ac:dyDescent="0.2">
      <c r="A76" s="388">
        <v>11</v>
      </c>
      <c r="B76" s="389">
        <v>0.08</v>
      </c>
      <c r="C76" s="389">
        <f t="shared" si="13"/>
        <v>0.54</v>
      </c>
      <c r="D76" s="393">
        <f t="shared" si="14"/>
        <v>238680</v>
      </c>
      <c r="E76" s="390">
        <f t="shared" si="15"/>
        <v>1912455</v>
      </c>
      <c r="F76" s="391">
        <f t="shared" si="9"/>
        <v>0.5769093282324802</v>
      </c>
      <c r="G76" s="470" t="s">
        <v>480</v>
      </c>
      <c r="H76" s="386">
        <f t="shared" si="10"/>
        <v>23868</v>
      </c>
      <c r="I76" s="387">
        <f t="shared" si="11"/>
        <v>23868</v>
      </c>
      <c r="J76" s="387">
        <f t="shared" si="12"/>
        <v>238680</v>
      </c>
    </row>
    <row r="77" spans="1:10" x14ac:dyDescent="0.2">
      <c r="A77" s="388">
        <v>12</v>
      </c>
      <c r="B77" s="389">
        <v>7.0000000000000007E-2</v>
      </c>
      <c r="C77" s="389">
        <f t="shared" si="13"/>
        <v>0.6100000000000001</v>
      </c>
      <c r="D77" s="393">
        <f t="shared" si="14"/>
        <v>208845</v>
      </c>
      <c r="E77" s="390">
        <f t="shared" si="15"/>
        <v>2121300</v>
      </c>
      <c r="F77" s="391">
        <f t="shared" si="9"/>
        <v>0.63990930922796097</v>
      </c>
      <c r="G77" s="470" t="s">
        <v>481</v>
      </c>
      <c r="H77" s="386">
        <f t="shared" si="10"/>
        <v>20885</v>
      </c>
      <c r="I77" s="387">
        <f t="shared" si="11"/>
        <v>20885</v>
      </c>
      <c r="J77" s="387">
        <f t="shared" si="12"/>
        <v>208845</v>
      </c>
    </row>
    <row r="78" spans="1:10" x14ac:dyDescent="0.2">
      <c r="A78" s="388">
        <v>13</v>
      </c>
      <c r="B78" s="389">
        <v>7.0000000000000007E-2</v>
      </c>
      <c r="C78" s="389">
        <f t="shared" si="13"/>
        <v>0.68000000000000016</v>
      </c>
      <c r="D78" s="393">
        <f t="shared" si="14"/>
        <v>208845</v>
      </c>
      <c r="E78" s="390">
        <f t="shared" si="15"/>
        <v>2330145</v>
      </c>
      <c r="F78" s="391">
        <f t="shared" si="9"/>
        <v>0.70290929022344184</v>
      </c>
      <c r="G78" s="470" t="s">
        <v>482</v>
      </c>
      <c r="H78" s="386">
        <f t="shared" si="10"/>
        <v>20885</v>
      </c>
      <c r="I78" s="387">
        <f t="shared" si="11"/>
        <v>20885</v>
      </c>
      <c r="J78" s="387">
        <f t="shared" si="12"/>
        <v>208845</v>
      </c>
    </row>
    <row r="79" spans="1:10" x14ac:dyDescent="0.2">
      <c r="A79" s="388">
        <v>14</v>
      </c>
      <c r="B79" s="389">
        <v>0.06</v>
      </c>
      <c r="C79" s="389">
        <f t="shared" si="13"/>
        <v>0.74000000000000021</v>
      </c>
      <c r="D79" s="393">
        <f t="shared" si="14"/>
        <v>179010</v>
      </c>
      <c r="E79" s="390">
        <f t="shared" si="15"/>
        <v>2509155</v>
      </c>
      <c r="F79" s="391">
        <f t="shared" si="9"/>
        <v>0.75690927393385399</v>
      </c>
      <c r="G79" s="470" t="s">
        <v>483</v>
      </c>
      <c r="H79" s="386">
        <f t="shared" si="10"/>
        <v>17901</v>
      </c>
      <c r="I79" s="387">
        <f t="shared" si="11"/>
        <v>17901</v>
      </c>
      <c r="J79" s="387">
        <f t="shared" si="12"/>
        <v>179010</v>
      </c>
    </row>
    <row r="80" spans="1:10" x14ac:dyDescent="0.2">
      <c r="A80" s="388">
        <v>15</v>
      </c>
      <c r="B80" s="389">
        <v>0.06</v>
      </c>
      <c r="C80" s="389">
        <f t="shared" si="13"/>
        <v>0.80000000000000027</v>
      </c>
      <c r="D80" s="393">
        <f t="shared" si="14"/>
        <v>179010</v>
      </c>
      <c r="E80" s="390">
        <f t="shared" si="15"/>
        <v>2688165</v>
      </c>
      <c r="F80" s="391">
        <f t="shared" si="9"/>
        <v>0.81090925764426613</v>
      </c>
      <c r="G80" s="470" t="s">
        <v>484</v>
      </c>
      <c r="H80" s="386">
        <f t="shared" si="10"/>
        <v>17901</v>
      </c>
      <c r="I80" s="387">
        <f t="shared" si="11"/>
        <v>17901</v>
      </c>
      <c r="J80" s="387">
        <f t="shared" si="12"/>
        <v>179010</v>
      </c>
    </row>
    <row r="81" spans="1:10" x14ac:dyDescent="0.2">
      <c r="A81" s="388">
        <v>16</v>
      </c>
      <c r="B81" s="389">
        <v>0.05</v>
      </c>
      <c r="C81" s="389">
        <f t="shared" si="13"/>
        <v>0.85000000000000031</v>
      </c>
      <c r="D81" s="393">
        <f t="shared" si="14"/>
        <v>149175</v>
      </c>
      <c r="E81" s="390">
        <f t="shared" si="15"/>
        <v>2837340</v>
      </c>
      <c r="F81" s="391">
        <f t="shared" si="9"/>
        <v>0.85590924406960966</v>
      </c>
      <c r="G81" s="470" t="s">
        <v>485</v>
      </c>
      <c r="H81" s="386">
        <f t="shared" si="10"/>
        <v>14918</v>
      </c>
      <c r="I81" s="387">
        <f t="shared" si="11"/>
        <v>14918</v>
      </c>
      <c r="J81" s="387">
        <f t="shared" si="12"/>
        <v>149175</v>
      </c>
    </row>
    <row r="82" spans="1:10" x14ac:dyDescent="0.2">
      <c r="A82" s="388">
        <v>17</v>
      </c>
      <c r="B82" s="389">
        <v>0.05</v>
      </c>
      <c r="C82" s="389">
        <f t="shared" si="13"/>
        <v>0.90000000000000036</v>
      </c>
      <c r="D82" s="393">
        <f t="shared" si="14"/>
        <v>149175</v>
      </c>
      <c r="E82" s="390">
        <f t="shared" si="15"/>
        <v>2986515</v>
      </c>
      <c r="F82" s="391">
        <f t="shared" si="9"/>
        <v>0.90090923049495308</v>
      </c>
      <c r="G82" s="470" t="s">
        <v>486</v>
      </c>
      <c r="H82" s="386">
        <f t="shared" si="10"/>
        <v>14918</v>
      </c>
      <c r="I82" s="387">
        <f t="shared" si="11"/>
        <v>14918</v>
      </c>
      <c r="J82" s="387">
        <f t="shared" si="12"/>
        <v>149175</v>
      </c>
    </row>
    <row r="83" spans="1:10" x14ac:dyDescent="0.2">
      <c r="A83" s="388">
        <v>18</v>
      </c>
      <c r="B83" s="389">
        <v>0.04</v>
      </c>
      <c r="C83" s="389">
        <f t="shared" si="13"/>
        <v>0.94000000000000039</v>
      </c>
      <c r="D83" s="393">
        <f t="shared" si="14"/>
        <v>119340</v>
      </c>
      <c r="E83" s="390">
        <f t="shared" si="15"/>
        <v>3105855</v>
      </c>
      <c r="F83" s="391">
        <f t="shared" si="9"/>
        <v>0.93690921963522789</v>
      </c>
      <c r="G83" s="470" t="s">
        <v>487</v>
      </c>
      <c r="H83" s="386">
        <f t="shared" si="10"/>
        <v>11934</v>
      </c>
      <c r="I83" s="387">
        <f t="shared" si="11"/>
        <v>11934</v>
      </c>
      <c r="J83" s="387">
        <f t="shared" si="12"/>
        <v>119340</v>
      </c>
    </row>
    <row r="84" spans="1:10" x14ac:dyDescent="0.2">
      <c r="A84" s="388">
        <v>19</v>
      </c>
      <c r="B84" s="389">
        <v>0.04</v>
      </c>
      <c r="C84" s="389">
        <f t="shared" si="13"/>
        <v>0.98000000000000043</v>
      </c>
      <c r="D84" s="393">
        <f t="shared" si="14"/>
        <v>119340</v>
      </c>
      <c r="E84" s="390">
        <f t="shared" si="15"/>
        <v>3225195</v>
      </c>
      <c r="F84" s="391">
        <f t="shared" si="9"/>
        <v>0.97290920877550258</v>
      </c>
      <c r="G84" s="470" t="s">
        <v>488</v>
      </c>
      <c r="H84" s="386">
        <f>ROUND(D84*0.1,0)</f>
        <v>11934</v>
      </c>
      <c r="I84" s="387">
        <f t="shared" si="11"/>
        <v>11934</v>
      </c>
      <c r="J84" s="387">
        <f t="shared" si="12"/>
        <v>119340</v>
      </c>
    </row>
    <row r="85" spans="1:10" ht="12.75" thickBot="1" x14ac:dyDescent="0.25">
      <c r="A85" s="371">
        <v>20</v>
      </c>
      <c r="B85" s="372">
        <v>0.02</v>
      </c>
      <c r="C85" s="372">
        <f t="shared" si="13"/>
        <v>1.0000000000000004</v>
      </c>
      <c r="D85" s="373">
        <f>ROUND(B85*$D$11*(100-$D$14)/100,0)</f>
        <v>59670</v>
      </c>
      <c r="E85" s="374">
        <f t="shared" si="15"/>
        <v>3284865</v>
      </c>
      <c r="F85" s="375">
        <f t="shared" si="9"/>
        <v>0.99090920334564003</v>
      </c>
      <c r="G85" s="485" t="s">
        <v>490</v>
      </c>
      <c r="H85" s="377">
        <f>ROUND(D85*0.1,0)</f>
        <v>5967</v>
      </c>
      <c r="I85" s="387">
        <f>ROUNDUP((D85+H85-J85),-(LEN(D85)-$I$15))</f>
        <v>5967</v>
      </c>
      <c r="J85" s="387">
        <f>ROUNDUP(D85*$D$12/100,-(LEN(D85)-$I$15))</f>
        <v>59670</v>
      </c>
    </row>
    <row r="86" spans="1:10" ht="12.75" thickBot="1" x14ac:dyDescent="0.25">
      <c r="A86" s="379" t="str">
        <f>A85*30 &amp; " dias"</f>
        <v>600 dias</v>
      </c>
      <c r="B86" s="380">
        <f>SUM(B66:B85)</f>
        <v>1.0000000000000004</v>
      </c>
      <c r="C86" s="381"/>
      <c r="D86" s="382">
        <f>SUM(D65:D85)</f>
        <v>3284865</v>
      </c>
      <c r="E86" s="318"/>
      <c r="F86" s="324"/>
      <c r="H86" s="318"/>
      <c r="I86" s="382">
        <f>SUM(I65:I85)</f>
        <v>328490</v>
      </c>
      <c r="J86" s="382">
        <f>SUM(J65:J85)</f>
        <v>3284865</v>
      </c>
    </row>
    <row r="87" spans="1:10" x14ac:dyDescent="0.2">
      <c r="A87" s="324"/>
      <c r="H87" s="330" t="s">
        <v>432</v>
      </c>
      <c r="I87" s="1095">
        <f>I86+J86</f>
        <v>3613355</v>
      </c>
      <c r="J87" s="1096"/>
    </row>
    <row r="88" spans="1:10" x14ac:dyDescent="0.2">
      <c r="A88" s="323" t="s">
        <v>433</v>
      </c>
      <c r="B88" s="323"/>
      <c r="C88" s="323"/>
      <c r="H88" s="330" t="s">
        <v>434</v>
      </c>
      <c r="I88" s="341">
        <f>+I87/1.1-D58</f>
        <v>271232.18181818165</v>
      </c>
    </row>
    <row r="89" spans="1:10" x14ac:dyDescent="0.2">
      <c r="B89" s="383"/>
    </row>
    <row r="90" spans="1:10" x14ac:dyDescent="0.2">
      <c r="B90" s="383"/>
    </row>
    <row r="91" spans="1:10" x14ac:dyDescent="0.2">
      <c r="B91" s="383"/>
    </row>
    <row r="92" spans="1:10" x14ac:dyDescent="0.2">
      <c r="B92" s="383"/>
    </row>
    <row r="93" spans="1:10" x14ac:dyDescent="0.2">
      <c r="B93" s="383"/>
    </row>
    <row r="94" spans="1:10" x14ac:dyDescent="0.2">
      <c r="B94" s="383"/>
    </row>
    <row r="95" spans="1:10" x14ac:dyDescent="0.2">
      <c r="B95" s="383"/>
    </row>
    <row r="113" spans="1:23" s="473" customFormat="1" ht="12.75" customHeight="1" x14ac:dyDescent="0.2">
      <c r="A113" s="471"/>
      <c r="B113" s="472" t="s">
        <v>542</v>
      </c>
      <c r="C113" s="472" t="s">
        <v>470</v>
      </c>
      <c r="D113" s="472" t="s">
        <v>471</v>
      </c>
      <c r="E113" s="472" t="s">
        <v>472</v>
      </c>
      <c r="F113" s="472" t="s">
        <v>473</v>
      </c>
      <c r="G113" s="472" t="s">
        <v>474</v>
      </c>
      <c r="H113" s="472" t="s">
        <v>475</v>
      </c>
      <c r="I113" s="472" t="s">
        <v>476</v>
      </c>
      <c r="J113" s="472" t="s">
        <v>477</v>
      </c>
      <c r="K113" s="472" t="s">
        <v>478</v>
      </c>
      <c r="L113" s="472" t="s">
        <v>479</v>
      </c>
      <c r="M113" s="472" t="s">
        <v>480</v>
      </c>
      <c r="N113" s="472" t="s">
        <v>481</v>
      </c>
      <c r="O113" s="472" t="s">
        <v>482</v>
      </c>
      <c r="P113" s="472" t="s">
        <v>483</v>
      </c>
      <c r="Q113" s="472" t="s">
        <v>484</v>
      </c>
      <c r="R113" s="472" t="s">
        <v>485</v>
      </c>
      <c r="S113" s="472" t="s">
        <v>486</v>
      </c>
      <c r="T113" s="472" t="s">
        <v>487</v>
      </c>
      <c r="U113" s="472" t="s">
        <v>488</v>
      </c>
      <c r="V113" s="472" t="s">
        <v>490</v>
      </c>
    </row>
    <row r="114" spans="1:23" x14ac:dyDescent="0.2">
      <c r="A114" s="384" t="s">
        <v>435</v>
      </c>
      <c r="B114" s="361">
        <f>$I65</f>
        <v>30136</v>
      </c>
      <c r="C114" s="361">
        <f>$I66</f>
        <v>5967</v>
      </c>
      <c r="D114" s="361">
        <f>$I67</f>
        <v>7459</v>
      </c>
      <c r="E114" s="361">
        <f>$I68</f>
        <v>8951</v>
      </c>
      <c r="F114" s="361">
        <f>$I69</f>
        <v>10442</v>
      </c>
      <c r="G114" s="361">
        <f>$I70</f>
        <v>11934</v>
      </c>
      <c r="H114" s="361">
        <f>$I71</f>
        <v>14918</v>
      </c>
      <c r="I114" s="361">
        <f>$I72</f>
        <v>14918</v>
      </c>
      <c r="J114" s="361">
        <f>$I73</f>
        <v>17901</v>
      </c>
      <c r="K114" s="361">
        <f>$I74</f>
        <v>20885</v>
      </c>
      <c r="L114" s="361">
        <f>$I75</f>
        <v>23868</v>
      </c>
      <c r="M114" s="361">
        <f>$I76</f>
        <v>23868</v>
      </c>
      <c r="N114" s="361">
        <f>$I77</f>
        <v>20885</v>
      </c>
      <c r="O114" s="361">
        <f>$I78</f>
        <v>20885</v>
      </c>
      <c r="P114" s="361">
        <f>$I79</f>
        <v>17901</v>
      </c>
      <c r="Q114" s="361">
        <f>$I80</f>
        <v>17901</v>
      </c>
      <c r="R114" s="361">
        <f>$I81</f>
        <v>14918</v>
      </c>
      <c r="S114" s="361">
        <f>$I82</f>
        <v>14918</v>
      </c>
      <c r="T114" s="361">
        <f>$I83</f>
        <v>11934</v>
      </c>
      <c r="U114" s="361">
        <f>$I84</f>
        <v>11934</v>
      </c>
      <c r="V114" s="361">
        <f>$I85</f>
        <v>5967</v>
      </c>
      <c r="W114" s="327">
        <f>SUM(B114:V114)</f>
        <v>328490</v>
      </c>
    </row>
    <row r="115" spans="1:23" x14ac:dyDescent="0.2">
      <c r="A115" s="384" t="s">
        <v>436</v>
      </c>
      <c r="B115" s="361">
        <f>$J65</f>
        <v>301364</v>
      </c>
      <c r="C115" s="361">
        <f>$J66</f>
        <v>59670</v>
      </c>
      <c r="D115" s="361">
        <f>$J67</f>
        <v>74588</v>
      </c>
      <c r="E115" s="361">
        <f>$J68</f>
        <v>89505</v>
      </c>
      <c r="F115" s="361">
        <f>$J69</f>
        <v>104423</v>
      </c>
      <c r="G115" s="361">
        <f>$J70</f>
        <v>119340</v>
      </c>
      <c r="H115" s="361">
        <f>$J71</f>
        <v>149175</v>
      </c>
      <c r="I115" s="361">
        <f>$J72</f>
        <v>149175</v>
      </c>
      <c r="J115" s="361">
        <f>$J73</f>
        <v>179010</v>
      </c>
      <c r="K115" s="361">
        <f>$J74</f>
        <v>208845</v>
      </c>
      <c r="L115" s="361">
        <f>$J75</f>
        <v>238680</v>
      </c>
      <c r="M115" s="361">
        <f>$J76</f>
        <v>238680</v>
      </c>
      <c r="N115" s="361">
        <f>$J77</f>
        <v>208845</v>
      </c>
      <c r="O115" s="361">
        <f>$J78</f>
        <v>208845</v>
      </c>
      <c r="P115" s="361">
        <f>$J79</f>
        <v>179010</v>
      </c>
      <c r="Q115" s="361">
        <f>$J80</f>
        <v>179010</v>
      </c>
      <c r="R115" s="361">
        <f>$J81</f>
        <v>149175</v>
      </c>
      <c r="S115" s="361">
        <f>$J82</f>
        <v>149175</v>
      </c>
      <c r="T115" s="361">
        <f>$J83</f>
        <v>119340</v>
      </c>
      <c r="U115" s="361">
        <f>$J84</f>
        <v>119340</v>
      </c>
      <c r="V115" s="361">
        <f>$J85</f>
        <v>59670</v>
      </c>
      <c r="W115" s="327">
        <f>SUM(B115:V115)</f>
        <v>3284865</v>
      </c>
    </row>
    <row r="116" spans="1:23" x14ac:dyDescent="0.2">
      <c r="B116" s="558">
        <f>SUM(B114:B115)</f>
        <v>331500</v>
      </c>
      <c r="C116" s="558">
        <f t="shared" ref="C116:V116" si="16">SUM(C114:C115)</f>
        <v>65637</v>
      </c>
      <c r="D116" s="558">
        <f t="shared" si="16"/>
        <v>82047</v>
      </c>
      <c r="E116" s="558">
        <f t="shared" si="16"/>
        <v>98456</v>
      </c>
      <c r="F116" s="558">
        <f t="shared" si="16"/>
        <v>114865</v>
      </c>
      <c r="G116" s="558">
        <f t="shared" si="16"/>
        <v>131274</v>
      </c>
      <c r="H116" s="558">
        <f t="shared" si="16"/>
        <v>164093</v>
      </c>
      <c r="I116" s="558">
        <f t="shared" si="16"/>
        <v>164093</v>
      </c>
      <c r="J116" s="558">
        <f t="shared" si="16"/>
        <v>196911</v>
      </c>
      <c r="K116" s="558">
        <f t="shared" si="16"/>
        <v>229730</v>
      </c>
      <c r="L116" s="558">
        <f t="shared" si="16"/>
        <v>262548</v>
      </c>
      <c r="M116" s="558">
        <f t="shared" si="16"/>
        <v>262548</v>
      </c>
      <c r="N116" s="558">
        <f t="shared" si="16"/>
        <v>229730</v>
      </c>
      <c r="O116" s="558">
        <f t="shared" si="16"/>
        <v>229730</v>
      </c>
      <c r="P116" s="558">
        <f t="shared" si="16"/>
        <v>196911</v>
      </c>
      <c r="Q116" s="558">
        <f t="shared" si="16"/>
        <v>196911</v>
      </c>
      <c r="R116" s="558">
        <f t="shared" si="16"/>
        <v>164093</v>
      </c>
      <c r="S116" s="558">
        <f t="shared" si="16"/>
        <v>164093</v>
      </c>
      <c r="T116" s="558">
        <f t="shared" si="16"/>
        <v>131274</v>
      </c>
      <c r="U116" s="558">
        <f t="shared" si="16"/>
        <v>131274</v>
      </c>
      <c r="V116" s="558">
        <f t="shared" si="16"/>
        <v>65637</v>
      </c>
    </row>
    <row r="117" spans="1:23" x14ac:dyDescent="0.2">
      <c r="B117" s="561">
        <f>SUM(B116:V116)</f>
        <v>3613355</v>
      </c>
    </row>
  </sheetData>
  <mergeCells count="11">
    <mergeCell ref="I87:J87"/>
    <mergeCell ref="I40:J40"/>
    <mergeCell ref="B50:I51"/>
    <mergeCell ref="A52:C52"/>
    <mergeCell ref="D54:F54"/>
    <mergeCell ref="C62:D62"/>
    <mergeCell ref="A1:J1"/>
    <mergeCell ref="B3:I4"/>
    <mergeCell ref="A5:C5"/>
    <mergeCell ref="D7:F7"/>
    <mergeCell ref="C15:D15"/>
  </mergeCells>
  <printOptions horizontalCentered="1"/>
  <pageMargins left="0.39370078740157483" right="0.39370078740157483" top="1.0236220472440944" bottom="0.78740157480314965" header="0.39370078740157483" footer="0.59055118110236227"/>
  <pageSetup scale="58" orientation="landscape" blackAndWhite="1" r:id="rId1"/>
  <headerFooter alignWithMargins="0">
    <oddHeader>&amp;C&amp;14Ministerio de Obras Públicas y Comunicaciones
Dirección de Caminos Vecinales
Departamento de Planificación y Proyectos</oddHeader>
    <oddFooter>&amp;L&amp;A&amp;C&amp;N&amp;R&amp;D</oddFooter>
  </headerFooter>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7"/>
  <sheetViews>
    <sheetView showGridLines="0" topLeftCell="A28" workbookViewId="0">
      <selection activeCell="D76" sqref="D76"/>
    </sheetView>
  </sheetViews>
  <sheetFormatPr defaultColWidth="9.140625" defaultRowHeight="12" x14ac:dyDescent="0.2"/>
  <cols>
    <col min="1" max="21" width="9.140625" style="319" customWidth="1"/>
    <col min="22" max="16384" width="9.140625" style="319"/>
  </cols>
  <sheetData>
    <row r="1" spans="1:21" x14ac:dyDescent="0.2">
      <c r="A1" s="1090" t="s">
        <v>410</v>
      </c>
      <c r="B1" s="1090"/>
      <c r="C1" s="1090"/>
      <c r="D1" s="1090"/>
      <c r="E1" s="1090"/>
      <c r="F1" s="1090"/>
      <c r="G1" s="1090"/>
      <c r="H1" s="1090"/>
      <c r="I1" s="1090"/>
      <c r="J1" s="1090"/>
      <c r="K1" s="318"/>
      <c r="L1" s="318"/>
      <c r="M1" s="318"/>
      <c r="N1" s="318"/>
      <c r="O1" s="318"/>
      <c r="P1" s="318"/>
      <c r="Q1" s="318"/>
      <c r="R1" s="318"/>
      <c r="S1" s="318"/>
      <c r="T1" s="318"/>
      <c r="U1" s="318"/>
    </row>
    <row r="2" spans="1:21" x14ac:dyDescent="0.2">
      <c r="A2" s="320"/>
      <c r="B2" s="321"/>
      <c r="C2" s="322"/>
      <c r="D2" s="322"/>
      <c r="E2" s="323"/>
      <c r="F2" s="323"/>
      <c r="G2" s="318"/>
      <c r="H2" s="324"/>
      <c r="I2" s="318"/>
      <c r="J2" s="318"/>
      <c r="K2" s="318"/>
      <c r="L2" s="318"/>
      <c r="M2" s="318"/>
      <c r="N2" s="318"/>
      <c r="O2" s="318"/>
      <c r="P2" s="318"/>
      <c r="Q2" s="318"/>
      <c r="R2" s="318"/>
      <c r="S2" s="318"/>
      <c r="T2" s="318"/>
      <c r="U2" s="318"/>
    </row>
    <row r="3" spans="1:21" x14ac:dyDescent="0.2">
      <c r="A3" s="320" t="s">
        <v>411</v>
      </c>
      <c r="B3" s="1091" t="s">
        <v>439</v>
      </c>
      <c r="C3" s="1091"/>
      <c r="D3" s="1091"/>
      <c r="E3" s="1091"/>
      <c r="F3" s="1091"/>
      <c r="G3" s="1091"/>
      <c r="H3" s="1091"/>
      <c r="I3" s="1091"/>
      <c r="J3" s="325"/>
      <c r="K3" s="318"/>
      <c r="L3" s="318"/>
      <c r="M3" s="318"/>
      <c r="N3" s="318"/>
      <c r="O3" s="318"/>
      <c r="P3" s="318"/>
      <c r="Q3" s="318"/>
      <c r="R3" s="318"/>
      <c r="S3" s="318"/>
      <c r="T3" s="318"/>
      <c r="U3" s="318"/>
    </row>
    <row r="4" spans="1:21" x14ac:dyDescent="0.2">
      <c r="A4" s="326"/>
      <c r="B4" s="1091"/>
      <c r="C4" s="1091"/>
      <c r="D4" s="1091"/>
      <c r="E4" s="1091"/>
      <c r="F4" s="1091"/>
      <c r="G4" s="1091"/>
      <c r="H4" s="1091"/>
      <c r="I4" s="1091"/>
      <c r="J4" s="325"/>
      <c r="K4" s="318"/>
      <c r="L4" s="318"/>
      <c r="M4" s="318"/>
      <c r="N4" s="318"/>
      <c r="O4" s="318"/>
      <c r="P4" s="318"/>
      <c r="Q4" s="318"/>
      <c r="R4" s="318"/>
      <c r="S4" s="318"/>
      <c r="T4" s="318"/>
      <c r="U4" s="318"/>
    </row>
    <row r="5" spans="1:21" x14ac:dyDescent="0.2">
      <c r="A5" s="1092" t="str">
        <f>CONCATENATE("PLAZO: ",A36," MESES (",A37,")")</f>
        <v>PLAZO: 18 MESES (540 dias)</v>
      </c>
      <c r="B5" s="1092"/>
      <c r="C5" s="1092"/>
      <c r="D5" s="327"/>
      <c r="E5" s="328" t="s">
        <v>437</v>
      </c>
      <c r="F5" s="318" t="s">
        <v>438</v>
      </c>
      <c r="G5" s="318"/>
      <c r="H5" s="324"/>
      <c r="I5" s="318"/>
      <c r="J5" s="318"/>
      <c r="K5" s="318"/>
      <c r="L5" s="318"/>
      <c r="M5" s="318"/>
      <c r="N5" s="318"/>
      <c r="O5" s="318"/>
      <c r="P5" s="318"/>
      <c r="Q5" s="318"/>
      <c r="R5" s="318"/>
      <c r="S5" s="318"/>
      <c r="T5" s="318"/>
      <c r="U5" s="318"/>
    </row>
    <row r="6" spans="1:21" x14ac:dyDescent="0.2">
      <c r="A6" s="318"/>
      <c r="B6" s="329"/>
      <c r="C6" s="327"/>
      <c r="D6" s="327"/>
      <c r="E6" s="327"/>
      <c r="F6" s="318"/>
      <c r="G6" s="318"/>
      <c r="H6" s="324"/>
      <c r="I6" s="318"/>
      <c r="J6" s="318"/>
      <c r="K6" s="318"/>
      <c r="L6" s="318"/>
      <c r="M6" s="318"/>
      <c r="N6" s="318"/>
      <c r="O6" s="318"/>
      <c r="P6" s="318"/>
      <c r="Q6" s="318"/>
      <c r="R6" s="318"/>
      <c r="S6" s="318"/>
      <c r="T6" s="318"/>
      <c r="U6" s="318"/>
    </row>
    <row r="7" spans="1:21" x14ac:dyDescent="0.2">
      <c r="A7" s="318"/>
      <c r="B7" s="329"/>
      <c r="C7" s="330" t="s">
        <v>412</v>
      </c>
      <c r="D7" s="1093"/>
      <c r="E7" s="1093"/>
      <c r="F7" s="1093"/>
      <c r="G7" s="318"/>
      <c r="H7" s="330" t="s">
        <v>413</v>
      </c>
      <c r="I7" s="331">
        <f ca="1">NOW()</f>
        <v>42304.713902662035</v>
      </c>
      <c r="J7" s="318"/>
      <c r="K7" s="318"/>
      <c r="L7" s="318"/>
      <c r="M7" s="318"/>
      <c r="N7" s="318"/>
      <c r="O7" s="318"/>
      <c r="P7" s="318"/>
      <c r="Q7" s="318"/>
      <c r="R7" s="318"/>
      <c r="S7" s="318"/>
      <c r="T7" s="318"/>
      <c r="U7" s="318"/>
    </row>
    <row r="8" spans="1:21" x14ac:dyDescent="0.2">
      <c r="A8" s="318"/>
      <c r="B8" s="329"/>
      <c r="C8" s="330" t="str">
        <f>IF(D7=0,"MONTO ESTIMADO CON IVA:","MONTO DE CONTRATO CON IVA:")</f>
        <v>MONTO ESTIMADO CON IVA:</v>
      </c>
      <c r="D8" s="332">
        <f>'4. CC D'!K17</f>
        <v>764080</v>
      </c>
      <c r="E8" s="333" t="s">
        <v>414</v>
      </c>
      <c r="F8" s="318" t="s">
        <v>415</v>
      </c>
      <c r="G8" s="318"/>
      <c r="H8" s="324" t="s">
        <v>416</v>
      </c>
      <c r="I8" s="334">
        <v>1</v>
      </c>
      <c r="J8" s="318"/>
      <c r="K8" s="318"/>
      <c r="L8" s="318"/>
      <c r="M8" s="318"/>
      <c r="N8" s="318"/>
      <c r="O8" s="318"/>
      <c r="P8" s="318"/>
      <c r="Q8" s="318"/>
      <c r="R8" s="318"/>
      <c r="S8" s="318"/>
      <c r="T8" s="318"/>
      <c r="U8" s="318"/>
    </row>
    <row r="9" spans="1:21" x14ac:dyDescent="0.2">
      <c r="A9" s="318"/>
      <c r="B9" s="329"/>
      <c r="C9" s="330"/>
      <c r="D9" s="332"/>
      <c r="E9" s="327" t="s">
        <v>417</v>
      </c>
      <c r="F9" s="318"/>
      <c r="G9" s="318"/>
      <c r="H9" s="324"/>
      <c r="I9" s="335"/>
      <c r="J9" s="318"/>
      <c r="K9" s="318"/>
      <c r="L9" s="318"/>
      <c r="M9" s="318"/>
      <c r="N9" s="318"/>
      <c r="O9" s="318"/>
      <c r="P9" s="318"/>
      <c r="Q9" s="318"/>
      <c r="R9" s="318"/>
      <c r="S9" s="318"/>
      <c r="T9" s="318"/>
      <c r="U9" s="318"/>
    </row>
    <row r="10" spans="1:21"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row>
    <row r="11" spans="1:21" x14ac:dyDescent="0.2">
      <c r="A11" s="318"/>
      <c r="B11" s="318"/>
      <c r="C11" s="330" t="str">
        <f>IF(D7=0,"MONTO ESTIMADO SIN IVA:","MONTO DE CONTRATO SIN IVA:")</f>
        <v>MONTO ESTIMADO SIN IVA:</v>
      </c>
      <c r="D11" s="336">
        <f>D8</f>
        <v>764080</v>
      </c>
      <c r="E11" s="337" t="s">
        <v>417</v>
      </c>
      <c r="F11" s="327"/>
      <c r="G11" s="318"/>
      <c r="H11" s="324"/>
      <c r="I11" s="318"/>
      <c r="J11" s="318"/>
      <c r="K11" s="318"/>
      <c r="L11" s="318"/>
      <c r="M11" s="318"/>
      <c r="N11" s="318"/>
      <c r="O11" s="318"/>
      <c r="P11" s="318"/>
      <c r="Q11" s="318"/>
      <c r="R11" s="318"/>
      <c r="S11" s="318"/>
      <c r="T11" s="318"/>
      <c r="U11" s="318"/>
    </row>
    <row r="12" spans="1:21"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row>
    <row r="13" spans="1:21"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row>
    <row r="14" spans="1:21" x14ac:dyDescent="0.2">
      <c r="A14" s="318"/>
      <c r="B14" s="318"/>
      <c r="C14" s="330" t="s">
        <v>421</v>
      </c>
      <c r="D14" s="335">
        <v>20</v>
      </c>
      <c r="E14" s="327"/>
      <c r="F14" s="327"/>
      <c r="G14" s="318"/>
      <c r="H14" s="324"/>
      <c r="I14" s="318"/>
      <c r="J14" s="318"/>
      <c r="K14" s="318"/>
      <c r="L14" s="318"/>
      <c r="M14" s="318"/>
      <c r="N14" s="318"/>
      <c r="O14" s="318"/>
      <c r="P14" s="318"/>
      <c r="Q14" s="318"/>
      <c r="R14" s="318"/>
      <c r="S14" s="318"/>
      <c r="T14" s="318"/>
      <c r="U14" s="318"/>
    </row>
    <row r="15" spans="1:21" x14ac:dyDescent="0.2">
      <c r="A15" s="318"/>
      <c r="B15" s="330" t="s">
        <v>422</v>
      </c>
      <c r="C15" s="1094"/>
      <c r="D15" s="1094"/>
      <c r="E15" s="339" t="s">
        <v>423</v>
      </c>
      <c r="F15" s="340"/>
      <c r="G15" s="318"/>
      <c r="H15" s="341" t="s">
        <v>424</v>
      </c>
      <c r="I15" s="334">
        <v>10</v>
      </c>
      <c r="J15" s="318"/>
      <c r="K15" s="318"/>
      <c r="L15" s="318"/>
      <c r="M15" s="318"/>
      <c r="N15" s="318"/>
      <c r="O15" s="318"/>
      <c r="P15" s="318"/>
      <c r="Q15" s="318"/>
      <c r="R15" s="318"/>
      <c r="S15" s="318"/>
      <c r="T15" s="318"/>
      <c r="U15" s="318"/>
    </row>
    <row r="16" spans="1:21"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row>
    <row r="17" spans="1:21" ht="60.75" thickBot="1" x14ac:dyDescent="0.25">
      <c r="A17" s="343" t="s">
        <v>425</v>
      </c>
      <c r="B17" s="344" t="s">
        <v>426</v>
      </c>
      <c r="C17" s="344" t="s">
        <v>427</v>
      </c>
      <c r="D17" s="345" t="str">
        <f>CONCATENATE("MONTO MENSUAL DESCONTADO ",ROUND(D14,0),"% ANTICIPO")</f>
        <v>MONTO MENSUAL DESCONTADO 20% ANTICIPO</v>
      </c>
      <c r="E17" s="346" t="s">
        <v>428</v>
      </c>
      <c r="F17" s="347" t="s">
        <v>429</v>
      </c>
      <c r="G17" s="348" t="s">
        <v>430</v>
      </c>
      <c r="H17" s="349" t="s">
        <v>431</v>
      </c>
      <c r="I17" s="350" t="str">
        <f>CONCATENATE("DESEMBOLSOS FONDO LOCAL (",ROUND(D13,0),"%) + IVA")</f>
        <v>DESEMBOLSOS FONDO LOCAL (0%) + IVA</v>
      </c>
      <c r="J17" s="350" t="str">
        <f>CONCATENATE("DESEMBOLSOS FONDO EXTERNO (",ROUND(D12,0),"%)")</f>
        <v>DESEMBOLSOS FONDO EXTERNO (100%)</v>
      </c>
      <c r="K17" s="318"/>
      <c r="L17" s="318"/>
      <c r="M17" s="318"/>
      <c r="N17" s="318"/>
      <c r="O17" s="318"/>
      <c r="P17" s="318"/>
      <c r="Q17" s="318"/>
      <c r="R17" s="318"/>
      <c r="S17" s="318"/>
      <c r="T17" s="318"/>
      <c r="U17" s="318"/>
    </row>
    <row r="18" spans="1:21" x14ac:dyDescent="0.2">
      <c r="A18" s="351">
        <v>0</v>
      </c>
      <c r="B18" s="352">
        <f>D14/100</f>
        <v>0.2</v>
      </c>
      <c r="C18" s="352">
        <v>0</v>
      </c>
      <c r="D18" s="353">
        <f>ROUND(B18*D11,0)</f>
        <v>152816</v>
      </c>
      <c r="E18" s="354">
        <f>D18</f>
        <v>152816</v>
      </c>
      <c r="F18" s="355">
        <f t="shared" ref="F18:F36" si="0">E18/$E$36</f>
        <v>0.2</v>
      </c>
      <c r="G18" s="484" t="s">
        <v>543</v>
      </c>
      <c r="H18" s="357">
        <f t="shared" ref="H18:H33" si="1">ROUND(D18*0.1,0)</f>
        <v>15282</v>
      </c>
      <c r="I18" s="358">
        <f>ROUNDUP((D18+H18-J18),-(LEN(D18)-$I$15))</f>
        <v>15282</v>
      </c>
      <c r="J18" s="358">
        <f t="shared" ref="J18:J33" si="2">ROUNDUP(D18*$D$12/100,-(LEN(D18)-$I$15))</f>
        <v>152816</v>
      </c>
      <c r="K18" s="318"/>
      <c r="L18" s="318"/>
      <c r="M18" s="318"/>
      <c r="N18" s="318"/>
      <c r="O18" s="318"/>
      <c r="P18" s="318"/>
      <c r="Q18" s="318"/>
      <c r="R18" s="318"/>
      <c r="S18" s="318"/>
      <c r="T18" s="318"/>
      <c r="U18" s="318"/>
    </row>
    <row r="19" spans="1:21" x14ac:dyDescent="0.2">
      <c r="A19" s="359">
        <v>1</v>
      </c>
      <c r="B19" s="360">
        <v>2.5000000000000001E-2</v>
      </c>
      <c r="C19" s="360">
        <f t="shared" ref="C19:C33" si="3">B19+C18</f>
        <v>2.5000000000000001E-2</v>
      </c>
      <c r="D19" s="361">
        <f t="shared" ref="D19:D31" si="4">ROUND(B19*$D$11*(100-$D$14)/100,0)</f>
        <v>15282</v>
      </c>
      <c r="E19" s="362">
        <f t="shared" ref="E19:E33" si="5">E18+D19</f>
        <v>168098</v>
      </c>
      <c r="F19" s="363">
        <f t="shared" si="0"/>
        <v>0.22000052350539209</v>
      </c>
      <c r="G19" s="470" t="s">
        <v>470</v>
      </c>
      <c r="H19" s="365">
        <f t="shared" si="1"/>
        <v>1528</v>
      </c>
      <c r="I19" s="366">
        <f t="shared" ref="I19:I36" si="6">ROUNDUP((D19+H19-J19),-(LEN(D19)-$I$15))</f>
        <v>1528</v>
      </c>
      <c r="J19" s="366">
        <f t="shared" si="2"/>
        <v>15282</v>
      </c>
      <c r="K19" s="318"/>
      <c r="L19" s="318"/>
      <c r="M19" s="318"/>
      <c r="N19" s="318"/>
      <c r="O19" s="318"/>
      <c r="P19" s="318"/>
      <c r="Q19" s="318"/>
      <c r="R19" s="318"/>
      <c r="S19" s="318"/>
      <c r="T19" s="318"/>
      <c r="U19" s="318"/>
    </row>
    <row r="20" spans="1:21" x14ac:dyDescent="0.2">
      <c r="A20" s="359">
        <v>2</v>
      </c>
      <c r="B20" s="360">
        <v>0.03</v>
      </c>
      <c r="C20" s="360">
        <f t="shared" si="3"/>
        <v>5.5E-2</v>
      </c>
      <c r="D20" s="361">
        <f t="shared" si="4"/>
        <v>18338</v>
      </c>
      <c r="E20" s="362">
        <f t="shared" si="5"/>
        <v>186436</v>
      </c>
      <c r="F20" s="363">
        <f t="shared" si="0"/>
        <v>0.24400062820647053</v>
      </c>
      <c r="G20" s="470" t="s">
        <v>471</v>
      </c>
      <c r="H20" s="365">
        <f t="shared" si="1"/>
        <v>1834</v>
      </c>
      <c r="I20" s="366">
        <f t="shared" si="6"/>
        <v>1834</v>
      </c>
      <c r="J20" s="366">
        <f t="shared" si="2"/>
        <v>18338</v>
      </c>
      <c r="K20" s="367">
        <f>+SUM(J18:J20)</f>
        <v>186436</v>
      </c>
      <c r="L20" s="318"/>
      <c r="M20" s="318"/>
      <c r="N20" s="318"/>
      <c r="O20" s="318"/>
      <c r="P20" s="318"/>
      <c r="Q20" s="318"/>
      <c r="R20" s="318"/>
      <c r="S20" s="318"/>
      <c r="T20" s="318"/>
      <c r="U20" s="318"/>
    </row>
    <row r="21" spans="1:21" x14ac:dyDescent="0.2">
      <c r="A21" s="359">
        <v>3</v>
      </c>
      <c r="B21" s="360">
        <v>3.5000000000000003E-2</v>
      </c>
      <c r="C21" s="360">
        <f t="shared" si="3"/>
        <v>0.09</v>
      </c>
      <c r="D21" s="361">
        <f t="shared" si="4"/>
        <v>21394</v>
      </c>
      <c r="E21" s="362">
        <f t="shared" si="5"/>
        <v>207830</v>
      </c>
      <c r="F21" s="363">
        <f t="shared" si="0"/>
        <v>0.27200031410323527</v>
      </c>
      <c r="G21" s="470" t="s">
        <v>472</v>
      </c>
      <c r="H21" s="365">
        <f t="shared" si="1"/>
        <v>2139</v>
      </c>
      <c r="I21" s="366">
        <f t="shared" si="6"/>
        <v>2139</v>
      </c>
      <c r="J21" s="366">
        <f t="shared" si="2"/>
        <v>21394</v>
      </c>
      <c r="K21" s="318"/>
      <c r="L21" s="318"/>
      <c r="M21" s="318"/>
      <c r="N21" s="318"/>
      <c r="O21" s="318"/>
      <c r="P21" s="318"/>
      <c r="Q21" s="318"/>
      <c r="R21" s="318"/>
      <c r="S21" s="318"/>
      <c r="T21" s="318"/>
      <c r="U21" s="318"/>
    </row>
    <row r="22" spans="1:21" x14ac:dyDescent="0.2">
      <c r="A22" s="359">
        <v>4</v>
      </c>
      <c r="B22" s="360">
        <v>0.05</v>
      </c>
      <c r="C22" s="360">
        <f t="shared" si="3"/>
        <v>0.14000000000000001</v>
      </c>
      <c r="D22" s="361">
        <f t="shared" si="4"/>
        <v>30563</v>
      </c>
      <c r="E22" s="362">
        <f t="shared" si="5"/>
        <v>238393</v>
      </c>
      <c r="F22" s="363">
        <f t="shared" si="0"/>
        <v>0.31200005235053924</v>
      </c>
      <c r="G22" s="470" t="s">
        <v>473</v>
      </c>
      <c r="H22" s="365">
        <f t="shared" si="1"/>
        <v>3056</v>
      </c>
      <c r="I22" s="366">
        <f t="shared" si="6"/>
        <v>3056</v>
      </c>
      <c r="J22" s="366">
        <f t="shared" si="2"/>
        <v>30563</v>
      </c>
      <c r="K22" s="368"/>
      <c r="L22" s="318"/>
      <c r="M22" s="318"/>
      <c r="N22" s="318"/>
      <c r="O22" s="318"/>
      <c r="P22" s="318"/>
      <c r="Q22" s="318"/>
      <c r="R22" s="318"/>
      <c r="S22" s="318"/>
      <c r="T22" s="318"/>
      <c r="U22" s="318"/>
    </row>
    <row r="23" spans="1:21" x14ac:dyDescent="0.2">
      <c r="A23" s="359">
        <v>5</v>
      </c>
      <c r="B23" s="360">
        <v>0.05</v>
      </c>
      <c r="C23" s="360">
        <f t="shared" si="3"/>
        <v>0.19</v>
      </c>
      <c r="D23" s="361">
        <f t="shared" si="4"/>
        <v>30563</v>
      </c>
      <c r="E23" s="362">
        <f t="shared" si="5"/>
        <v>268956</v>
      </c>
      <c r="F23" s="363">
        <f t="shared" si="0"/>
        <v>0.35199979059784314</v>
      </c>
      <c r="G23" s="470" t="s">
        <v>474</v>
      </c>
      <c r="H23" s="365">
        <f t="shared" si="1"/>
        <v>3056</v>
      </c>
      <c r="I23" s="366">
        <f t="shared" si="6"/>
        <v>3056</v>
      </c>
      <c r="J23" s="366">
        <f t="shared" si="2"/>
        <v>30563</v>
      </c>
      <c r="K23" s="368"/>
      <c r="L23" s="318"/>
      <c r="M23" s="318"/>
      <c r="N23" s="318"/>
      <c r="O23" s="318"/>
      <c r="P23" s="318"/>
      <c r="Q23" s="318"/>
      <c r="R23" s="318"/>
      <c r="S23" s="318"/>
      <c r="T23" s="318"/>
      <c r="U23" s="318"/>
    </row>
    <row r="24" spans="1:21" x14ac:dyDescent="0.2">
      <c r="A24" s="359">
        <v>6</v>
      </c>
      <c r="B24" s="360">
        <v>0.09</v>
      </c>
      <c r="C24" s="360">
        <f t="shared" si="3"/>
        <v>0.28000000000000003</v>
      </c>
      <c r="D24" s="361">
        <f t="shared" si="4"/>
        <v>55014</v>
      </c>
      <c r="E24" s="362">
        <f t="shared" si="5"/>
        <v>323970</v>
      </c>
      <c r="F24" s="363">
        <f t="shared" si="0"/>
        <v>0.42400010470107841</v>
      </c>
      <c r="G24" s="470" t="s">
        <v>475</v>
      </c>
      <c r="H24" s="365">
        <f t="shared" si="1"/>
        <v>5501</v>
      </c>
      <c r="I24" s="366">
        <f t="shared" si="6"/>
        <v>5501</v>
      </c>
      <c r="J24" s="366">
        <f t="shared" si="2"/>
        <v>55014</v>
      </c>
      <c r="K24" s="368"/>
      <c r="L24" s="318"/>
      <c r="M24" s="318"/>
      <c r="N24" s="318"/>
      <c r="O24" s="318"/>
      <c r="P24" s="318"/>
      <c r="Q24" s="318"/>
      <c r="R24" s="318"/>
      <c r="S24" s="318"/>
      <c r="T24" s="318"/>
      <c r="U24" s="318"/>
    </row>
    <row r="25" spans="1:21" x14ac:dyDescent="0.2">
      <c r="A25" s="359">
        <v>7</v>
      </c>
      <c r="B25" s="360">
        <v>0.09</v>
      </c>
      <c r="C25" s="360">
        <f t="shared" si="3"/>
        <v>0.37</v>
      </c>
      <c r="D25" s="361">
        <f t="shared" si="4"/>
        <v>55014</v>
      </c>
      <c r="E25" s="362">
        <f t="shared" si="5"/>
        <v>378984</v>
      </c>
      <c r="F25" s="363">
        <f t="shared" si="0"/>
        <v>0.49600041880431367</v>
      </c>
      <c r="G25" s="470" t="s">
        <v>476</v>
      </c>
      <c r="H25" s="365">
        <f t="shared" si="1"/>
        <v>5501</v>
      </c>
      <c r="I25" s="366">
        <f t="shared" si="6"/>
        <v>5501</v>
      </c>
      <c r="J25" s="366">
        <f t="shared" si="2"/>
        <v>55014</v>
      </c>
      <c r="K25" s="369"/>
      <c r="L25" s="318"/>
      <c r="M25" s="318"/>
      <c r="N25" s="318"/>
      <c r="O25" s="318"/>
      <c r="P25" s="318"/>
      <c r="Q25" s="318"/>
      <c r="R25" s="318"/>
      <c r="S25" s="318"/>
      <c r="T25" s="318"/>
      <c r="U25" s="318"/>
    </row>
    <row r="26" spans="1:21" x14ac:dyDescent="0.2">
      <c r="A26" s="359">
        <v>8</v>
      </c>
      <c r="B26" s="360">
        <v>0.1</v>
      </c>
      <c r="C26" s="360">
        <f t="shared" si="3"/>
        <v>0.47</v>
      </c>
      <c r="D26" s="361">
        <f t="shared" si="4"/>
        <v>61126</v>
      </c>
      <c r="E26" s="362">
        <f t="shared" si="5"/>
        <v>440110</v>
      </c>
      <c r="F26" s="363">
        <f t="shared" si="0"/>
        <v>0.57599989529892159</v>
      </c>
      <c r="G26" s="470" t="s">
        <v>477</v>
      </c>
      <c r="H26" s="365">
        <f t="shared" si="1"/>
        <v>6113</v>
      </c>
      <c r="I26" s="366">
        <f t="shared" si="6"/>
        <v>6113</v>
      </c>
      <c r="J26" s="366">
        <f t="shared" si="2"/>
        <v>61126</v>
      </c>
      <c r="K26" s="368"/>
      <c r="L26" s="318"/>
      <c r="M26" s="318"/>
      <c r="N26" s="318"/>
      <c r="O26" s="318"/>
      <c r="P26" s="318"/>
      <c r="Q26" s="318"/>
      <c r="R26" s="318"/>
      <c r="S26" s="318"/>
      <c r="T26" s="318"/>
      <c r="U26" s="318"/>
    </row>
    <row r="27" spans="1:21" x14ac:dyDescent="0.2">
      <c r="A27" s="359">
        <v>9</v>
      </c>
      <c r="B27" s="360">
        <v>0.1</v>
      </c>
      <c r="C27" s="360">
        <f t="shared" si="3"/>
        <v>0.56999999999999995</v>
      </c>
      <c r="D27" s="361">
        <f t="shared" si="4"/>
        <v>61126</v>
      </c>
      <c r="E27" s="362">
        <f t="shared" si="5"/>
        <v>501236</v>
      </c>
      <c r="F27" s="363">
        <f t="shared" si="0"/>
        <v>0.65599937179352952</v>
      </c>
      <c r="G27" s="470" t="s">
        <v>478</v>
      </c>
      <c r="H27" s="365">
        <f t="shared" si="1"/>
        <v>6113</v>
      </c>
      <c r="I27" s="366">
        <f t="shared" si="6"/>
        <v>6113</v>
      </c>
      <c r="J27" s="366">
        <f t="shared" si="2"/>
        <v>61126</v>
      </c>
      <c r="K27" s="368"/>
      <c r="L27" s="318"/>
      <c r="M27" s="318"/>
      <c r="N27" s="318"/>
      <c r="O27" s="318"/>
      <c r="P27" s="318"/>
      <c r="Q27" s="318"/>
      <c r="R27" s="318"/>
      <c r="S27" s="318"/>
      <c r="T27" s="318"/>
      <c r="U27" s="318"/>
    </row>
    <row r="28" spans="1:21" x14ac:dyDescent="0.2">
      <c r="A28" s="359">
        <v>10</v>
      </c>
      <c r="B28" s="360">
        <v>0.1</v>
      </c>
      <c r="C28" s="360">
        <f t="shared" si="3"/>
        <v>0.66999999999999993</v>
      </c>
      <c r="D28" s="361">
        <f t="shared" si="4"/>
        <v>61126</v>
      </c>
      <c r="E28" s="362">
        <f t="shared" si="5"/>
        <v>562362</v>
      </c>
      <c r="F28" s="363">
        <f t="shared" si="0"/>
        <v>0.73599884828813733</v>
      </c>
      <c r="G28" s="470" t="s">
        <v>479</v>
      </c>
      <c r="H28" s="365">
        <f t="shared" si="1"/>
        <v>6113</v>
      </c>
      <c r="I28" s="366">
        <f t="shared" si="6"/>
        <v>6113</v>
      </c>
      <c r="J28" s="366">
        <f t="shared" si="2"/>
        <v>61126</v>
      </c>
      <c r="K28" s="368"/>
      <c r="L28" s="318"/>
      <c r="M28" s="318"/>
      <c r="N28" s="318"/>
      <c r="O28" s="318"/>
      <c r="P28" s="318"/>
      <c r="Q28" s="318"/>
      <c r="R28" s="318"/>
      <c r="S28" s="318"/>
      <c r="T28" s="318"/>
      <c r="U28" s="318"/>
    </row>
    <row r="29" spans="1:21" x14ac:dyDescent="0.2">
      <c r="A29" s="359">
        <v>11</v>
      </c>
      <c r="B29" s="360">
        <v>0.1</v>
      </c>
      <c r="C29" s="360">
        <f t="shared" si="3"/>
        <v>0.76999999999999991</v>
      </c>
      <c r="D29" s="361">
        <f t="shared" si="4"/>
        <v>61126</v>
      </c>
      <c r="E29" s="362">
        <f t="shared" si="5"/>
        <v>623488</v>
      </c>
      <c r="F29" s="363">
        <f t="shared" si="0"/>
        <v>0.81599832478274525</v>
      </c>
      <c r="G29" s="470" t="s">
        <v>480</v>
      </c>
      <c r="H29" s="365">
        <f t="shared" si="1"/>
        <v>6113</v>
      </c>
      <c r="I29" s="366">
        <f t="shared" si="6"/>
        <v>6113</v>
      </c>
      <c r="J29" s="366">
        <f t="shared" si="2"/>
        <v>61126</v>
      </c>
      <c r="K29" s="368"/>
      <c r="L29" s="318"/>
      <c r="M29" s="318"/>
      <c r="N29" s="318"/>
      <c r="O29" s="318"/>
      <c r="P29" s="318"/>
      <c r="Q29" s="318"/>
      <c r="R29" s="318"/>
      <c r="S29" s="318"/>
      <c r="T29" s="318"/>
      <c r="U29" s="318"/>
    </row>
    <row r="30" spans="1:21" x14ac:dyDescent="0.2">
      <c r="A30" s="359">
        <v>12</v>
      </c>
      <c r="B30" s="360">
        <v>0.08</v>
      </c>
      <c r="C30" s="360">
        <f t="shared" si="3"/>
        <v>0.84999999999999987</v>
      </c>
      <c r="D30" s="361">
        <f t="shared" si="4"/>
        <v>48901</v>
      </c>
      <c r="E30" s="362">
        <f t="shared" si="5"/>
        <v>672389</v>
      </c>
      <c r="F30" s="363">
        <f t="shared" si="0"/>
        <v>0.8799981677311276</v>
      </c>
      <c r="G30" s="470" t="s">
        <v>481</v>
      </c>
      <c r="H30" s="365">
        <f t="shared" si="1"/>
        <v>4890</v>
      </c>
      <c r="I30" s="366">
        <f t="shared" si="6"/>
        <v>4890</v>
      </c>
      <c r="J30" s="366">
        <f t="shared" si="2"/>
        <v>48901</v>
      </c>
      <c r="K30" s="368"/>
      <c r="L30" s="318"/>
      <c r="M30" s="318"/>
      <c r="N30" s="318"/>
      <c r="O30" s="318"/>
      <c r="P30" s="318"/>
      <c r="Q30" s="318"/>
      <c r="R30" s="318"/>
      <c r="S30" s="318"/>
      <c r="T30" s="318"/>
      <c r="U30" s="318"/>
    </row>
    <row r="31" spans="1:21" x14ac:dyDescent="0.2">
      <c r="A31" s="359">
        <v>13</v>
      </c>
      <c r="B31" s="360">
        <v>0.06</v>
      </c>
      <c r="C31" s="360">
        <f t="shared" si="3"/>
        <v>0.90999999999999992</v>
      </c>
      <c r="D31" s="361">
        <f t="shared" si="4"/>
        <v>36676</v>
      </c>
      <c r="E31" s="362">
        <f t="shared" si="5"/>
        <v>709065</v>
      </c>
      <c r="F31" s="363">
        <f t="shared" si="0"/>
        <v>0.92799837713328448</v>
      </c>
      <c r="G31" s="470" t="s">
        <v>482</v>
      </c>
      <c r="H31" s="365">
        <f t="shared" si="1"/>
        <v>3668</v>
      </c>
      <c r="I31" s="366">
        <f t="shared" si="6"/>
        <v>3668</v>
      </c>
      <c r="J31" s="366">
        <f t="shared" si="2"/>
        <v>36676</v>
      </c>
      <c r="K31" s="368"/>
      <c r="L31" s="318"/>
      <c r="M31" s="318"/>
      <c r="N31" s="318"/>
      <c r="O31" s="318"/>
      <c r="P31" s="318"/>
      <c r="Q31" s="318"/>
      <c r="R31" s="318"/>
      <c r="S31" s="318"/>
      <c r="T31" s="318"/>
      <c r="U31" s="318"/>
    </row>
    <row r="32" spans="1:21" x14ac:dyDescent="0.2">
      <c r="A32" s="359">
        <v>14</v>
      </c>
      <c r="B32" s="360">
        <v>0.04</v>
      </c>
      <c r="C32" s="360">
        <f t="shared" si="3"/>
        <v>0.95</v>
      </c>
      <c r="D32" s="361">
        <f>ROUND(B32*$D$11*(100-$D$14)/100,0)</f>
        <v>24451</v>
      </c>
      <c r="E32" s="362">
        <f t="shared" si="5"/>
        <v>733516</v>
      </c>
      <c r="F32" s="363">
        <f t="shared" si="0"/>
        <v>0.95999895298921578</v>
      </c>
      <c r="G32" s="470" t="s">
        <v>483</v>
      </c>
      <c r="H32" s="365">
        <f t="shared" si="1"/>
        <v>2445</v>
      </c>
      <c r="I32" s="366">
        <f t="shared" si="6"/>
        <v>2445</v>
      </c>
      <c r="J32" s="366">
        <f t="shared" si="2"/>
        <v>24451</v>
      </c>
      <c r="K32" s="370">
        <f>+SUM(J21:J32)</f>
        <v>547080</v>
      </c>
      <c r="L32" s="318"/>
      <c r="M32" s="318"/>
      <c r="N32" s="318"/>
      <c r="O32" s="318"/>
      <c r="P32" s="318"/>
      <c r="Q32" s="318"/>
      <c r="R32" s="318"/>
      <c r="S32" s="318"/>
      <c r="T32" s="318"/>
      <c r="U32" s="318"/>
    </row>
    <row r="33" spans="1:21" x14ac:dyDescent="0.2">
      <c r="A33" s="359">
        <v>15</v>
      </c>
      <c r="B33" s="360">
        <v>0.02</v>
      </c>
      <c r="C33" s="360">
        <f t="shared" si="3"/>
        <v>0.97</v>
      </c>
      <c r="D33" s="361">
        <f>ROUND(B33*$D$11*(100-$D$14)/100,0)</f>
        <v>12225</v>
      </c>
      <c r="E33" s="362">
        <f t="shared" si="5"/>
        <v>745741</v>
      </c>
      <c r="F33" s="363">
        <f t="shared" si="0"/>
        <v>0.97599858653544136</v>
      </c>
      <c r="G33" s="470" t="s">
        <v>484</v>
      </c>
      <c r="H33" s="365">
        <f t="shared" si="1"/>
        <v>1223</v>
      </c>
      <c r="I33" s="366">
        <f t="shared" si="6"/>
        <v>1223</v>
      </c>
      <c r="J33" s="366">
        <f t="shared" si="2"/>
        <v>12225</v>
      </c>
      <c r="K33" s="368"/>
      <c r="L33" s="318"/>
      <c r="M33" s="318"/>
      <c r="N33" s="318"/>
      <c r="O33" s="318"/>
      <c r="P33" s="318"/>
      <c r="Q33" s="318"/>
      <c r="R33" s="318"/>
      <c r="S33" s="318"/>
      <c r="T33" s="318"/>
      <c r="U33" s="318"/>
    </row>
    <row r="34" spans="1:21" x14ac:dyDescent="0.2">
      <c r="A34" s="359">
        <v>16</v>
      </c>
      <c r="B34" s="360">
        <v>0.01</v>
      </c>
      <c r="C34" s="360">
        <f>B34+C33</f>
        <v>0.98</v>
      </c>
      <c r="D34" s="361">
        <f>ROUND(B34*$D$11*(100-$D$14)/100,0)</f>
        <v>6113</v>
      </c>
      <c r="E34" s="362">
        <f>E33+D34</f>
        <v>751854</v>
      </c>
      <c r="F34" s="363">
        <f t="shared" si="0"/>
        <v>0.98399905769029417</v>
      </c>
      <c r="G34" s="470" t="s">
        <v>485</v>
      </c>
      <c r="H34" s="365">
        <f>ROUND(D34*0.1,0)</f>
        <v>611</v>
      </c>
      <c r="I34" s="366">
        <f t="shared" si="6"/>
        <v>611</v>
      </c>
      <c r="J34" s="366">
        <f>ROUNDUP(D34*$D$12/100,-(LEN(D34)-$I$15))</f>
        <v>6113</v>
      </c>
      <c r="K34" s="368"/>
      <c r="L34" s="318"/>
      <c r="M34" s="318"/>
      <c r="N34" s="318"/>
      <c r="O34" s="318"/>
      <c r="P34" s="318"/>
      <c r="Q34" s="318"/>
      <c r="R34" s="318"/>
      <c r="S34" s="318"/>
      <c r="T34" s="318"/>
      <c r="U34" s="318"/>
    </row>
    <row r="35" spans="1:21" x14ac:dyDescent="0.2">
      <c r="A35" s="359">
        <v>17</v>
      </c>
      <c r="B35" s="360">
        <v>0.01</v>
      </c>
      <c r="C35" s="360">
        <f>B35+C34</f>
        <v>0.99</v>
      </c>
      <c r="D35" s="361">
        <f>ROUND(B35*$D$11*(100-$D$14)/100,0)</f>
        <v>6113</v>
      </c>
      <c r="E35" s="362">
        <f>E34+D35</f>
        <v>757967</v>
      </c>
      <c r="F35" s="363">
        <f t="shared" si="0"/>
        <v>0.99199952884514708</v>
      </c>
      <c r="G35" s="470" t="s">
        <v>486</v>
      </c>
      <c r="H35" s="365">
        <f>ROUND(D35*0.1,0)</f>
        <v>611</v>
      </c>
      <c r="I35" s="366">
        <f t="shared" si="6"/>
        <v>611</v>
      </c>
      <c r="J35" s="366">
        <f>ROUNDUP(D35*$D$12/100,-(LEN(D35)-$I$15))</f>
        <v>6113</v>
      </c>
      <c r="K35" s="368"/>
      <c r="L35" s="318"/>
      <c r="M35" s="318"/>
      <c r="N35" s="318"/>
      <c r="O35" s="318"/>
      <c r="P35" s="318"/>
      <c r="Q35" s="318"/>
      <c r="R35" s="318"/>
      <c r="S35" s="318"/>
      <c r="T35" s="318"/>
      <c r="U35" s="318"/>
    </row>
    <row r="36" spans="1:21" ht="12.75" thickBot="1" x14ac:dyDescent="0.25">
      <c r="A36" s="371">
        <v>18</v>
      </c>
      <c r="B36" s="372">
        <v>0.01</v>
      </c>
      <c r="C36" s="372">
        <f>B36+C35</f>
        <v>1</v>
      </c>
      <c r="D36" s="373">
        <f>ROUND(B36*$D$11*(100-$D$14)/100,0)</f>
        <v>6113</v>
      </c>
      <c r="E36" s="374">
        <f>E35+D36</f>
        <v>764080</v>
      </c>
      <c r="F36" s="375">
        <f t="shared" si="0"/>
        <v>1</v>
      </c>
      <c r="G36" s="485" t="s">
        <v>487</v>
      </c>
      <c r="H36" s="377">
        <f>ROUND(D36*0.1,0)</f>
        <v>611</v>
      </c>
      <c r="I36" s="378">
        <f t="shared" si="6"/>
        <v>611</v>
      </c>
      <c r="J36" s="378">
        <f>ROUNDUP(D36*$D$12/100,-(LEN(D36)-$I$15))</f>
        <v>6113</v>
      </c>
      <c r="K36" s="370">
        <f>+SUM(J33:J36)</f>
        <v>30564</v>
      </c>
      <c r="L36" s="318"/>
      <c r="M36" s="318"/>
      <c r="N36" s="318"/>
      <c r="O36" s="318"/>
      <c r="P36" s="318"/>
      <c r="Q36" s="318"/>
      <c r="R36" s="318"/>
      <c r="S36" s="318"/>
      <c r="T36" s="318"/>
      <c r="U36" s="318"/>
    </row>
    <row r="37" spans="1:21" ht="12.75" thickBot="1" x14ac:dyDescent="0.25">
      <c r="A37" s="480" t="str">
        <f>A36*30 &amp; " dias"</f>
        <v>540 dias</v>
      </c>
      <c r="B37" s="481">
        <f>SUM(B19:B36)</f>
        <v>1</v>
      </c>
      <c r="C37" s="482"/>
      <c r="D37" s="483">
        <f>SUM(D18:D36)</f>
        <v>764080</v>
      </c>
      <c r="E37" s="318"/>
      <c r="F37" s="324"/>
      <c r="G37" s="324"/>
      <c r="H37" s="318"/>
      <c r="I37" s="382">
        <f>SUM(I18:I36)</f>
        <v>76408</v>
      </c>
      <c r="J37" s="382">
        <f>SUM(J18:J36)</f>
        <v>764080</v>
      </c>
      <c r="K37" s="368"/>
      <c r="L37" s="318"/>
      <c r="M37" s="318"/>
      <c r="N37" s="318"/>
      <c r="O37" s="318"/>
      <c r="P37" s="318"/>
      <c r="Q37" s="318"/>
      <c r="R37" s="318"/>
      <c r="S37" s="318"/>
      <c r="T37" s="318"/>
      <c r="U37" s="318"/>
    </row>
    <row r="38" spans="1:21" x14ac:dyDescent="0.2">
      <c r="A38" s="324"/>
      <c r="B38" s="329"/>
      <c r="C38" s="327"/>
      <c r="D38" s="327"/>
      <c r="E38" s="327"/>
      <c r="F38" s="318"/>
      <c r="G38" s="318"/>
      <c r="H38" s="330" t="s">
        <v>432</v>
      </c>
      <c r="I38" s="1088">
        <f>I37+J37</f>
        <v>840488</v>
      </c>
      <c r="J38" s="1089"/>
      <c r="K38" s="318"/>
      <c r="L38" s="318"/>
      <c r="M38" s="318"/>
      <c r="N38" s="318"/>
      <c r="O38" s="318"/>
      <c r="P38" s="318"/>
      <c r="Q38" s="318"/>
      <c r="R38" s="318"/>
      <c r="S38" s="318"/>
      <c r="T38" s="318"/>
      <c r="U38" s="318"/>
    </row>
    <row r="39" spans="1:21" x14ac:dyDescent="0.2">
      <c r="A39" s="323" t="s">
        <v>433</v>
      </c>
      <c r="B39" s="323"/>
      <c r="C39" s="323"/>
      <c r="D39" s="327"/>
      <c r="E39" s="327"/>
      <c r="F39" s="318"/>
      <c r="G39" s="318"/>
      <c r="H39" s="330" t="s">
        <v>434</v>
      </c>
      <c r="I39" s="341">
        <f>I38/1.1-D11</f>
        <v>0</v>
      </c>
      <c r="J39" s="318"/>
      <c r="K39" s="318"/>
      <c r="L39" s="318"/>
      <c r="M39" s="318"/>
      <c r="N39" s="318"/>
      <c r="O39" s="318"/>
      <c r="P39" s="318"/>
      <c r="Q39" s="318"/>
      <c r="R39" s="318"/>
      <c r="S39" s="318"/>
      <c r="T39" s="318"/>
      <c r="U39" s="318"/>
    </row>
    <row r="40" spans="1:21" x14ac:dyDescent="0.2">
      <c r="A40" s="318"/>
      <c r="B40" s="383"/>
      <c r="C40" s="327"/>
      <c r="D40" s="327"/>
      <c r="E40" s="327"/>
      <c r="F40" s="318"/>
      <c r="G40" s="318"/>
      <c r="H40" s="324"/>
      <c r="I40" s="318"/>
      <c r="J40" s="318"/>
      <c r="K40" s="318"/>
      <c r="L40" s="318"/>
      <c r="M40" s="318"/>
      <c r="N40" s="318"/>
      <c r="O40" s="318"/>
      <c r="P40" s="318"/>
      <c r="Q40" s="318"/>
      <c r="R40" s="318"/>
      <c r="S40" s="318"/>
      <c r="T40" s="318"/>
      <c r="U40" s="318"/>
    </row>
    <row r="41" spans="1:21" x14ac:dyDescent="0.2">
      <c r="A41" s="318"/>
      <c r="B41" s="383"/>
      <c r="C41" s="327"/>
      <c r="D41" s="327"/>
      <c r="E41" s="327"/>
      <c r="F41" s="318"/>
      <c r="G41" s="318"/>
      <c r="H41" s="324"/>
      <c r="I41" s="318"/>
      <c r="J41" s="318"/>
      <c r="K41" s="318"/>
      <c r="L41" s="318"/>
      <c r="M41" s="318"/>
      <c r="N41" s="318"/>
      <c r="O41" s="318"/>
      <c r="P41" s="318"/>
      <c r="Q41" s="318"/>
      <c r="R41" s="318"/>
      <c r="S41" s="318"/>
      <c r="T41" s="318"/>
      <c r="U41" s="318"/>
    </row>
    <row r="42" spans="1:21" x14ac:dyDescent="0.2">
      <c r="A42" s="318"/>
      <c r="B42" s="383"/>
      <c r="C42" s="327"/>
      <c r="D42" s="327"/>
      <c r="E42" s="327"/>
      <c r="F42" s="318"/>
      <c r="G42" s="318"/>
      <c r="H42" s="324"/>
      <c r="I42" s="318"/>
      <c r="J42" s="318"/>
      <c r="K42" s="318"/>
      <c r="L42" s="318"/>
      <c r="M42" s="318"/>
      <c r="N42" s="318"/>
      <c r="O42" s="318"/>
      <c r="P42" s="318"/>
      <c r="Q42" s="318"/>
      <c r="R42" s="318"/>
      <c r="S42" s="318"/>
      <c r="T42" s="318"/>
      <c r="U42" s="318"/>
    </row>
    <row r="43" spans="1:21" x14ac:dyDescent="0.2">
      <c r="A43" s="318"/>
      <c r="B43" s="383"/>
      <c r="C43" s="327"/>
      <c r="D43" s="327"/>
      <c r="E43" s="327"/>
      <c r="F43" s="318"/>
      <c r="G43" s="318"/>
      <c r="H43" s="324"/>
      <c r="I43" s="318"/>
      <c r="J43" s="318"/>
      <c r="K43" s="318"/>
      <c r="L43" s="318"/>
      <c r="M43" s="318"/>
      <c r="N43" s="318"/>
      <c r="O43" s="318"/>
      <c r="P43" s="318"/>
      <c r="Q43" s="318"/>
      <c r="R43" s="318"/>
      <c r="S43" s="318"/>
      <c r="T43" s="318"/>
      <c r="U43" s="318"/>
    </row>
    <row r="44" spans="1:21" x14ac:dyDescent="0.2">
      <c r="A44" s="318"/>
      <c r="B44" s="383"/>
      <c r="C44" s="327"/>
      <c r="D44" s="327"/>
      <c r="E44" s="327"/>
      <c r="F44" s="318"/>
      <c r="G44" s="318"/>
      <c r="H44" s="324"/>
      <c r="I44" s="318"/>
      <c r="J44" s="318"/>
      <c r="K44" s="318"/>
      <c r="L44" s="318"/>
      <c r="M44" s="318"/>
      <c r="N44" s="318"/>
      <c r="O44" s="318"/>
      <c r="P44" s="318"/>
      <c r="Q44" s="318"/>
      <c r="R44" s="318"/>
      <c r="S44" s="318"/>
      <c r="T44" s="318"/>
      <c r="U44" s="318"/>
    </row>
    <row r="45" spans="1:21" x14ac:dyDescent="0.2">
      <c r="A45" s="318"/>
      <c r="B45" s="383"/>
      <c r="C45" s="327"/>
      <c r="D45" s="327"/>
      <c r="E45" s="327"/>
      <c r="F45" s="318"/>
      <c r="G45" s="318"/>
      <c r="H45" s="324"/>
      <c r="I45" s="318"/>
      <c r="J45" s="318"/>
      <c r="K45" s="318"/>
      <c r="L45" s="318"/>
      <c r="M45" s="318"/>
      <c r="N45" s="318"/>
      <c r="O45" s="318"/>
      <c r="P45" s="318"/>
      <c r="Q45" s="318"/>
      <c r="R45" s="318"/>
      <c r="S45" s="318"/>
      <c r="T45" s="318"/>
      <c r="U45" s="318"/>
    </row>
    <row r="46" spans="1:21" x14ac:dyDescent="0.2">
      <c r="A46" s="318"/>
      <c r="B46" s="383"/>
      <c r="C46" s="327"/>
      <c r="D46" s="327"/>
      <c r="E46" s="327"/>
      <c r="F46" s="318"/>
      <c r="G46" s="318"/>
      <c r="H46" s="324"/>
      <c r="I46" s="318"/>
      <c r="J46" s="318"/>
      <c r="K46" s="318"/>
      <c r="L46" s="318"/>
      <c r="M46" s="318"/>
      <c r="N46" s="318"/>
      <c r="O46" s="318"/>
      <c r="P46" s="318"/>
      <c r="Q46" s="318"/>
      <c r="R46" s="318"/>
      <c r="S46" s="318"/>
      <c r="T46" s="318"/>
      <c r="U46" s="318"/>
    </row>
    <row r="47" spans="1:21" x14ac:dyDescent="0.2">
      <c r="A47" s="318"/>
      <c r="B47" s="329"/>
      <c r="C47" s="327"/>
      <c r="D47" s="327"/>
      <c r="E47" s="327"/>
      <c r="F47" s="318"/>
      <c r="G47" s="318"/>
      <c r="H47" s="324"/>
      <c r="I47" s="318"/>
      <c r="J47" s="318"/>
      <c r="K47" s="318"/>
      <c r="L47" s="318"/>
      <c r="M47" s="318"/>
      <c r="N47" s="318"/>
      <c r="O47" s="318"/>
      <c r="P47" s="318"/>
      <c r="Q47" s="318"/>
      <c r="R47" s="318"/>
      <c r="S47" s="318"/>
      <c r="T47" s="318"/>
      <c r="U47" s="318"/>
    </row>
    <row r="48" spans="1:21" x14ac:dyDescent="0.2">
      <c r="A48" s="318"/>
      <c r="B48" s="329"/>
      <c r="C48" s="327"/>
      <c r="D48" s="327"/>
      <c r="E48" s="327"/>
      <c r="F48" s="318"/>
      <c r="G48" s="318"/>
      <c r="H48" s="324"/>
      <c r="I48" s="318"/>
      <c r="J48" s="318"/>
      <c r="K48" s="318"/>
      <c r="L48" s="318"/>
      <c r="M48" s="318"/>
      <c r="N48" s="318"/>
      <c r="O48" s="318"/>
      <c r="P48" s="318"/>
      <c r="Q48" s="318"/>
      <c r="R48" s="318"/>
      <c r="S48" s="318"/>
      <c r="T48" s="318"/>
      <c r="U48" s="318"/>
    </row>
    <row r="49" spans="1:21" x14ac:dyDescent="0.2">
      <c r="A49" s="318"/>
      <c r="B49" s="329"/>
      <c r="C49" s="327"/>
      <c r="D49" s="327"/>
      <c r="E49" s="327"/>
      <c r="F49" s="318"/>
      <c r="G49" s="318"/>
      <c r="H49" s="324"/>
      <c r="I49" s="318"/>
      <c r="J49" s="318"/>
      <c r="K49" s="318"/>
      <c r="L49" s="318"/>
      <c r="M49" s="318"/>
      <c r="N49" s="318"/>
      <c r="O49" s="318"/>
      <c r="P49" s="318"/>
      <c r="Q49" s="318"/>
      <c r="R49" s="318"/>
      <c r="S49" s="318"/>
      <c r="T49" s="318"/>
      <c r="U49" s="318"/>
    </row>
    <row r="50" spans="1:21" x14ac:dyDescent="0.2">
      <c r="A50" s="318"/>
      <c r="B50" s="329"/>
      <c r="C50" s="327"/>
      <c r="D50" s="327"/>
      <c r="E50" s="327"/>
      <c r="F50" s="318"/>
      <c r="G50" s="318"/>
      <c r="H50" s="324"/>
      <c r="I50" s="318"/>
      <c r="J50" s="318"/>
      <c r="K50" s="318"/>
      <c r="L50" s="318"/>
      <c r="M50" s="318"/>
      <c r="N50" s="318"/>
      <c r="O50" s="318"/>
      <c r="P50" s="318"/>
      <c r="Q50" s="318"/>
      <c r="R50" s="318"/>
      <c r="S50" s="318"/>
      <c r="T50" s="318"/>
      <c r="U50" s="318"/>
    </row>
    <row r="51" spans="1:21" x14ac:dyDescent="0.2">
      <c r="A51" s="318"/>
      <c r="B51" s="329"/>
      <c r="C51" s="327"/>
      <c r="D51" s="327"/>
      <c r="E51" s="327"/>
      <c r="F51" s="318"/>
      <c r="G51" s="318"/>
      <c r="H51" s="324"/>
      <c r="I51" s="318"/>
      <c r="J51" s="318"/>
      <c r="K51" s="318"/>
      <c r="L51" s="318"/>
      <c r="M51" s="318"/>
      <c r="N51" s="318"/>
      <c r="O51" s="318"/>
      <c r="P51" s="318"/>
      <c r="Q51" s="318"/>
      <c r="R51" s="318"/>
      <c r="S51" s="318"/>
      <c r="T51" s="318"/>
      <c r="U51" s="318"/>
    </row>
    <row r="52" spans="1:21" x14ac:dyDescent="0.2">
      <c r="A52" s="318"/>
      <c r="B52" s="329"/>
      <c r="C52" s="327"/>
      <c r="D52" s="327"/>
      <c r="E52" s="327"/>
      <c r="F52" s="318"/>
      <c r="G52" s="318"/>
      <c r="H52" s="324"/>
      <c r="I52" s="318"/>
      <c r="J52" s="318"/>
      <c r="K52" s="318"/>
      <c r="L52" s="318"/>
      <c r="M52" s="318"/>
      <c r="N52" s="318"/>
      <c r="O52" s="318"/>
      <c r="P52" s="318"/>
      <c r="Q52" s="318"/>
      <c r="R52" s="318"/>
      <c r="S52" s="318"/>
      <c r="T52" s="318"/>
      <c r="U52" s="318"/>
    </row>
    <row r="53" spans="1:21" x14ac:dyDescent="0.2">
      <c r="A53" s="318"/>
      <c r="B53" s="329"/>
      <c r="C53" s="327"/>
      <c r="D53" s="327"/>
      <c r="E53" s="327"/>
      <c r="F53" s="318"/>
      <c r="G53" s="318"/>
      <c r="H53" s="324"/>
      <c r="I53" s="318"/>
      <c r="J53" s="318"/>
      <c r="K53" s="318"/>
      <c r="L53" s="318"/>
      <c r="M53" s="318"/>
      <c r="N53" s="318"/>
      <c r="O53" s="318"/>
      <c r="P53" s="318"/>
      <c r="Q53" s="318"/>
      <c r="R53" s="318"/>
      <c r="S53" s="318"/>
      <c r="T53" s="318"/>
      <c r="U53" s="318"/>
    </row>
    <row r="54" spans="1:21" x14ac:dyDescent="0.2">
      <c r="A54" s="318"/>
      <c r="B54" s="329"/>
      <c r="C54" s="327"/>
      <c r="D54" s="327"/>
      <c r="E54" s="327"/>
      <c r="F54" s="318"/>
      <c r="G54" s="318"/>
      <c r="H54" s="324"/>
      <c r="I54" s="318"/>
      <c r="J54" s="318"/>
      <c r="K54" s="318"/>
      <c r="L54" s="318"/>
      <c r="M54" s="318"/>
      <c r="N54" s="318"/>
      <c r="O54" s="318"/>
      <c r="P54" s="318"/>
      <c r="Q54" s="318"/>
      <c r="R54" s="318"/>
      <c r="S54" s="318"/>
      <c r="T54" s="318"/>
      <c r="U54" s="318"/>
    </row>
    <row r="55" spans="1:21" x14ac:dyDescent="0.2">
      <c r="A55" s="318"/>
      <c r="B55" s="329"/>
      <c r="C55" s="327"/>
      <c r="D55" s="327"/>
      <c r="E55" s="327"/>
      <c r="F55" s="318"/>
      <c r="G55" s="318"/>
      <c r="H55" s="324"/>
      <c r="I55" s="318"/>
      <c r="J55" s="318"/>
      <c r="K55" s="318"/>
      <c r="L55" s="318"/>
      <c r="M55" s="318"/>
      <c r="N55" s="318"/>
      <c r="O55" s="318"/>
      <c r="P55" s="318"/>
      <c r="Q55" s="318"/>
      <c r="R55" s="318"/>
      <c r="S55" s="318"/>
      <c r="T55" s="318"/>
      <c r="U55" s="318"/>
    </row>
    <row r="56" spans="1:21" x14ac:dyDescent="0.2">
      <c r="A56" s="318"/>
      <c r="B56" s="329"/>
      <c r="C56" s="327"/>
      <c r="D56" s="327"/>
      <c r="E56" s="327"/>
      <c r="F56" s="318"/>
      <c r="G56" s="318"/>
      <c r="H56" s="324"/>
      <c r="I56" s="318"/>
      <c r="J56" s="318"/>
      <c r="K56" s="318"/>
      <c r="L56" s="318"/>
      <c r="M56" s="318"/>
      <c r="N56" s="318"/>
      <c r="O56" s="318"/>
      <c r="P56" s="318"/>
      <c r="Q56" s="318"/>
      <c r="R56" s="318"/>
      <c r="S56" s="318"/>
      <c r="T56" s="318"/>
      <c r="U56" s="318"/>
    </row>
    <row r="57" spans="1:21" x14ac:dyDescent="0.2">
      <c r="A57" s="318"/>
      <c r="B57" s="329"/>
      <c r="C57" s="327"/>
      <c r="D57" s="327"/>
      <c r="E57" s="327"/>
      <c r="F57" s="318"/>
      <c r="G57" s="318"/>
      <c r="H57" s="324"/>
      <c r="I57" s="318"/>
      <c r="J57" s="318"/>
      <c r="K57" s="318"/>
      <c r="L57" s="318"/>
      <c r="M57" s="318"/>
      <c r="N57" s="318"/>
      <c r="O57" s="318"/>
      <c r="P57" s="318"/>
      <c r="Q57" s="318"/>
      <c r="R57" s="318"/>
      <c r="S57" s="318"/>
      <c r="T57" s="318"/>
      <c r="U57" s="318"/>
    </row>
    <row r="58" spans="1:21" x14ac:dyDescent="0.2">
      <c r="A58" s="318"/>
      <c r="B58" s="329"/>
      <c r="C58" s="327"/>
      <c r="D58" s="327"/>
      <c r="E58" s="327"/>
      <c r="F58" s="318"/>
      <c r="G58" s="318"/>
      <c r="H58" s="324"/>
      <c r="I58" s="318"/>
      <c r="J58" s="318"/>
      <c r="K58" s="318"/>
      <c r="L58" s="318"/>
      <c r="M58" s="318"/>
      <c r="N58" s="318"/>
      <c r="O58" s="318"/>
      <c r="P58" s="318"/>
      <c r="Q58" s="318"/>
      <c r="R58" s="318"/>
      <c r="S58" s="318"/>
      <c r="T58" s="318"/>
      <c r="U58" s="318"/>
    </row>
    <row r="59" spans="1:21" x14ac:dyDescent="0.2">
      <c r="A59" s="318"/>
      <c r="B59" s="329"/>
      <c r="C59" s="327"/>
      <c r="D59" s="327"/>
      <c r="E59" s="327"/>
      <c r="F59" s="318"/>
      <c r="G59" s="318"/>
      <c r="H59" s="324"/>
      <c r="I59" s="318"/>
      <c r="J59" s="318"/>
      <c r="K59" s="318"/>
      <c r="L59" s="318"/>
      <c r="M59" s="318"/>
      <c r="N59" s="318"/>
      <c r="O59" s="318"/>
      <c r="P59" s="318"/>
      <c r="Q59" s="318"/>
      <c r="R59" s="318"/>
      <c r="S59" s="318"/>
      <c r="T59" s="318"/>
      <c r="U59" s="318"/>
    </row>
    <row r="60" spans="1:21" x14ac:dyDescent="0.2">
      <c r="A60" s="318"/>
      <c r="B60" s="329"/>
      <c r="C60" s="327"/>
      <c r="D60" s="327"/>
      <c r="E60" s="327"/>
      <c r="F60" s="318"/>
      <c r="G60" s="318"/>
      <c r="H60" s="324"/>
      <c r="I60" s="318"/>
      <c r="J60" s="318"/>
      <c r="K60" s="318"/>
      <c r="L60" s="318"/>
      <c r="M60" s="318"/>
      <c r="N60" s="318"/>
      <c r="O60" s="318"/>
      <c r="P60" s="318"/>
      <c r="Q60" s="318"/>
      <c r="R60" s="318"/>
      <c r="S60" s="318"/>
      <c r="T60" s="318"/>
      <c r="U60" s="318"/>
    </row>
    <row r="61" spans="1:21" x14ac:dyDescent="0.2">
      <c r="A61" s="318"/>
      <c r="B61" s="329"/>
      <c r="C61" s="327"/>
      <c r="D61" s="327"/>
      <c r="E61" s="327"/>
      <c r="F61" s="318"/>
      <c r="G61" s="318"/>
      <c r="H61" s="324"/>
      <c r="I61" s="318"/>
      <c r="J61" s="318"/>
      <c r="K61" s="318"/>
      <c r="L61" s="318"/>
      <c r="M61" s="318"/>
      <c r="N61" s="318"/>
      <c r="O61" s="318"/>
      <c r="P61" s="318"/>
      <c r="Q61" s="318"/>
      <c r="R61" s="318"/>
      <c r="S61" s="318"/>
      <c r="T61" s="318"/>
      <c r="U61" s="318"/>
    </row>
    <row r="62" spans="1:21" x14ac:dyDescent="0.2">
      <c r="A62" s="318"/>
      <c r="B62" s="329"/>
      <c r="C62" s="327"/>
      <c r="D62" s="327"/>
      <c r="E62" s="327"/>
      <c r="F62" s="318"/>
      <c r="G62" s="318"/>
      <c r="H62" s="324"/>
      <c r="I62" s="318"/>
      <c r="J62" s="318"/>
      <c r="K62" s="318"/>
      <c r="L62" s="318"/>
      <c r="M62" s="318"/>
      <c r="N62" s="318"/>
      <c r="O62" s="318"/>
      <c r="P62" s="318"/>
      <c r="Q62" s="318"/>
      <c r="R62" s="318"/>
      <c r="S62" s="318"/>
      <c r="T62" s="318"/>
      <c r="U62" s="318"/>
    </row>
    <row r="63" spans="1:21" x14ac:dyDescent="0.2">
      <c r="A63" s="318"/>
      <c r="B63" s="329"/>
      <c r="C63" s="329"/>
      <c r="D63" s="329"/>
      <c r="E63" s="329"/>
      <c r="F63" s="329"/>
      <c r="G63" s="329"/>
      <c r="H63" s="329"/>
      <c r="I63" s="329"/>
      <c r="J63" s="329"/>
      <c r="K63" s="329"/>
      <c r="L63" s="329"/>
      <c r="M63" s="329"/>
      <c r="N63" s="329"/>
      <c r="O63" s="329"/>
      <c r="P63" s="329"/>
      <c r="Q63" s="329"/>
      <c r="R63" s="329"/>
      <c r="S63" s="329"/>
      <c r="T63" s="329"/>
      <c r="U63" s="318"/>
    </row>
    <row r="64" spans="1:21" s="473" customFormat="1" ht="12.75" customHeight="1" x14ac:dyDescent="0.2">
      <c r="A64" s="471"/>
      <c r="B64" s="472" t="s">
        <v>542</v>
      </c>
      <c r="C64" s="472" t="str">
        <f>$G19</f>
        <v>Mes 1</v>
      </c>
      <c r="D64" s="472" t="str">
        <f>$G20</f>
        <v>Mes 2</v>
      </c>
      <c r="E64" s="472" t="str">
        <f>$G21</f>
        <v>Mes 3</v>
      </c>
      <c r="F64" s="472" t="str">
        <f>$G22</f>
        <v>Mes 4</v>
      </c>
      <c r="G64" s="472" t="str">
        <f>$G23</f>
        <v>Mes 5</v>
      </c>
      <c r="H64" s="472" t="str">
        <f>$G24</f>
        <v>Mes 6</v>
      </c>
      <c r="I64" s="472" t="str">
        <f>$G25</f>
        <v>Mes 7</v>
      </c>
      <c r="J64" s="472" t="str">
        <f>$G26</f>
        <v>Mes 8</v>
      </c>
      <c r="K64" s="472" t="str">
        <f>$G27</f>
        <v>Mes 9</v>
      </c>
      <c r="L64" s="472" t="str">
        <f>$G28</f>
        <v>Mes 10</v>
      </c>
      <c r="M64" s="472" t="str">
        <f>$G29</f>
        <v>Mes 11</v>
      </c>
      <c r="N64" s="472" t="str">
        <f>$G30</f>
        <v>Mes 12</v>
      </c>
      <c r="O64" s="472" t="str">
        <f>$G31</f>
        <v>Mes 13</v>
      </c>
      <c r="P64" s="472" t="str">
        <f>$G32</f>
        <v>Mes 14</v>
      </c>
      <c r="Q64" s="472" t="str">
        <f>$G33</f>
        <v>Mes 15</v>
      </c>
      <c r="R64" s="472" t="str">
        <f>$G34</f>
        <v>Mes 16</v>
      </c>
      <c r="S64" s="472" t="str">
        <f>$G35</f>
        <v>Mes 17</v>
      </c>
      <c r="T64" s="472" t="str">
        <f>$G36</f>
        <v>Mes 18</v>
      </c>
    </row>
    <row r="65" spans="1:21" x14ac:dyDescent="0.2">
      <c r="A65" s="384" t="s">
        <v>435</v>
      </c>
      <c r="B65" s="361">
        <v>0</v>
      </c>
      <c r="C65" s="361">
        <v>0</v>
      </c>
      <c r="D65" s="361">
        <v>0</v>
      </c>
      <c r="E65" s="361">
        <v>0</v>
      </c>
      <c r="F65" s="361">
        <v>0</v>
      </c>
      <c r="G65" s="361">
        <v>0</v>
      </c>
      <c r="H65" s="361">
        <v>0</v>
      </c>
      <c r="I65" s="361">
        <v>0</v>
      </c>
      <c r="J65" s="361">
        <v>0</v>
      </c>
      <c r="K65" s="361">
        <v>0</v>
      </c>
      <c r="L65" s="361">
        <v>0</v>
      </c>
      <c r="M65" s="361">
        <v>0</v>
      </c>
      <c r="N65" s="361">
        <v>0</v>
      </c>
      <c r="O65" s="361">
        <v>0</v>
      </c>
      <c r="P65" s="361">
        <v>0</v>
      </c>
      <c r="Q65" s="361">
        <v>0</v>
      </c>
      <c r="R65" s="361">
        <v>0</v>
      </c>
      <c r="S65" s="361">
        <v>0</v>
      </c>
      <c r="T65" s="361">
        <v>0</v>
      </c>
      <c r="U65" s="361">
        <v>0</v>
      </c>
    </row>
    <row r="66" spans="1:21" x14ac:dyDescent="0.2">
      <c r="A66" s="384" t="s">
        <v>436</v>
      </c>
      <c r="B66" s="361">
        <f>$J18</f>
        <v>152816</v>
      </c>
      <c r="C66" s="361">
        <f>$J19</f>
        <v>15282</v>
      </c>
      <c r="D66" s="361">
        <f>$J20</f>
        <v>18338</v>
      </c>
      <c r="E66" s="361">
        <f>$J21</f>
        <v>21394</v>
      </c>
      <c r="F66" s="361">
        <f>$J22</f>
        <v>30563</v>
      </c>
      <c r="G66" s="361">
        <f>$J23</f>
        <v>30563</v>
      </c>
      <c r="H66" s="361">
        <f>$J24</f>
        <v>55014</v>
      </c>
      <c r="I66" s="361">
        <f>$J25</f>
        <v>55014</v>
      </c>
      <c r="J66" s="361">
        <f>$J26</f>
        <v>61126</v>
      </c>
      <c r="K66" s="361">
        <f>$J27</f>
        <v>61126</v>
      </c>
      <c r="L66" s="361">
        <f>$J28</f>
        <v>61126</v>
      </c>
      <c r="M66" s="361">
        <f>$J29</f>
        <v>61126</v>
      </c>
      <c r="N66" s="361">
        <f>$J30</f>
        <v>48901</v>
      </c>
      <c r="O66" s="361">
        <f>$J31</f>
        <v>36676</v>
      </c>
      <c r="P66" s="361">
        <f>$J32</f>
        <v>24451</v>
      </c>
      <c r="Q66" s="361">
        <f>$J33</f>
        <v>12225</v>
      </c>
      <c r="R66" s="361">
        <f>$J34</f>
        <v>6113</v>
      </c>
      <c r="S66" s="361">
        <f>$J35</f>
        <v>6113</v>
      </c>
      <c r="T66" s="361">
        <f>$J36</f>
        <v>6113</v>
      </c>
      <c r="U66" s="327">
        <f>SUM(B66:T66)</f>
        <v>764080</v>
      </c>
    </row>
    <row r="67" spans="1:21" x14ac:dyDescent="0.2">
      <c r="A67" s="318"/>
      <c r="B67" s="361">
        <f>B65+B66</f>
        <v>152816</v>
      </c>
      <c r="C67" s="361">
        <f t="shared" ref="C67:U67" si="7">C65+C66</f>
        <v>15282</v>
      </c>
      <c r="D67" s="361">
        <f t="shared" si="7"/>
        <v>18338</v>
      </c>
      <c r="E67" s="361">
        <f t="shared" si="7"/>
        <v>21394</v>
      </c>
      <c r="F67" s="361">
        <f t="shared" si="7"/>
        <v>30563</v>
      </c>
      <c r="G67" s="361">
        <f t="shared" si="7"/>
        <v>30563</v>
      </c>
      <c r="H67" s="361">
        <f t="shared" si="7"/>
        <v>55014</v>
      </c>
      <c r="I67" s="361">
        <f t="shared" si="7"/>
        <v>55014</v>
      </c>
      <c r="J67" s="361">
        <f t="shared" si="7"/>
        <v>61126</v>
      </c>
      <c r="K67" s="361">
        <f t="shared" si="7"/>
        <v>61126</v>
      </c>
      <c r="L67" s="361">
        <f t="shared" si="7"/>
        <v>61126</v>
      </c>
      <c r="M67" s="361">
        <f t="shared" si="7"/>
        <v>61126</v>
      </c>
      <c r="N67" s="361">
        <f t="shared" si="7"/>
        <v>48901</v>
      </c>
      <c r="O67" s="361">
        <f t="shared" si="7"/>
        <v>36676</v>
      </c>
      <c r="P67" s="361">
        <f t="shared" si="7"/>
        <v>24451</v>
      </c>
      <c r="Q67" s="361">
        <f t="shared" si="7"/>
        <v>12225</v>
      </c>
      <c r="R67" s="361">
        <f t="shared" si="7"/>
        <v>6113</v>
      </c>
      <c r="S67" s="361">
        <f t="shared" si="7"/>
        <v>6113</v>
      </c>
      <c r="T67" s="361">
        <f t="shared" si="7"/>
        <v>6113</v>
      </c>
      <c r="U67" s="361">
        <f t="shared" si="7"/>
        <v>764080</v>
      </c>
    </row>
  </sheetData>
  <mergeCells count="6">
    <mergeCell ref="I38:J38"/>
    <mergeCell ref="A1:J1"/>
    <mergeCell ref="B3:I4"/>
    <mergeCell ref="A5:C5"/>
    <mergeCell ref="D7:F7"/>
    <mergeCell ref="C15:D15"/>
  </mergeCells>
  <pageMargins left="0.7" right="0.7" top="0.75" bottom="0.75" header="0.3" footer="0.3"/>
  <pageSetup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6"/>
  <sheetViews>
    <sheetView showGridLines="0" topLeftCell="A34" zoomScale="60" zoomScaleNormal="60" workbookViewId="0">
      <selection activeCell="D80" sqref="D80"/>
    </sheetView>
  </sheetViews>
  <sheetFormatPr defaultColWidth="11.42578125" defaultRowHeight="12" x14ac:dyDescent="0.2"/>
  <cols>
    <col min="1" max="1" width="14.7109375" style="319" bestFit="1" customWidth="1"/>
    <col min="2" max="2" width="16.140625" style="319" bestFit="1" customWidth="1"/>
    <col min="3" max="3" width="14.140625" style="319" customWidth="1"/>
    <col min="4" max="4" width="14" style="319" bestFit="1" customWidth="1"/>
    <col min="5" max="5" width="12.42578125" style="319" bestFit="1" customWidth="1"/>
    <col min="6" max="6" width="12" style="319" bestFit="1" customWidth="1"/>
    <col min="7" max="7" width="17.140625" style="319" bestFit="1" customWidth="1"/>
    <col min="8" max="8" width="12.140625" style="319" bestFit="1" customWidth="1"/>
    <col min="9" max="10" width="13.28515625" style="319" bestFit="1" customWidth="1"/>
    <col min="11" max="11" width="17.140625" style="319" bestFit="1" customWidth="1"/>
    <col min="12" max="12" width="14" style="319" bestFit="1" customWidth="1"/>
    <col min="13" max="13" width="16.5703125" style="319" bestFit="1" customWidth="1"/>
    <col min="14" max="14" width="16.140625" style="319" bestFit="1" customWidth="1"/>
    <col min="15" max="15" width="13" style="319" bestFit="1" customWidth="1"/>
    <col min="16" max="16" width="14" style="319" bestFit="1" customWidth="1"/>
    <col min="17" max="17" width="12.42578125" style="319" bestFit="1" customWidth="1"/>
    <col min="18" max="19" width="12" style="319" bestFit="1" customWidth="1"/>
    <col min="20" max="20" width="12.140625" style="319" bestFit="1" customWidth="1"/>
    <col min="21" max="21" width="12" style="319" bestFit="1" customWidth="1"/>
    <col min="22" max="22" width="8.7109375" style="319" bestFit="1" customWidth="1"/>
    <col min="23" max="23" width="7" style="319" bestFit="1" customWidth="1"/>
    <col min="24" max="16384" width="11.42578125" style="319"/>
  </cols>
  <sheetData>
    <row r="1" spans="1:23" x14ac:dyDescent="0.2">
      <c r="A1" s="1090" t="s">
        <v>410</v>
      </c>
      <c r="B1" s="1090"/>
      <c r="C1" s="1090"/>
      <c r="D1" s="1090"/>
      <c r="E1" s="1090"/>
      <c r="F1" s="1090"/>
      <c r="G1" s="1090"/>
      <c r="H1" s="1090"/>
      <c r="I1" s="1090"/>
      <c r="J1" s="1090"/>
      <c r="K1" s="318"/>
      <c r="L1" s="318"/>
      <c r="M1" s="318"/>
      <c r="N1" s="318"/>
      <c r="O1" s="318"/>
      <c r="P1" s="318"/>
      <c r="Q1" s="318"/>
      <c r="R1" s="318"/>
      <c r="S1" s="318"/>
      <c r="T1" s="318"/>
      <c r="U1" s="318"/>
      <c r="V1" s="318"/>
      <c r="W1" s="318"/>
    </row>
    <row r="2" spans="1:23" x14ac:dyDescent="0.2">
      <c r="A2" s="320"/>
      <c r="B2" s="321"/>
      <c r="C2" s="322"/>
      <c r="D2" s="322"/>
      <c r="E2" s="323"/>
      <c r="F2" s="323"/>
      <c r="G2" s="318"/>
      <c r="H2" s="324"/>
      <c r="I2" s="318"/>
      <c r="J2" s="318"/>
      <c r="K2" s="318"/>
      <c r="L2" s="318"/>
      <c r="M2" s="318"/>
      <c r="N2" s="318"/>
      <c r="O2" s="318"/>
      <c r="P2" s="318"/>
      <c r="Q2" s="318"/>
      <c r="R2" s="318"/>
      <c r="S2" s="318"/>
      <c r="T2" s="318"/>
      <c r="U2" s="318"/>
      <c r="V2" s="318"/>
      <c r="W2" s="318"/>
    </row>
    <row r="3" spans="1:23" x14ac:dyDescent="0.2">
      <c r="A3" s="320" t="s">
        <v>411</v>
      </c>
      <c r="B3" s="1091" t="s">
        <v>442</v>
      </c>
      <c r="C3" s="1091"/>
      <c r="D3" s="1091"/>
      <c r="E3" s="1091"/>
      <c r="F3" s="1091"/>
      <c r="G3" s="1091"/>
      <c r="H3" s="1091"/>
      <c r="I3" s="1091"/>
      <c r="J3" s="325"/>
      <c r="K3" s="318"/>
      <c r="L3" s="318"/>
      <c r="M3" s="318"/>
      <c r="N3" s="318"/>
      <c r="O3" s="318"/>
      <c r="P3" s="318"/>
      <c r="Q3" s="318"/>
      <c r="R3" s="318"/>
      <c r="S3" s="318"/>
      <c r="T3" s="318"/>
      <c r="U3" s="318"/>
      <c r="V3" s="318"/>
      <c r="W3" s="318"/>
    </row>
    <row r="4" spans="1:23" x14ac:dyDescent="0.2">
      <c r="A4" s="326"/>
      <c r="B4" s="1091"/>
      <c r="C4" s="1091"/>
      <c r="D4" s="1091"/>
      <c r="E4" s="1091"/>
      <c r="F4" s="1091"/>
      <c r="G4" s="1091"/>
      <c r="H4" s="1091"/>
      <c r="I4" s="1091"/>
      <c r="J4" s="325"/>
      <c r="K4" s="318"/>
      <c r="L4" s="318"/>
      <c r="M4" s="318"/>
      <c r="N4" s="318"/>
      <c r="O4" s="318"/>
      <c r="P4" s="318"/>
      <c r="Q4" s="318"/>
      <c r="R4" s="318"/>
      <c r="S4" s="318"/>
      <c r="T4" s="318"/>
      <c r="U4" s="318"/>
      <c r="V4" s="318"/>
      <c r="W4" s="318"/>
    </row>
    <row r="5" spans="1:23" x14ac:dyDescent="0.2">
      <c r="A5" s="1092" t="str">
        <f>CONCATENATE("PLAZO: ",A38," MESES (",A39,")")</f>
        <v>PLAZO: 20 MESES (600 dias)</v>
      </c>
      <c r="B5" s="1092"/>
      <c r="C5" s="1092"/>
      <c r="D5" s="327"/>
      <c r="E5" s="327"/>
      <c r="F5" s="318"/>
      <c r="G5" s="318"/>
      <c r="H5" s="324"/>
      <c r="I5" s="318"/>
      <c r="J5" s="318"/>
      <c r="K5" s="318"/>
      <c r="L5" s="318"/>
      <c r="M5" s="318"/>
      <c r="N5" s="318"/>
      <c r="O5" s="318"/>
      <c r="P5" s="318"/>
      <c r="Q5" s="318"/>
      <c r="R5" s="318"/>
      <c r="S5" s="318"/>
      <c r="T5" s="318"/>
      <c r="U5" s="318"/>
      <c r="V5" s="318"/>
      <c r="W5" s="318"/>
    </row>
    <row r="6" spans="1:23" x14ac:dyDescent="0.2">
      <c r="A6" s="318"/>
      <c r="B6" s="329"/>
      <c r="C6" s="327"/>
      <c r="D6" s="327"/>
      <c r="E6" s="327"/>
      <c r="F6" s="318"/>
      <c r="G6" s="318"/>
      <c r="H6" s="324"/>
      <c r="I6" s="318"/>
      <c r="J6" s="318"/>
      <c r="K6" s="318"/>
      <c r="L6" s="318"/>
      <c r="M6" s="318"/>
      <c r="N6" s="318"/>
      <c r="O6" s="318"/>
      <c r="P6" s="318"/>
      <c r="Q6" s="318"/>
      <c r="R6" s="318"/>
      <c r="S6" s="318"/>
      <c r="T6" s="318"/>
      <c r="U6" s="318"/>
      <c r="V6" s="318"/>
      <c r="W6" s="318"/>
    </row>
    <row r="7" spans="1:23" x14ac:dyDescent="0.2">
      <c r="A7" s="318"/>
      <c r="B7" s="329"/>
      <c r="C7" s="330" t="s">
        <v>412</v>
      </c>
      <c r="D7" s="1093"/>
      <c r="E7" s="1093"/>
      <c r="F7" s="1093"/>
      <c r="G7" s="318"/>
      <c r="H7" s="330" t="s">
        <v>413</v>
      </c>
      <c r="I7" s="331">
        <f ca="1">NOW()</f>
        <v>42304.713902662035</v>
      </c>
      <c r="J7" s="318"/>
      <c r="K7" s="318"/>
      <c r="L7" s="318"/>
      <c r="M7" s="318"/>
      <c r="N7" s="318"/>
      <c r="O7" s="318"/>
      <c r="P7" s="318"/>
      <c r="Q7" s="318"/>
      <c r="R7" s="318"/>
      <c r="S7" s="318"/>
      <c r="T7" s="318"/>
      <c r="U7" s="318"/>
      <c r="V7" s="318"/>
      <c r="W7" s="318"/>
    </row>
    <row r="8" spans="1:23" x14ac:dyDescent="0.2">
      <c r="A8" s="318"/>
      <c r="B8" s="329"/>
      <c r="C8" s="330" t="str">
        <f>IF(D7=0,"MONTO ESTIMADO CON IVA:","MONTO DE CONTRATO CON IVA:")</f>
        <v>MONTO ESTIMADO CON IVA:</v>
      </c>
      <c r="D8" s="332" t="e">
        <f>A55</f>
        <v>#REF!</v>
      </c>
      <c r="E8" s="333" t="s">
        <v>414</v>
      </c>
      <c r="F8" s="318" t="s">
        <v>415</v>
      </c>
      <c r="G8" s="318"/>
      <c r="H8" s="324" t="s">
        <v>416</v>
      </c>
      <c r="I8" s="334">
        <v>1</v>
      </c>
      <c r="J8" s="318"/>
      <c r="K8" s="318"/>
      <c r="L8" s="318"/>
      <c r="M8" s="318"/>
      <c r="N8" s="318"/>
      <c r="O8" s="318"/>
      <c r="P8" s="318"/>
      <c r="Q8" s="318"/>
      <c r="R8" s="318"/>
      <c r="S8" s="318"/>
      <c r="T8" s="318"/>
      <c r="U8" s="318"/>
      <c r="V8" s="318"/>
      <c r="W8" s="318"/>
    </row>
    <row r="9" spans="1:23" x14ac:dyDescent="0.2">
      <c r="A9" s="318"/>
      <c r="B9" s="329"/>
      <c r="C9" s="330"/>
      <c r="D9" s="332"/>
      <c r="E9" s="327" t="s">
        <v>417</v>
      </c>
      <c r="F9" s="318"/>
      <c r="G9" s="318"/>
      <c r="H9" s="324"/>
      <c r="I9" s="335"/>
      <c r="J9" s="318"/>
      <c r="K9" s="318"/>
      <c r="L9" s="318"/>
      <c r="M9" s="318"/>
      <c r="N9" s="318"/>
      <c r="O9" s="318"/>
      <c r="P9" s="318"/>
      <c r="Q9" s="318"/>
      <c r="R9" s="318"/>
      <c r="S9" s="318"/>
      <c r="T9" s="318"/>
      <c r="U9" s="318"/>
      <c r="V9" s="318"/>
      <c r="W9" s="318"/>
    </row>
    <row r="10" spans="1:23" x14ac:dyDescent="0.2">
      <c r="A10" s="318"/>
      <c r="B10" s="329"/>
      <c r="C10" s="330"/>
      <c r="D10" s="332"/>
      <c r="E10" s="327" t="s">
        <v>414</v>
      </c>
      <c r="F10" s="318"/>
      <c r="G10" s="318"/>
      <c r="H10" s="324"/>
      <c r="I10" s="335"/>
      <c r="J10" s="318"/>
      <c r="K10" s="318"/>
      <c r="L10" s="318"/>
      <c r="M10" s="318"/>
      <c r="N10" s="318"/>
      <c r="O10" s="318"/>
      <c r="P10" s="318"/>
      <c r="Q10" s="318"/>
      <c r="R10" s="318"/>
      <c r="S10" s="318"/>
      <c r="T10" s="318"/>
      <c r="U10" s="318"/>
      <c r="V10" s="318"/>
      <c r="W10" s="318"/>
    </row>
    <row r="11" spans="1:23" x14ac:dyDescent="0.2">
      <c r="A11" s="318"/>
      <c r="B11" s="318"/>
      <c r="C11" s="330" t="str">
        <f>IF(D7=0,"MONTO ESTIMADO SIN IVA:","MONTO DE CONTRATO SIN IVA:")</f>
        <v>MONTO ESTIMADO SIN IVA:</v>
      </c>
      <c r="D11" s="336" t="e">
        <f>D8</f>
        <v>#REF!</v>
      </c>
      <c r="E11" s="337" t="s">
        <v>417</v>
      </c>
      <c r="F11" s="327"/>
      <c r="G11" s="318"/>
      <c r="H11" s="324"/>
      <c r="I11" s="318"/>
      <c r="J11" s="318"/>
      <c r="K11" s="318"/>
      <c r="L11" s="318"/>
      <c r="M11" s="318"/>
      <c r="N11" s="318"/>
      <c r="O11" s="318"/>
      <c r="P11" s="318"/>
      <c r="Q11" s="318"/>
      <c r="R11" s="318"/>
      <c r="S11" s="318"/>
      <c r="T11" s="318"/>
      <c r="U11" s="318"/>
      <c r="V11" s="318"/>
      <c r="W11" s="318"/>
    </row>
    <row r="12" spans="1:23" x14ac:dyDescent="0.2">
      <c r="A12" s="318"/>
      <c r="B12" s="318"/>
      <c r="C12" s="330" t="s">
        <v>418</v>
      </c>
      <c r="D12" s="334">
        <v>100</v>
      </c>
      <c r="E12" s="327"/>
      <c r="F12" s="327" t="s">
        <v>419</v>
      </c>
      <c r="G12" s="318"/>
      <c r="H12" s="324"/>
      <c r="I12" s="318"/>
      <c r="J12" s="318"/>
      <c r="K12" s="318"/>
      <c r="L12" s="318"/>
      <c r="M12" s="318"/>
      <c r="N12" s="318"/>
      <c r="O12" s="318"/>
      <c r="P12" s="318"/>
      <c r="Q12" s="318"/>
      <c r="R12" s="318"/>
      <c r="S12" s="318"/>
      <c r="T12" s="318"/>
      <c r="U12" s="318"/>
      <c r="V12" s="318"/>
      <c r="W12" s="318"/>
    </row>
    <row r="13" spans="1:23" x14ac:dyDescent="0.2">
      <c r="A13" s="318"/>
      <c r="B13" s="318"/>
      <c r="C13" s="330" t="s">
        <v>420</v>
      </c>
      <c r="D13" s="338">
        <f>100-D12</f>
        <v>0</v>
      </c>
      <c r="E13" s="327"/>
      <c r="F13" s="327"/>
      <c r="G13" s="318"/>
      <c r="H13" s="324"/>
      <c r="I13" s="318"/>
      <c r="J13" s="318"/>
      <c r="K13" s="318"/>
      <c r="L13" s="318"/>
      <c r="M13" s="318"/>
      <c r="N13" s="318"/>
      <c r="O13" s="318"/>
      <c r="P13" s="318"/>
      <c r="Q13" s="318"/>
      <c r="R13" s="318"/>
      <c r="S13" s="318"/>
      <c r="T13" s="318"/>
      <c r="U13" s="318"/>
      <c r="V13" s="318"/>
      <c r="W13" s="318"/>
    </row>
    <row r="14" spans="1:23" x14ac:dyDescent="0.2">
      <c r="A14" s="318"/>
      <c r="B14" s="318"/>
      <c r="C14" s="330" t="s">
        <v>421</v>
      </c>
      <c r="D14" s="335">
        <v>0</v>
      </c>
      <c r="E14" s="327"/>
      <c r="F14" s="327"/>
      <c r="G14" s="318"/>
      <c r="H14" s="324"/>
      <c r="I14" s="318"/>
      <c r="J14" s="318"/>
      <c r="K14" s="318"/>
      <c r="L14" s="318"/>
      <c r="M14" s="318"/>
      <c r="N14" s="318"/>
      <c r="O14" s="318"/>
      <c r="P14" s="318"/>
      <c r="Q14" s="318"/>
      <c r="R14" s="318"/>
      <c r="S14" s="318"/>
      <c r="T14" s="318"/>
      <c r="U14" s="318"/>
      <c r="V14" s="318"/>
      <c r="W14" s="318"/>
    </row>
    <row r="15" spans="1:23" x14ac:dyDescent="0.2">
      <c r="A15" s="318"/>
      <c r="B15" s="330" t="s">
        <v>422</v>
      </c>
      <c r="C15" s="1094"/>
      <c r="D15" s="1094"/>
      <c r="E15" s="339" t="s">
        <v>423</v>
      </c>
      <c r="F15" s="340"/>
      <c r="G15" s="318"/>
      <c r="H15" s="341" t="s">
        <v>424</v>
      </c>
      <c r="I15" s="334">
        <v>6</v>
      </c>
      <c r="J15" s="318"/>
      <c r="K15" s="318"/>
      <c r="L15" s="318"/>
      <c r="M15" s="318"/>
      <c r="N15" s="318"/>
      <c r="O15" s="318"/>
      <c r="P15" s="318"/>
      <c r="Q15" s="318"/>
      <c r="R15" s="318"/>
      <c r="S15" s="318"/>
      <c r="T15" s="318"/>
      <c r="U15" s="318"/>
      <c r="V15" s="318"/>
      <c r="W15" s="318"/>
    </row>
    <row r="16" spans="1:23" ht="12.75" thickBot="1" x14ac:dyDescent="0.25">
      <c r="A16" s="318"/>
      <c r="B16" s="329"/>
      <c r="C16" s="327"/>
      <c r="D16" s="327"/>
      <c r="E16" s="327"/>
      <c r="F16" s="342"/>
      <c r="G16" s="318"/>
      <c r="H16" s="324"/>
      <c r="I16" s="318"/>
      <c r="J16" s="318"/>
      <c r="K16" s="318"/>
      <c r="L16" s="318"/>
      <c r="M16" s="318"/>
      <c r="N16" s="318"/>
      <c r="O16" s="318"/>
      <c r="P16" s="318"/>
      <c r="Q16" s="318"/>
      <c r="R16" s="318"/>
      <c r="S16" s="318"/>
      <c r="T16" s="318"/>
      <c r="U16" s="318"/>
      <c r="V16" s="318"/>
      <c r="W16" s="318"/>
    </row>
    <row r="17" spans="1:23" ht="48.75" thickBot="1" x14ac:dyDescent="0.25">
      <c r="A17" s="474" t="s">
        <v>425</v>
      </c>
      <c r="B17" s="475" t="s">
        <v>426</v>
      </c>
      <c r="C17" s="475" t="s">
        <v>427</v>
      </c>
      <c r="D17" s="476" t="str">
        <f>CONCATENATE("MONTO MENSUAL DESCONTADO ",ROUND(D14,0),"% ANTICIPO")</f>
        <v>MONTO MENSUAL DESCONTADO 0% ANTICIPO</v>
      </c>
      <c r="E17" s="348" t="s">
        <v>428</v>
      </c>
      <c r="F17" s="477" t="s">
        <v>429</v>
      </c>
      <c r="G17" s="348" t="s">
        <v>430</v>
      </c>
      <c r="H17" s="478" t="s">
        <v>431</v>
      </c>
      <c r="I17" s="479" t="str">
        <f>CONCATENATE("DESEMBOLSOS FONDO LOCAL (",ROUND(D13,0),"%) + IVA")</f>
        <v>DESEMBOLSOS FONDO LOCAL (0%) + IVA</v>
      </c>
      <c r="J17" s="479" t="str">
        <f>CONCATENATE("DESEMBOLSOS FONDO EXTERNO (",ROUND(D12,0),"%)")</f>
        <v>DESEMBOLSOS FONDO EXTERNO (100%)</v>
      </c>
      <c r="K17" s="318"/>
      <c r="L17" s="318"/>
      <c r="M17" s="318"/>
      <c r="N17" s="318"/>
      <c r="O17" s="318"/>
      <c r="P17" s="318"/>
      <c r="Q17" s="318"/>
      <c r="R17" s="318"/>
      <c r="S17" s="318"/>
      <c r="T17" s="318"/>
      <c r="U17" s="318"/>
      <c r="V17" s="318"/>
      <c r="W17" s="318"/>
    </row>
    <row r="18" spans="1:23" x14ac:dyDescent="0.2">
      <c r="A18" s="351">
        <v>0</v>
      </c>
      <c r="B18" s="352">
        <f>D14/100</f>
        <v>0</v>
      </c>
      <c r="C18" s="352">
        <v>0</v>
      </c>
      <c r="D18" s="353" t="e">
        <f>ROUND(B18*D11,0)</f>
        <v>#REF!</v>
      </c>
      <c r="E18" s="354" t="e">
        <f>D18</f>
        <v>#REF!</v>
      </c>
      <c r="F18" s="355" t="e">
        <f t="shared" ref="F18:F38" si="0">E18/$E$38</f>
        <v>#REF!</v>
      </c>
      <c r="G18" s="484" t="s">
        <v>543</v>
      </c>
      <c r="H18" s="357" t="e">
        <f t="shared" ref="H18:H36" si="1">ROUND(D18*0.1,0)</f>
        <v>#REF!</v>
      </c>
      <c r="I18" s="358" t="e">
        <f t="shared" ref="I18:I37" si="2">ROUNDUP((D18+H18-J18),-(LEN(D18)-$I$15))</f>
        <v>#REF!</v>
      </c>
      <c r="J18" s="358" t="e">
        <f t="shared" ref="J18:J37" si="3">ROUNDUP(D18*$D$12/100,-(LEN(D18)-$I$15))</f>
        <v>#REF!</v>
      </c>
      <c r="K18" s="318"/>
      <c r="L18" s="318"/>
      <c r="M18" s="318"/>
      <c r="N18" s="318"/>
      <c r="O18" s="318"/>
      <c r="P18" s="318"/>
      <c r="Q18" s="318"/>
      <c r="R18" s="318"/>
      <c r="S18" s="318"/>
      <c r="T18" s="318"/>
      <c r="U18" s="318"/>
      <c r="V18" s="318"/>
      <c r="W18" s="318"/>
    </row>
    <row r="19" spans="1:23" x14ac:dyDescent="0.2">
      <c r="A19" s="359">
        <v>1</v>
      </c>
      <c r="B19" s="360">
        <v>0.02</v>
      </c>
      <c r="C19" s="360">
        <f t="shared" ref="C19:C38" si="4">B19+C18</f>
        <v>0.02</v>
      </c>
      <c r="D19" s="361" t="e">
        <f t="shared" ref="D19:D37" si="5">ROUND(B19*$D$11*(100-$D$14)/100,0)</f>
        <v>#REF!</v>
      </c>
      <c r="E19" s="362" t="e">
        <f t="shared" ref="E19:E38" si="6">E18+D19</f>
        <v>#REF!</v>
      </c>
      <c r="F19" s="363" t="e">
        <f t="shared" si="0"/>
        <v>#REF!</v>
      </c>
      <c r="G19" s="470" t="s">
        <v>470</v>
      </c>
      <c r="H19" s="386" t="e">
        <f t="shared" si="1"/>
        <v>#REF!</v>
      </c>
      <c r="I19" s="387" t="e">
        <f t="shared" si="2"/>
        <v>#REF!</v>
      </c>
      <c r="J19" s="387" t="e">
        <f t="shared" si="3"/>
        <v>#REF!</v>
      </c>
      <c r="K19" s="318"/>
      <c r="L19" s="318"/>
      <c r="M19" s="318"/>
      <c r="N19" s="318"/>
      <c r="O19" s="318"/>
      <c r="P19" s="318"/>
      <c r="Q19" s="318"/>
      <c r="R19" s="318"/>
      <c r="S19" s="318"/>
      <c r="T19" s="318"/>
      <c r="U19" s="318"/>
      <c r="V19" s="318"/>
      <c r="W19" s="318"/>
    </row>
    <row r="20" spans="1:23" x14ac:dyDescent="0.2">
      <c r="A20" s="359">
        <v>2</v>
      </c>
      <c r="B20" s="360">
        <v>2.5000000000000001E-2</v>
      </c>
      <c r="C20" s="360">
        <f t="shared" si="4"/>
        <v>4.4999999999999998E-2</v>
      </c>
      <c r="D20" s="361" t="e">
        <f t="shared" si="5"/>
        <v>#REF!</v>
      </c>
      <c r="E20" s="362" t="e">
        <f t="shared" si="6"/>
        <v>#REF!</v>
      </c>
      <c r="F20" s="363" t="e">
        <f t="shared" si="0"/>
        <v>#REF!</v>
      </c>
      <c r="G20" s="470" t="s">
        <v>471</v>
      </c>
      <c r="H20" s="386" t="e">
        <f t="shared" si="1"/>
        <v>#REF!</v>
      </c>
      <c r="I20" s="387" t="e">
        <f t="shared" si="2"/>
        <v>#REF!</v>
      </c>
      <c r="J20" s="387" t="e">
        <f t="shared" si="3"/>
        <v>#REF!</v>
      </c>
      <c r="K20" s="318"/>
      <c r="L20" s="318"/>
      <c r="M20" s="318"/>
      <c r="N20" s="318"/>
      <c r="O20" s="318"/>
      <c r="P20" s="318"/>
      <c r="Q20" s="318"/>
      <c r="R20" s="318"/>
      <c r="S20" s="318"/>
      <c r="T20" s="318"/>
      <c r="U20" s="318"/>
      <c r="V20" s="318"/>
      <c r="W20" s="318"/>
    </row>
    <row r="21" spans="1:23" x14ac:dyDescent="0.2">
      <c r="A21" s="388">
        <v>3</v>
      </c>
      <c r="B21" s="389">
        <v>0.03</v>
      </c>
      <c r="C21" s="389">
        <f t="shared" si="4"/>
        <v>7.4999999999999997E-2</v>
      </c>
      <c r="D21" s="361" t="e">
        <f t="shared" si="5"/>
        <v>#REF!</v>
      </c>
      <c r="E21" s="390" t="e">
        <f t="shared" si="6"/>
        <v>#REF!</v>
      </c>
      <c r="F21" s="391" t="e">
        <f t="shared" si="0"/>
        <v>#REF!</v>
      </c>
      <c r="G21" s="470" t="s">
        <v>472</v>
      </c>
      <c r="H21" s="386" t="e">
        <f t="shared" si="1"/>
        <v>#REF!</v>
      </c>
      <c r="I21" s="387" t="e">
        <f t="shared" si="2"/>
        <v>#REF!</v>
      </c>
      <c r="J21" s="387" t="e">
        <f t="shared" si="3"/>
        <v>#REF!</v>
      </c>
      <c r="K21" s="318"/>
      <c r="L21" s="318"/>
      <c r="M21" s="318"/>
      <c r="N21" s="318"/>
      <c r="O21" s="318"/>
      <c r="P21" s="318"/>
      <c r="Q21" s="318"/>
      <c r="R21" s="318"/>
      <c r="S21" s="318"/>
      <c r="T21" s="318"/>
      <c r="U21" s="318"/>
      <c r="V21" s="318"/>
      <c r="W21" s="318"/>
    </row>
    <row r="22" spans="1:23" x14ac:dyDescent="0.2">
      <c r="A22" s="388">
        <v>4</v>
      </c>
      <c r="B22" s="389">
        <v>3.5000000000000003E-2</v>
      </c>
      <c r="C22" s="389">
        <f t="shared" si="4"/>
        <v>0.11</v>
      </c>
      <c r="D22" s="361" t="e">
        <f t="shared" si="5"/>
        <v>#REF!</v>
      </c>
      <c r="E22" s="390" t="e">
        <f t="shared" si="6"/>
        <v>#REF!</v>
      </c>
      <c r="F22" s="391" t="e">
        <f t="shared" si="0"/>
        <v>#REF!</v>
      </c>
      <c r="G22" s="470" t="s">
        <v>473</v>
      </c>
      <c r="H22" s="386" t="e">
        <f t="shared" si="1"/>
        <v>#REF!</v>
      </c>
      <c r="I22" s="387" t="e">
        <f t="shared" si="2"/>
        <v>#REF!</v>
      </c>
      <c r="J22" s="387" t="e">
        <f t="shared" si="3"/>
        <v>#REF!</v>
      </c>
      <c r="K22" s="318"/>
      <c r="L22" s="318"/>
      <c r="M22" s="318"/>
      <c r="N22" s="318"/>
      <c r="O22" s="318"/>
      <c r="P22" s="318"/>
      <c r="Q22" s="318"/>
      <c r="R22" s="318"/>
      <c r="S22" s="318"/>
      <c r="T22" s="318"/>
      <c r="U22" s="318"/>
      <c r="V22" s="318"/>
      <c r="W22" s="318"/>
    </row>
    <row r="23" spans="1:23" x14ac:dyDescent="0.2">
      <c r="A23" s="388">
        <v>5</v>
      </c>
      <c r="B23" s="389">
        <v>0.04</v>
      </c>
      <c r="C23" s="389">
        <f t="shared" si="4"/>
        <v>0.15</v>
      </c>
      <c r="D23" s="361" t="e">
        <f t="shared" si="5"/>
        <v>#REF!</v>
      </c>
      <c r="E23" s="390" t="e">
        <f t="shared" si="6"/>
        <v>#REF!</v>
      </c>
      <c r="F23" s="391" t="e">
        <f t="shared" si="0"/>
        <v>#REF!</v>
      </c>
      <c r="G23" s="470" t="s">
        <v>474</v>
      </c>
      <c r="H23" s="386" t="e">
        <f t="shared" si="1"/>
        <v>#REF!</v>
      </c>
      <c r="I23" s="387" t="e">
        <f t="shared" si="2"/>
        <v>#REF!</v>
      </c>
      <c r="J23" s="387" t="e">
        <f t="shared" si="3"/>
        <v>#REF!</v>
      </c>
      <c r="K23" s="318"/>
      <c r="L23" s="318"/>
      <c r="M23" s="318"/>
      <c r="N23" s="318"/>
      <c r="O23" s="318"/>
      <c r="P23" s="318"/>
      <c r="Q23" s="318"/>
      <c r="R23" s="318"/>
      <c r="S23" s="318"/>
      <c r="T23" s="318"/>
      <c r="U23" s="318"/>
      <c r="V23" s="318"/>
      <c r="W23" s="318"/>
    </row>
    <row r="24" spans="1:23" x14ac:dyDescent="0.2">
      <c r="A24" s="388">
        <v>6</v>
      </c>
      <c r="B24" s="389">
        <v>0.05</v>
      </c>
      <c r="C24" s="389">
        <f t="shared" si="4"/>
        <v>0.2</v>
      </c>
      <c r="D24" s="361" t="e">
        <f t="shared" si="5"/>
        <v>#REF!</v>
      </c>
      <c r="E24" s="390" t="e">
        <f t="shared" si="6"/>
        <v>#REF!</v>
      </c>
      <c r="F24" s="391" t="e">
        <f t="shared" si="0"/>
        <v>#REF!</v>
      </c>
      <c r="G24" s="470" t="s">
        <v>475</v>
      </c>
      <c r="H24" s="386" t="e">
        <f t="shared" si="1"/>
        <v>#REF!</v>
      </c>
      <c r="I24" s="387" t="e">
        <f t="shared" si="2"/>
        <v>#REF!</v>
      </c>
      <c r="J24" s="387" t="e">
        <f t="shared" si="3"/>
        <v>#REF!</v>
      </c>
      <c r="K24" s="318"/>
      <c r="L24" s="318"/>
      <c r="M24" s="318"/>
      <c r="N24" s="318"/>
      <c r="O24" s="318"/>
      <c r="P24" s="318"/>
      <c r="Q24" s="318"/>
      <c r="R24" s="318"/>
      <c r="S24" s="318"/>
      <c r="T24" s="318"/>
      <c r="U24" s="318"/>
      <c r="V24" s="318"/>
      <c r="W24" s="318"/>
    </row>
    <row r="25" spans="1:23" x14ac:dyDescent="0.2">
      <c r="A25" s="388">
        <v>7</v>
      </c>
      <c r="B25" s="389">
        <v>0.05</v>
      </c>
      <c r="C25" s="389">
        <f t="shared" si="4"/>
        <v>0.25</v>
      </c>
      <c r="D25" s="361" t="e">
        <f t="shared" si="5"/>
        <v>#REF!</v>
      </c>
      <c r="E25" s="390" t="e">
        <f t="shared" si="6"/>
        <v>#REF!</v>
      </c>
      <c r="F25" s="391" t="e">
        <f t="shared" si="0"/>
        <v>#REF!</v>
      </c>
      <c r="G25" s="470" t="s">
        <v>476</v>
      </c>
      <c r="H25" s="386" t="e">
        <f t="shared" si="1"/>
        <v>#REF!</v>
      </c>
      <c r="I25" s="387" t="e">
        <f t="shared" si="2"/>
        <v>#REF!</v>
      </c>
      <c r="J25" s="387" t="e">
        <f t="shared" si="3"/>
        <v>#REF!</v>
      </c>
      <c r="K25" s="318"/>
      <c r="L25" s="318"/>
      <c r="M25" s="318"/>
      <c r="N25" s="318"/>
      <c r="O25" s="318"/>
      <c r="P25" s="318"/>
      <c r="Q25" s="318"/>
      <c r="R25" s="318"/>
      <c r="S25" s="318"/>
      <c r="T25" s="318"/>
      <c r="U25" s="318"/>
      <c r="V25" s="318"/>
      <c r="W25" s="318"/>
    </row>
    <row r="26" spans="1:23" x14ac:dyDescent="0.2">
      <c r="A26" s="388">
        <v>8</v>
      </c>
      <c r="B26" s="389">
        <v>0.06</v>
      </c>
      <c r="C26" s="389">
        <f t="shared" si="4"/>
        <v>0.31</v>
      </c>
      <c r="D26" s="361" t="e">
        <f t="shared" si="5"/>
        <v>#REF!</v>
      </c>
      <c r="E26" s="390" t="e">
        <f t="shared" si="6"/>
        <v>#REF!</v>
      </c>
      <c r="F26" s="391" t="e">
        <f t="shared" si="0"/>
        <v>#REF!</v>
      </c>
      <c r="G26" s="470" t="s">
        <v>477</v>
      </c>
      <c r="H26" s="386" t="e">
        <f t="shared" si="1"/>
        <v>#REF!</v>
      </c>
      <c r="I26" s="387" t="e">
        <f t="shared" si="2"/>
        <v>#REF!</v>
      </c>
      <c r="J26" s="387" t="e">
        <f t="shared" si="3"/>
        <v>#REF!</v>
      </c>
      <c r="K26" s="318"/>
      <c r="L26" s="318"/>
      <c r="M26" s="318"/>
      <c r="N26" s="318"/>
      <c r="O26" s="318"/>
      <c r="P26" s="318"/>
      <c r="Q26" s="318"/>
      <c r="R26" s="318"/>
      <c r="S26" s="318"/>
      <c r="T26" s="318"/>
      <c r="U26" s="318"/>
      <c r="V26" s="318"/>
      <c r="W26" s="318"/>
    </row>
    <row r="27" spans="1:23" x14ac:dyDescent="0.2">
      <c r="A27" s="388">
        <v>9</v>
      </c>
      <c r="B27" s="389">
        <v>7.0000000000000007E-2</v>
      </c>
      <c r="C27" s="389">
        <f t="shared" si="4"/>
        <v>0.38</v>
      </c>
      <c r="D27" s="361" t="e">
        <f t="shared" si="5"/>
        <v>#REF!</v>
      </c>
      <c r="E27" s="390" t="e">
        <f t="shared" si="6"/>
        <v>#REF!</v>
      </c>
      <c r="F27" s="391" t="e">
        <f t="shared" si="0"/>
        <v>#REF!</v>
      </c>
      <c r="G27" s="470" t="s">
        <v>478</v>
      </c>
      <c r="H27" s="386" t="e">
        <f t="shared" si="1"/>
        <v>#REF!</v>
      </c>
      <c r="I27" s="387" t="e">
        <f t="shared" si="2"/>
        <v>#REF!</v>
      </c>
      <c r="J27" s="387" t="e">
        <f t="shared" si="3"/>
        <v>#REF!</v>
      </c>
      <c r="K27" s="318"/>
      <c r="L27" s="318"/>
      <c r="M27" s="318"/>
      <c r="N27" s="318"/>
      <c r="O27" s="318"/>
      <c r="P27" s="318"/>
      <c r="Q27" s="318"/>
      <c r="R27" s="318"/>
      <c r="S27" s="318"/>
      <c r="T27" s="318"/>
      <c r="U27" s="318"/>
      <c r="V27" s="318"/>
      <c r="W27" s="318"/>
    </row>
    <row r="28" spans="1:23" x14ac:dyDescent="0.2">
      <c r="A28" s="388">
        <v>10</v>
      </c>
      <c r="B28" s="389">
        <v>0.08</v>
      </c>
      <c r="C28" s="389">
        <f t="shared" si="4"/>
        <v>0.46</v>
      </c>
      <c r="D28" s="393" t="e">
        <f t="shared" si="5"/>
        <v>#REF!</v>
      </c>
      <c r="E28" s="390" t="e">
        <f t="shared" si="6"/>
        <v>#REF!</v>
      </c>
      <c r="F28" s="391" t="e">
        <f t="shared" si="0"/>
        <v>#REF!</v>
      </c>
      <c r="G28" s="470" t="s">
        <v>479</v>
      </c>
      <c r="H28" s="386" t="e">
        <f t="shared" si="1"/>
        <v>#REF!</v>
      </c>
      <c r="I28" s="387" t="e">
        <f t="shared" si="2"/>
        <v>#REF!</v>
      </c>
      <c r="J28" s="387" t="e">
        <f t="shared" si="3"/>
        <v>#REF!</v>
      </c>
      <c r="K28" s="318"/>
      <c r="L28" s="318"/>
      <c r="M28" s="318"/>
      <c r="N28" s="318"/>
      <c r="O28" s="318"/>
      <c r="P28" s="318"/>
      <c r="Q28" s="318"/>
      <c r="R28" s="318"/>
      <c r="S28" s="318"/>
      <c r="T28" s="318"/>
      <c r="U28" s="318"/>
      <c r="V28" s="318"/>
      <c r="W28" s="318"/>
    </row>
    <row r="29" spans="1:23" x14ac:dyDescent="0.2">
      <c r="A29" s="388">
        <v>11</v>
      </c>
      <c r="B29" s="389">
        <v>0.08</v>
      </c>
      <c r="C29" s="389">
        <f t="shared" si="4"/>
        <v>0.54</v>
      </c>
      <c r="D29" s="393" t="e">
        <f t="shared" si="5"/>
        <v>#REF!</v>
      </c>
      <c r="E29" s="390" t="e">
        <f t="shared" si="6"/>
        <v>#REF!</v>
      </c>
      <c r="F29" s="391" t="e">
        <f t="shared" si="0"/>
        <v>#REF!</v>
      </c>
      <c r="G29" s="470" t="s">
        <v>480</v>
      </c>
      <c r="H29" s="386" t="e">
        <f t="shared" si="1"/>
        <v>#REF!</v>
      </c>
      <c r="I29" s="387" t="e">
        <f t="shared" si="2"/>
        <v>#REF!</v>
      </c>
      <c r="J29" s="387" t="e">
        <f t="shared" si="3"/>
        <v>#REF!</v>
      </c>
      <c r="K29" s="318"/>
      <c r="L29" s="318"/>
      <c r="M29" s="318"/>
      <c r="N29" s="318"/>
      <c r="O29" s="318"/>
      <c r="P29" s="318"/>
      <c r="Q29" s="318"/>
      <c r="R29" s="318"/>
      <c r="S29" s="318"/>
      <c r="T29" s="318"/>
      <c r="U29" s="318"/>
      <c r="V29" s="318"/>
      <c r="W29" s="318"/>
    </row>
    <row r="30" spans="1:23" x14ac:dyDescent="0.2">
      <c r="A30" s="388">
        <v>12</v>
      </c>
      <c r="B30" s="389">
        <v>7.0000000000000007E-2</v>
      </c>
      <c r="C30" s="389">
        <f t="shared" si="4"/>
        <v>0.6100000000000001</v>
      </c>
      <c r="D30" s="393" t="e">
        <f t="shared" si="5"/>
        <v>#REF!</v>
      </c>
      <c r="E30" s="390" t="e">
        <f t="shared" si="6"/>
        <v>#REF!</v>
      </c>
      <c r="F30" s="391" t="e">
        <f t="shared" si="0"/>
        <v>#REF!</v>
      </c>
      <c r="G30" s="470" t="s">
        <v>481</v>
      </c>
      <c r="H30" s="386" t="e">
        <f t="shared" si="1"/>
        <v>#REF!</v>
      </c>
      <c r="I30" s="387" t="e">
        <f t="shared" si="2"/>
        <v>#REF!</v>
      </c>
      <c r="J30" s="387" t="e">
        <f t="shared" si="3"/>
        <v>#REF!</v>
      </c>
      <c r="K30" s="318"/>
      <c r="L30" s="318"/>
      <c r="M30" s="318"/>
      <c r="N30" s="318"/>
      <c r="O30" s="318"/>
      <c r="P30" s="318"/>
      <c r="Q30" s="318"/>
      <c r="R30" s="318"/>
      <c r="S30" s="318"/>
      <c r="T30" s="318"/>
      <c r="U30" s="318"/>
      <c r="V30" s="318"/>
      <c r="W30" s="318"/>
    </row>
    <row r="31" spans="1:23" x14ac:dyDescent="0.2">
      <c r="A31" s="388">
        <v>13</v>
      </c>
      <c r="B31" s="389">
        <v>7.0000000000000007E-2</v>
      </c>
      <c r="C31" s="389">
        <f t="shared" si="4"/>
        <v>0.68000000000000016</v>
      </c>
      <c r="D31" s="393" t="e">
        <f t="shared" si="5"/>
        <v>#REF!</v>
      </c>
      <c r="E31" s="390" t="e">
        <f t="shared" si="6"/>
        <v>#REF!</v>
      </c>
      <c r="F31" s="391" t="e">
        <f t="shared" si="0"/>
        <v>#REF!</v>
      </c>
      <c r="G31" s="470" t="s">
        <v>482</v>
      </c>
      <c r="H31" s="386" t="e">
        <f t="shared" si="1"/>
        <v>#REF!</v>
      </c>
      <c r="I31" s="387" t="e">
        <f t="shared" si="2"/>
        <v>#REF!</v>
      </c>
      <c r="J31" s="387" t="e">
        <f t="shared" si="3"/>
        <v>#REF!</v>
      </c>
      <c r="K31" s="318"/>
      <c r="L31" s="318"/>
      <c r="M31" s="318"/>
      <c r="N31" s="318"/>
      <c r="O31" s="318"/>
      <c r="P31" s="318"/>
      <c r="Q31" s="318"/>
      <c r="R31" s="318"/>
      <c r="S31" s="318"/>
      <c r="T31" s="318"/>
      <c r="U31" s="318"/>
      <c r="V31" s="318"/>
      <c r="W31" s="318"/>
    </row>
    <row r="32" spans="1:23" x14ac:dyDescent="0.2">
      <c r="A32" s="388">
        <v>14</v>
      </c>
      <c r="B32" s="389">
        <v>0.06</v>
      </c>
      <c r="C32" s="389">
        <f t="shared" si="4"/>
        <v>0.74000000000000021</v>
      </c>
      <c r="D32" s="393" t="e">
        <f t="shared" si="5"/>
        <v>#REF!</v>
      </c>
      <c r="E32" s="390" t="e">
        <f t="shared" si="6"/>
        <v>#REF!</v>
      </c>
      <c r="F32" s="391" t="e">
        <f t="shared" si="0"/>
        <v>#REF!</v>
      </c>
      <c r="G32" s="470" t="s">
        <v>483</v>
      </c>
      <c r="H32" s="386" t="e">
        <f t="shared" si="1"/>
        <v>#REF!</v>
      </c>
      <c r="I32" s="387" t="e">
        <f t="shared" si="2"/>
        <v>#REF!</v>
      </c>
      <c r="J32" s="387" t="e">
        <f t="shared" si="3"/>
        <v>#REF!</v>
      </c>
      <c r="K32" s="318"/>
      <c r="L32" s="318"/>
      <c r="M32" s="318"/>
      <c r="N32" s="318"/>
      <c r="O32" s="318"/>
      <c r="P32" s="318"/>
      <c r="Q32" s="318"/>
      <c r="R32" s="318"/>
      <c r="S32" s="318"/>
      <c r="T32" s="318"/>
      <c r="U32" s="318"/>
      <c r="V32" s="318"/>
      <c r="W32" s="318"/>
    </row>
    <row r="33" spans="1:23" x14ac:dyDescent="0.2">
      <c r="A33" s="388">
        <v>15</v>
      </c>
      <c r="B33" s="389">
        <v>0.06</v>
      </c>
      <c r="C33" s="389">
        <f t="shared" si="4"/>
        <v>0.80000000000000027</v>
      </c>
      <c r="D33" s="393" t="e">
        <f t="shared" si="5"/>
        <v>#REF!</v>
      </c>
      <c r="E33" s="390" t="e">
        <f t="shared" si="6"/>
        <v>#REF!</v>
      </c>
      <c r="F33" s="391" t="e">
        <f t="shared" si="0"/>
        <v>#REF!</v>
      </c>
      <c r="G33" s="470" t="s">
        <v>484</v>
      </c>
      <c r="H33" s="386" t="e">
        <f t="shared" si="1"/>
        <v>#REF!</v>
      </c>
      <c r="I33" s="387" t="e">
        <f t="shared" si="2"/>
        <v>#REF!</v>
      </c>
      <c r="J33" s="387" t="e">
        <f t="shared" si="3"/>
        <v>#REF!</v>
      </c>
      <c r="K33" s="318"/>
      <c r="L33" s="318"/>
      <c r="M33" s="318"/>
      <c r="N33" s="318"/>
      <c r="O33" s="318"/>
      <c r="P33" s="318"/>
      <c r="Q33" s="318"/>
      <c r="R33" s="318"/>
      <c r="S33" s="318"/>
      <c r="T33" s="318"/>
      <c r="U33" s="318"/>
      <c r="V33" s="318"/>
      <c r="W33" s="318"/>
    </row>
    <row r="34" spans="1:23" x14ac:dyDescent="0.2">
      <c r="A34" s="388">
        <v>16</v>
      </c>
      <c r="B34" s="389">
        <v>0.05</v>
      </c>
      <c r="C34" s="389">
        <f t="shared" si="4"/>
        <v>0.85000000000000031</v>
      </c>
      <c r="D34" s="393" t="e">
        <f t="shared" si="5"/>
        <v>#REF!</v>
      </c>
      <c r="E34" s="390" t="e">
        <f t="shared" si="6"/>
        <v>#REF!</v>
      </c>
      <c r="F34" s="391" t="e">
        <f t="shared" si="0"/>
        <v>#REF!</v>
      </c>
      <c r="G34" s="470" t="s">
        <v>485</v>
      </c>
      <c r="H34" s="386" t="e">
        <f t="shared" si="1"/>
        <v>#REF!</v>
      </c>
      <c r="I34" s="387" t="e">
        <f t="shared" si="2"/>
        <v>#REF!</v>
      </c>
      <c r="J34" s="387" t="e">
        <f t="shared" si="3"/>
        <v>#REF!</v>
      </c>
      <c r="K34" s="318"/>
      <c r="L34" s="318"/>
      <c r="M34" s="318"/>
      <c r="N34" s="318"/>
      <c r="O34" s="318"/>
      <c r="P34" s="318"/>
      <c r="Q34" s="318"/>
      <c r="R34" s="318"/>
      <c r="S34" s="318"/>
      <c r="T34" s="318"/>
      <c r="U34" s="318"/>
      <c r="V34" s="318"/>
      <c r="W34" s="318"/>
    </row>
    <row r="35" spans="1:23" x14ac:dyDescent="0.2">
      <c r="A35" s="388">
        <v>17</v>
      </c>
      <c r="B35" s="389">
        <v>0.05</v>
      </c>
      <c r="C35" s="389">
        <f t="shared" si="4"/>
        <v>0.90000000000000036</v>
      </c>
      <c r="D35" s="393" t="e">
        <f t="shared" si="5"/>
        <v>#REF!</v>
      </c>
      <c r="E35" s="390" t="e">
        <f t="shared" si="6"/>
        <v>#REF!</v>
      </c>
      <c r="F35" s="391" t="e">
        <f t="shared" si="0"/>
        <v>#REF!</v>
      </c>
      <c r="G35" s="470" t="s">
        <v>486</v>
      </c>
      <c r="H35" s="386" t="e">
        <f t="shared" si="1"/>
        <v>#REF!</v>
      </c>
      <c r="I35" s="387" t="e">
        <f t="shared" si="2"/>
        <v>#REF!</v>
      </c>
      <c r="J35" s="387" t="e">
        <f t="shared" si="3"/>
        <v>#REF!</v>
      </c>
      <c r="K35" s="318"/>
      <c r="L35" s="318"/>
      <c r="M35" s="318"/>
      <c r="N35" s="318"/>
      <c r="O35" s="318"/>
      <c r="P35" s="318"/>
      <c r="Q35" s="318"/>
      <c r="R35" s="318"/>
      <c r="S35" s="318"/>
      <c r="T35" s="318"/>
      <c r="U35" s="318"/>
      <c r="V35" s="318"/>
      <c r="W35" s="318"/>
    </row>
    <row r="36" spans="1:23" x14ac:dyDescent="0.2">
      <c r="A36" s="388">
        <v>18</v>
      </c>
      <c r="B36" s="389">
        <v>0.04</v>
      </c>
      <c r="C36" s="389">
        <f t="shared" si="4"/>
        <v>0.94000000000000039</v>
      </c>
      <c r="D36" s="393" t="e">
        <f t="shared" si="5"/>
        <v>#REF!</v>
      </c>
      <c r="E36" s="390" t="e">
        <f t="shared" si="6"/>
        <v>#REF!</v>
      </c>
      <c r="F36" s="391" t="e">
        <f t="shared" si="0"/>
        <v>#REF!</v>
      </c>
      <c r="G36" s="470" t="s">
        <v>487</v>
      </c>
      <c r="H36" s="386" t="e">
        <f t="shared" si="1"/>
        <v>#REF!</v>
      </c>
      <c r="I36" s="387" t="e">
        <f t="shared" si="2"/>
        <v>#REF!</v>
      </c>
      <c r="J36" s="387" t="e">
        <f t="shared" si="3"/>
        <v>#REF!</v>
      </c>
      <c r="K36" s="318"/>
      <c r="L36" s="318"/>
      <c r="M36" s="318"/>
      <c r="N36" s="318"/>
      <c r="O36" s="318"/>
      <c r="P36" s="318"/>
      <c r="Q36" s="318"/>
      <c r="R36" s="318"/>
      <c r="S36" s="318"/>
      <c r="T36" s="318"/>
      <c r="U36" s="318"/>
      <c r="V36" s="318"/>
      <c r="W36" s="318"/>
    </row>
    <row r="37" spans="1:23" x14ac:dyDescent="0.2">
      <c r="A37" s="388">
        <v>19</v>
      </c>
      <c r="B37" s="389">
        <v>0.04</v>
      </c>
      <c r="C37" s="389">
        <f t="shared" si="4"/>
        <v>0.98000000000000043</v>
      </c>
      <c r="D37" s="393" t="e">
        <f t="shared" si="5"/>
        <v>#REF!</v>
      </c>
      <c r="E37" s="390" t="e">
        <f t="shared" si="6"/>
        <v>#REF!</v>
      </c>
      <c r="F37" s="391" t="e">
        <f t="shared" si="0"/>
        <v>#REF!</v>
      </c>
      <c r="G37" s="470" t="s">
        <v>488</v>
      </c>
      <c r="H37" s="386" t="e">
        <f>ROUND(D37*0.1,0)</f>
        <v>#REF!</v>
      </c>
      <c r="I37" s="387" t="e">
        <f t="shared" si="2"/>
        <v>#REF!</v>
      </c>
      <c r="J37" s="387" t="e">
        <f t="shared" si="3"/>
        <v>#REF!</v>
      </c>
      <c r="K37" s="318"/>
      <c r="L37" s="318"/>
      <c r="M37" s="318"/>
      <c r="N37" s="318"/>
      <c r="O37" s="318"/>
      <c r="P37" s="318"/>
      <c r="Q37" s="318"/>
      <c r="R37" s="318"/>
      <c r="S37" s="318"/>
      <c r="T37" s="318"/>
      <c r="U37" s="318"/>
      <c r="V37" s="318"/>
      <c r="W37" s="318"/>
    </row>
    <row r="38" spans="1:23" ht="12.75" thickBot="1" x14ac:dyDescent="0.25">
      <c r="A38" s="371">
        <v>20</v>
      </c>
      <c r="B38" s="372">
        <v>0.02</v>
      </c>
      <c r="C38" s="372">
        <f t="shared" si="4"/>
        <v>1.0000000000000004</v>
      </c>
      <c r="D38" s="373" t="e">
        <f>ROUND(B38*$D$11*(100-$D$14)/100,0)</f>
        <v>#REF!</v>
      </c>
      <c r="E38" s="374" t="e">
        <f t="shared" si="6"/>
        <v>#REF!</v>
      </c>
      <c r="F38" s="375" t="e">
        <f t="shared" si="0"/>
        <v>#REF!</v>
      </c>
      <c r="G38" s="485" t="s">
        <v>490</v>
      </c>
      <c r="H38" s="377" t="e">
        <f>ROUND(D38*0.1,0)</f>
        <v>#REF!</v>
      </c>
      <c r="I38" s="483" t="e">
        <f>ROUNDUP((D38+H38-J38),-(LEN(D38)-$I$15))</f>
        <v>#REF!</v>
      </c>
      <c r="J38" s="483" t="e">
        <f>ROUNDUP(D38*$D$12/100,-(LEN(D38)-$I$15))</f>
        <v>#REF!</v>
      </c>
      <c r="K38" s="318"/>
      <c r="L38" s="318"/>
      <c r="M38" s="318"/>
      <c r="N38" s="318"/>
      <c r="O38" s="318"/>
      <c r="P38" s="318"/>
      <c r="Q38" s="318"/>
      <c r="R38" s="318"/>
      <c r="S38" s="318"/>
      <c r="T38" s="318"/>
      <c r="U38" s="318"/>
      <c r="V38" s="318"/>
      <c r="W38" s="318"/>
    </row>
    <row r="39" spans="1:23" ht="12.75" thickBot="1" x14ac:dyDescent="0.25">
      <c r="A39" s="480" t="str">
        <f>A38*30 &amp; " dias"</f>
        <v>600 dias</v>
      </c>
      <c r="B39" s="481">
        <f>SUM(B19:B38)</f>
        <v>1.0000000000000004</v>
      </c>
      <c r="C39" s="482"/>
      <c r="D39" s="483" t="e">
        <f>SUM(D18:D38)</f>
        <v>#REF!</v>
      </c>
      <c r="E39" s="318"/>
      <c r="F39" s="324"/>
      <c r="G39" s="318"/>
      <c r="H39" s="318"/>
      <c r="I39" s="483" t="e">
        <f>SUM(I18:I38)</f>
        <v>#REF!</v>
      </c>
      <c r="J39" s="483" t="e">
        <f>SUM(J18:J38)</f>
        <v>#REF!</v>
      </c>
      <c r="K39" s="318"/>
      <c r="L39" s="318"/>
      <c r="M39" s="318"/>
      <c r="N39" s="318"/>
      <c r="O39" s="318"/>
      <c r="P39" s="318"/>
      <c r="Q39" s="318"/>
      <c r="R39" s="318"/>
      <c r="S39" s="318"/>
      <c r="T39" s="318"/>
      <c r="U39" s="318"/>
      <c r="V39" s="318"/>
      <c r="W39" s="318"/>
    </row>
    <row r="40" spans="1:23" x14ac:dyDescent="0.2">
      <c r="A40" s="324"/>
      <c r="B40" s="329"/>
      <c r="C40" s="327"/>
      <c r="D40" s="327"/>
      <c r="E40" s="327"/>
      <c r="F40" s="318"/>
      <c r="G40" s="318"/>
      <c r="H40" s="330" t="s">
        <v>432</v>
      </c>
      <c r="I40" s="1095" t="e">
        <f>I39+J39</f>
        <v>#REF!</v>
      </c>
      <c r="J40" s="1096"/>
      <c r="K40" s="318"/>
      <c r="L40" s="318"/>
      <c r="M40" s="318"/>
      <c r="N40" s="318"/>
      <c r="O40" s="318"/>
      <c r="P40" s="318"/>
      <c r="Q40" s="318"/>
      <c r="R40" s="318"/>
      <c r="S40" s="318"/>
      <c r="T40" s="318"/>
      <c r="U40" s="318"/>
      <c r="V40" s="318"/>
      <c r="W40" s="318"/>
    </row>
    <row r="41" spans="1:23" x14ac:dyDescent="0.2">
      <c r="A41" s="323" t="s">
        <v>433</v>
      </c>
      <c r="B41" s="323"/>
      <c r="C41" s="323"/>
      <c r="D41" s="327"/>
      <c r="E41" s="327"/>
      <c r="F41" s="318"/>
      <c r="G41" s="318"/>
      <c r="H41" s="330" t="s">
        <v>434</v>
      </c>
      <c r="I41" s="341" t="e">
        <f>+I40/1.1-D11</f>
        <v>#REF!</v>
      </c>
      <c r="J41" s="318"/>
      <c r="K41" s="318"/>
      <c r="L41" s="318"/>
      <c r="M41" s="318"/>
      <c r="N41" s="318"/>
      <c r="O41" s="318"/>
      <c r="P41" s="318"/>
      <c r="Q41" s="318"/>
      <c r="R41" s="318"/>
      <c r="S41" s="318"/>
      <c r="T41" s="318"/>
      <c r="U41" s="318"/>
      <c r="V41" s="318"/>
      <c r="W41" s="318"/>
    </row>
    <row r="42" spans="1:23" x14ac:dyDescent="0.2">
      <c r="A42" s="318"/>
      <c r="B42" s="383"/>
      <c r="C42" s="327"/>
      <c r="D42" s="327"/>
      <c r="E42" s="327"/>
      <c r="F42" s="318"/>
      <c r="G42" s="318"/>
      <c r="H42" s="324"/>
      <c r="I42" s="318"/>
      <c r="J42" s="318"/>
      <c r="K42" s="318"/>
      <c r="L42" s="318"/>
      <c r="M42" s="318"/>
      <c r="N42" s="318"/>
      <c r="O42" s="318"/>
      <c r="P42" s="318"/>
      <c r="Q42" s="318"/>
      <c r="R42" s="318"/>
      <c r="S42" s="318"/>
      <c r="T42" s="318"/>
      <c r="U42" s="318"/>
      <c r="V42" s="318"/>
      <c r="W42" s="318"/>
    </row>
    <row r="43" spans="1:23" x14ac:dyDescent="0.2">
      <c r="A43" s="318"/>
      <c r="B43" s="383"/>
      <c r="C43" s="327"/>
      <c r="D43" s="327"/>
      <c r="E43" s="327"/>
      <c r="F43" s="318"/>
      <c r="G43" s="318"/>
      <c r="H43" s="324"/>
      <c r="I43" s="318"/>
      <c r="J43" s="318"/>
      <c r="K43" s="318"/>
      <c r="L43" s="318"/>
      <c r="M43" s="318"/>
      <c r="N43" s="318"/>
      <c r="O43" s="318"/>
      <c r="P43" s="318"/>
      <c r="Q43" s="318"/>
      <c r="R43" s="318"/>
      <c r="S43" s="318"/>
      <c r="T43" s="318"/>
      <c r="U43" s="318"/>
      <c r="V43" s="318"/>
      <c r="W43" s="318"/>
    </row>
    <row r="44" spans="1:23" s="473" customFormat="1" ht="12.75" customHeight="1" x14ac:dyDescent="0.2">
      <c r="A44" s="471"/>
      <c r="B44" s="472" t="s">
        <v>542</v>
      </c>
      <c r="C44" s="472" t="s">
        <v>470</v>
      </c>
      <c r="D44" s="472" t="s">
        <v>471</v>
      </c>
      <c r="E44" s="472" t="s">
        <v>472</v>
      </c>
      <c r="F44" s="472" t="s">
        <v>473</v>
      </c>
      <c r="G44" s="472" t="s">
        <v>474</v>
      </c>
      <c r="H44" s="472" t="s">
        <v>475</v>
      </c>
      <c r="I44" s="472" t="s">
        <v>476</v>
      </c>
      <c r="J44" s="472" t="s">
        <v>477</v>
      </c>
      <c r="K44" s="472" t="s">
        <v>478</v>
      </c>
      <c r="L44" s="472" t="s">
        <v>479</v>
      </c>
      <c r="M44" s="472" t="s">
        <v>480</v>
      </c>
      <c r="N44" s="472" t="s">
        <v>481</v>
      </c>
      <c r="O44" s="472" t="s">
        <v>482</v>
      </c>
      <c r="P44" s="472" t="s">
        <v>483</v>
      </c>
      <c r="Q44" s="472" t="s">
        <v>484</v>
      </c>
      <c r="R44" s="472" t="s">
        <v>485</v>
      </c>
      <c r="S44" s="472" t="s">
        <v>486</v>
      </c>
      <c r="T44" s="472" t="s">
        <v>487</v>
      </c>
      <c r="U44" s="472" t="s">
        <v>488</v>
      </c>
      <c r="V44" s="472" t="s">
        <v>490</v>
      </c>
      <c r="W44" s="318"/>
    </row>
    <row r="45" spans="1:23" x14ac:dyDescent="0.2">
      <c r="A45" s="384" t="s">
        <v>435</v>
      </c>
      <c r="B45" s="361">
        <v>0</v>
      </c>
      <c r="C45" s="361">
        <v>0</v>
      </c>
      <c r="D45" s="361">
        <v>0</v>
      </c>
      <c r="E45" s="361">
        <v>0</v>
      </c>
      <c r="F45" s="361">
        <v>0</v>
      </c>
      <c r="G45" s="361">
        <v>0</v>
      </c>
      <c r="H45" s="361">
        <v>0</v>
      </c>
      <c r="I45" s="361">
        <v>0</v>
      </c>
      <c r="J45" s="361">
        <v>0</v>
      </c>
      <c r="K45" s="361">
        <v>0</v>
      </c>
      <c r="L45" s="361">
        <v>0</v>
      </c>
      <c r="M45" s="361">
        <v>0</v>
      </c>
      <c r="N45" s="361">
        <v>0</v>
      </c>
      <c r="O45" s="361">
        <v>0</v>
      </c>
      <c r="P45" s="361">
        <v>0</v>
      </c>
      <c r="Q45" s="361">
        <v>0</v>
      </c>
      <c r="R45" s="361">
        <v>0</v>
      </c>
      <c r="S45" s="361">
        <v>0</v>
      </c>
      <c r="T45" s="361">
        <v>0</v>
      </c>
      <c r="U45" s="361">
        <v>0</v>
      </c>
      <c r="V45" s="361">
        <v>0</v>
      </c>
      <c r="W45" s="327">
        <f>SUM(B45:V45)</f>
        <v>0</v>
      </c>
    </row>
    <row r="46" spans="1:23" x14ac:dyDescent="0.2">
      <c r="A46" s="384" t="s">
        <v>436</v>
      </c>
      <c r="B46" s="361" t="e">
        <f>$J18</f>
        <v>#REF!</v>
      </c>
      <c r="C46" s="361" t="e">
        <f>$J19</f>
        <v>#REF!</v>
      </c>
      <c r="D46" s="361" t="e">
        <f>$J20</f>
        <v>#REF!</v>
      </c>
      <c r="E46" s="361" t="e">
        <f>$J21</f>
        <v>#REF!</v>
      </c>
      <c r="F46" s="361" t="e">
        <f>$J22</f>
        <v>#REF!</v>
      </c>
      <c r="G46" s="361" t="e">
        <f>$J23</f>
        <v>#REF!</v>
      </c>
      <c r="H46" s="361" t="e">
        <f>$J24</f>
        <v>#REF!</v>
      </c>
      <c r="I46" s="361" t="e">
        <f>$J25</f>
        <v>#REF!</v>
      </c>
      <c r="J46" s="361" t="e">
        <f>$J26</f>
        <v>#REF!</v>
      </c>
      <c r="K46" s="361" t="e">
        <f>$J27</f>
        <v>#REF!</v>
      </c>
      <c r="L46" s="361" t="e">
        <f>$J28</f>
        <v>#REF!</v>
      </c>
      <c r="M46" s="361" t="e">
        <f>$J29</f>
        <v>#REF!</v>
      </c>
      <c r="N46" s="361" t="e">
        <f>$J30</f>
        <v>#REF!</v>
      </c>
      <c r="O46" s="361" t="e">
        <f>$J31</f>
        <v>#REF!</v>
      </c>
      <c r="P46" s="361" t="e">
        <f>$J32</f>
        <v>#REF!</v>
      </c>
      <c r="Q46" s="361" t="e">
        <f>$J33</f>
        <v>#REF!</v>
      </c>
      <c r="R46" s="361" t="e">
        <f>$J34</f>
        <v>#REF!</v>
      </c>
      <c r="S46" s="361" t="e">
        <f>$J35</f>
        <v>#REF!</v>
      </c>
      <c r="T46" s="361" t="e">
        <f>$J36</f>
        <v>#REF!</v>
      </c>
      <c r="U46" s="361" t="e">
        <f>$J37</f>
        <v>#REF!</v>
      </c>
      <c r="V46" s="361" t="e">
        <f>$J38</f>
        <v>#REF!</v>
      </c>
      <c r="W46" s="327" t="e">
        <f t="shared" ref="W46:W50" si="7">SUM(B46:V46)</f>
        <v>#REF!</v>
      </c>
    </row>
    <row r="47" spans="1:23" x14ac:dyDescent="0.2">
      <c r="A47" s="575" t="s">
        <v>575</v>
      </c>
      <c r="B47" s="576" t="e">
        <f>SUM(B45:B46)</f>
        <v>#REF!</v>
      </c>
      <c r="C47" s="576" t="e">
        <f t="shared" ref="C47:V47" si="8">SUM(C45:C46)</f>
        <v>#REF!</v>
      </c>
      <c r="D47" s="576" t="e">
        <f t="shared" si="8"/>
        <v>#REF!</v>
      </c>
      <c r="E47" s="576" t="e">
        <f t="shared" si="8"/>
        <v>#REF!</v>
      </c>
      <c r="F47" s="576" t="e">
        <f t="shared" si="8"/>
        <v>#REF!</v>
      </c>
      <c r="G47" s="576" t="e">
        <f t="shared" si="8"/>
        <v>#REF!</v>
      </c>
      <c r="H47" s="576" t="e">
        <f t="shared" si="8"/>
        <v>#REF!</v>
      </c>
      <c r="I47" s="576" t="e">
        <f t="shared" si="8"/>
        <v>#REF!</v>
      </c>
      <c r="J47" s="576" t="e">
        <f t="shared" si="8"/>
        <v>#REF!</v>
      </c>
      <c r="K47" s="576" t="e">
        <f t="shared" si="8"/>
        <v>#REF!</v>
      </c>
      <c r="L47" s="576" t="e">
        <f t="shared" si="8"/>
        <v>#REF!</v>
      </c>
      <c r="M47" s="576" t="e">
        <f t="shared" si="8"/>
        <v>#REF!</v>
      </c>
      <c r="N47" s="576" t="e">
        <f t="shared" si="8"/>
        <v>#REF!</v>
      </c>
      <c r="O47" s="576" t="e">
        <f t="shared" si="8"/>
        <v>#REF!</v>
      </c>
      <c r="P47" s="576" t="e">
        <f t="shared" si="8"/>
        <v>#REF!</v>
      </c>
      <c r="Q47" s="576" t="e">
        <f t="shared" si="8"/>
        <v>#REF!</v>
      </c>
      <c r="R47" s="576" t="e">
        <f t="shared" si="8"/>
        <v>#REF!</v>
      </c>
      <c r="S47" s="576" t="e">
        <f t="shared" si="8"/>
        <v>#REF!</v>
      </c>
      <c r="T47" s="576" t="e">
        <f t="shared" si="8"/>
        <v>#REF!</v>
      </c>
      <c r="U47" s="576" t="e">
        <f t="shared" si="8"/>
        <v>#REF!</v>
      </c>
      <c r="V47" s="576" t="e">
        <f t="shared" si="8"/>
        <v>#REF!</v>
      </c>
      <c r="W47" s="327" t="e">
        <f t="shared" si="7"/>
        <v>#REF!</v>
      </c>
    </row>
    <row r="48" spans="1:23" s="558" customFormat="1" x14ac:dyDescent="0.2">
      <c r="A48" s="577" t="s">
        <v>440</v>
      </c>
      <c r="B48" s="577">
        <v>0</v>
      </c>
      <c r="C48" s="577" t="e">
        <f>C55</f>
        <v>#REF!</v>
      </c>
      <c r="D48" s="577" t="e">
        <f>C48</f>
        <v>#REF!</v>
      </c>
      <c r="E48" s="577" t="e">
        <f t="shared" ref="E48:V48" si="9">D48</f>
        <v>#REF!</v>
      </c>
      <c r="F48" s="577" t="e">
        <f t="shared" si="9"/>
        <v>#REF!</v>
      </c>
      <c r="G48" s="577" t="e">
        <f t="shared" si="9"/>
        <v>#REF!</v>
      </c>
      <c r="H48" s="577" t="e">
        <f t="shared" si="9"/>
        <v>#REF!</v>
      </c>
      <c r="I48" s="577" t="e">
        <f t="shared" si="9"/>
        <v>#REF!</v>
      </c>
      <c r="J48" s="577" t="e">
        <f t="shared" si="9"/>
        <v>#REF!</v>
      </c>
      <c r="K48" s="577" t="e">
        <f t="shared" si="9"/>
        <v>#REF!</v>
      </c>
      <c r="L48" s="577" t="e">
        <f t="shared" si="9"/>
        <v>#REF!</v>
      </c>
      <c r="M48" s="577" t="e">
        <f t="shared" si="9"/>
        <v>#REF!</v>
      </c>
      <c r="N48" s="577" t="e">
        <f t="shared" si="9"/>
        <v>#REF!</v>
      </c>
      <c r="O48" s="577" t="e">
        <f t="shared" si="9"/>
        <v>#REF!</v>
      </c>
      <c r="P48" s="577" t="e">
        <f t="shared" si="9"/>
        <v>#REF!</v>
      </c>
      <c r="Q48" s="577" t="e">
        <f t="shared" si="9"/>
        <v>#REF!</v>
      </c>
      <c r="R48" s="577" t="e">
        <f t="shared" si="9"/>
        <v>#REF!</v>
      </c>
      <c r="S48" s="577" t="e">
        <f t="shared" si="9"/>
        <v>#REF!</v>
      </c>
      <c r="T48" s="577" t="e">
        <f t="shared" si="9"/>
        <v>#REF!</v>
      </c>
      <c r="U48" s="577" t="e">
        <f t="shared" si="9"/>
        <v>#REF!</v>
      </c>
      <c r="V48" s="577" t="e">
        <f t="shared" si="9"/>
        <v>#REF!</v>
      </c>
      <c r="W48" s="327" t="e">
        <f t="shared" si="7"/>
        <v>#REF!</v>
      </c>
    </row>
    <row r="49" spans="1:23" s="558" customFormat="1" x14ac:dyDescent="0.2">
      <c r="A49" s="577" t="s">
        <v>542</v>
      </c>
      <c r="B49" s="577" t="e">
        <f>A53*10%</f>
        <v>#REF!</v>
      </c>
      <c r="C49" s="577"/>
      <c r="D49" s="577"/>
      <c r="E49" s="577"/>
      <c r="F49" s="577"/>
      <c r="G49" s="577"/>
      <c r="H49" s="577"/>
      <c r="I49" s="577"/>
      <c r="J49" s="577"/>
      <c r="K49" s="577"/>
      <c r="L49" s="577"/>
      <c r="M49" s="577"/>
      <c r="N49" s="577"/>
      <c r="O49" s="577"/>
      <c r="P49" s="577"/>
      <c r="Q49" s="577"/>
      <c r="R49" s="577"/>
      <c r="S49" s="577"/>
      <c r="T49" s="577"/>
      <c r="U49" s="577"/>
      <c r="V49" s="577"/>
      <c r="W49" s="327" t="e">
        <f t="shared" si="7"/>
        <v>#REF!</v>
      </c>
    </row>
    <row r="50" spans="1:23" s="558" customFormat="1" x14ac:dyDescent="0.2">
      <c r="A50" s="577"/>
      <c r="B50" s="577" t="e">
        <f>SUM(B47:B49)</f>
        <v>#REF!</v>
      </c>
      <c r="C50" s="577" t="e">
        <f t="shared" ref="C50:V50" si="10">SUM(C47:C49)</f>
        <v>#REF!</v>
      </c>
      <c r="D50" s="577" t="e">
        <f t="shared" si="10"/>
        <v>#REF!</v>
      </c>
      <c r="E50" s="577" t="e">
        <f t="shared" si="10"/>
        <v>#REF!</v>
      </c>
      <c r="F50" s="577" t="e">
        <f t="shared" si="10"/>
        <v>#REF!</v>
      </c>
      <c r="G50" s="577" t="e">
        <f t="shared" si="10"/>
        <v>#REF!</v>
      </c>
      <c r="H50" s="577" t="e">
        <f t="shared" si="10"/>
        <v>#REF!</v>
      </c>
      <c r="I50" s="577" t="e">
        <f t="shared" si="10"/>
        <v>#REF!</v>
      </c>
      <c r="J50" s="577" t="e">
        <f t="shared" si="10"/>
        <v>#REF!</v>
      </c>
      <c r="K50" s="577" t="e">
        <f t="shared" si="10"/>
        <v>#REF!</v>
      </c>
      <c r="L50" s="577" t="e">
        <f t="shared" si="10"/>
        <v>#REF!</v>
      </c>
      <c r="M50" s="577" t="e">
        <f t="shared" si="10"/>
        <v>#REF!</v>
      </c>
      <c r="N50" s="577" t="e">
        <f t="shared" si="10"/>
        <v>#REF!</v>
      </c>
      <c r="O50" s="577" t="e">
        <f t="shared" si="10"/>
        <v>#REF!</v>
      </c>
      <c r="P50" s="577" t="e">
        <f t="shared" si="10"/>
        <v>#REF!</v>
      </c>
      <c r="Q50" s="577" t="e">
        <f t="shared" si="10"/>
        <v>#REF!</v>
      </c>
      <c r="R50" s="577" t="e">
        <f t="shared" si="10"/>
        <v>#REF!</v>
      </c>
      <c r="S50" s="577" t="e">
        <f t="shared" si="10"/>
        <v>#REF!</v>
      </c>
      <c r="T50" s="577" t="e">
        <f t="shared" si="10"/>
        <v>#REF!</v>
      </c>
      <c r="U50" s="577" t="e">
        <f t="shared" si="10"/>
        <v>#REF!</v>
      </c>
      <c r="V50" s="577" t="e">
        <f t="shared" si="10"/>
        <v>#REF!</v>
      </c>
      <c r="W50" s="327" t="e">
        <f t="shared" si="7"/>
        <v>#REF!</v>
      </c>
    </row>
    <row r="51" spans="1:23" x14ac:dyDescent="0.2">
      <c r="W51" s="327"/>
    </row>
    <row r="52" spans="1:23" x14ac:dyDescent="0.2">
      <c r="W52" s="327"/>
    </row>
    <row r="53" spans="1:23" x14ac:dyDescent="0.2">
      <c r="A53" s="319" t="e">
        <f>'4. CC D'!#REF!</f>
        <v>#REF!</v>
      </c>
      <c r="W53" s="327"/>
    </row>
    <row r="54" spans="1:23" x14ac:dyDescent="0.2">
      <c r="A54" s="319" t="e">
        <f>A53*0.1</f>
        <v>#REF!</v>
      </c>
      <c r="W54" s="327"/>
    </row>
    <row r="55" spans="1:23" x14ac:dyDescent="0.2">
      <c r="A55" s="319" t="e">
        <f>A53*0.45</f>
        <v>#REF!</v>
      </c>
      <c r="C55" s="319" t="e">
        <f>A55/20</f>
        <v>#REF!</v>
      </c>
    </row>
    <row r="56" spans="1:23" ht="14.25" customHeight="1" x14ac:dyDescent="0.2"/>
    <row r="61" spans="1:23" x14ac:dyDescent="0.2">
      <c r="R61" s="327"/>
    </row>
    <row r="62" spans="1:23" x14ac:dyDescent="0.2">
      <c r="R62" s="327"/>
      <c r="S62" s="318"/>
      <c r="T62" s="318"/>
      <c r="U62" s="318"/>
    </row>
    <row r="63" spans="1:23" x14ac:dyDescent="0.2">
      <c r="R63" s="327"/>
    </row>
    <row r="64" spans="1:23" x14ac:dyDescent="0.2">
      <c r="A64" s="319" t="e">
        <f>'4. CC D'!#REF!</f>
        <v>#REF!</v>
      </c>
      <c r="R64" s="327"/>
      <c r="S64" s="318"/>
      <c r="T64" s="318"/>
      <c r="U64" s="318"/>
    </row>
    <row r="65" spans="1:21" x14ac:dyDescent="0.2">
      <c r="A65" s="319" t="e">
        <f>A64*0.1</f>
        <v>#REF!</v>
      </c>
      <c r="R65" s="327"/>
    </row>
    <row r="66" spans="1:21" x14ac:dyDescent="0.2">
      <c r="A66" s="319" t="e">
        <f>A64*0.45</f>
        <v>#REF!</v>
      </c>
      <c r="C66" s="319" t="e">
        <f>A66/15</f>
        <v>#REF!</v>
      </c>
      <c r="R66" s="327"/>
      <c r="S66" s="318"/>
      <c r="T66" s="318"/>
      <c r="U66" s="318"/>
    </row>
  </sheetData>
  <mergeCells count="6">
    <mergeCell ref="I40:J40"/>
    <mergeCell ref="A1:J1"/>
    <mergeCell ref="B3:I4"/>
    <mergeCell ref="A5:C5"/>
    <mergeCell ref="D7:F7"/>
    <mergeCell ref="C15:D15"/>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90"/>
  <sheetViews>
    <sheetView zoomScale="75" zoomScaleNormal="75" workbookViewId="0">
      <selection activeCell="J33" sqref="J33:N33"/>
    </sheetView>
  </sheetViews>
  <sheetFormatPr defaultColWidth="11.42578125" defaultRowHeight="12.75" x14ac:dyDescent="0.2"/>
  <cols>
    <col min="1" max="1" width="15.42578125" style="578" customWidth="1"/>
    <col min="2" max="2" width="15.28515625" style="578" hidden="1" customWidth="1"/>
    <col min="3" max="3" width="58.28515625" style="578" bestFit="1" customWidth="1"/>
    <col min="4" max="4" width="13.140625" style="578" customWidth="1"/>
    <col min="5" max="5" width="19.42578125" style="580" customWidth="1"/>
    <col min="6" max="6" width="12.5703125" style="580" customWidth="1"/>
    <col min="7" max="8" width="11.42578125" style="578"/>
    <col min="9" max="9" width="25.7109375" style="578" customWidth="1"/>
    <col min="10" max="10" width="9.7109375" style="578" bestFit="1" customWidth="1"/>
    <col min="11" max="11" width="10" style="578" bestFit="1" customWidth="1"/>
    <col min="12" max="12" width="12.140625" style="578" bestFit="1" customWidth="1"/>
    <col min="13" max="14" width="12.5703125" style="578" bestFit="1" customWidth="1"/>
    <col min="15" max="15" width="15.42578125" style="578" bestFit="1" customWidth="1"/>
    <col min="16" max="16384" width="11.42578125" style="578"/>
  </cols>
  <sheetData>
    <row r="2" spans="1:6" hidden="1" x14ac:dyDescent="0.2">
      <c r="C2" s="579" t="s">
        <v>576</v>
      </c>
    </row>
    <row r="3" spans="1:6" hidden="1" x14ac:dyDescent="0.2"/>
    <row r="4" spans="1:6" ht="15.75" hidden="1" x14ac:dyDescent="0.25">
      <c r="B4" s="1097" t="s">
        <v>577</v>
      </c>
      <c r="C4" s="1097"/>
      <c r="D4" s="1097"/>
      <c r="E4" s="1097"/>
      <c r="F4" s="581"/>
    </row>
    <row r="5" spans="1:6" s="582" customFormat="1" ht="15.75" hidden="1" x14ac:dyDescent="0.25">
      <c r="A5" s="1098" t="s">
        <v>295</v>
      </c>
      <c r="B5" s="578"/>
      <c r="C5" s="1100" t="s">
        <v>297</v>
      </c>
      <c r="D5" s="1098" t="s">
        <v>298</v>
      </c>
      <c r="E5" s="1102" t="s">
        <v>578</v>
      </c>
      <c r="F5" s="581"/>
    </row>
    <row r="6" spans="1:6" ht="15.75" hidden="1" x14ac:dyDescent="0.2">
      <c r="A6" s="1099"/>
      <c r="C6" s="1101"/>
      <c r="D6" s="1099"/>
      <c r="E6" s="1103"/>
      <c r="F6" s="583"/>
    </row>
    <row r="7" spans="1:6" ht="15.75" hidden="1" x14ac:dyDescent="0.25">
      <c r="A7" s="1106" t="s">
        <v>579</v>
      </c>
      <c r="C7" s="584" t="s">
        <v>580</v>
      </c>
      <c r="D7" s="585">
        <f>23.98+18.88</f>
        <v>42.86</v>
      </c>
      <c r="E7" s="1116" t="s">
        <v>581</v>
      </c>
      <c r="F7" s="581"/>
    </row>
    <row r="8" spans="1:6" ht="15.75" hidden="1" x14ac:dyDescent="0.2">
      <c r="A8" s="1106"/>
      <c r="C8" s="586" t="s">
        <v>582</v>
      </c>
      <c r="D8" s="587">
        <v>12.64</v>
      </c>
      <c r="E8" s="1117"/>
      <c r="F8" s="1105"/>
    </row>
    <row r="9" spans="1:6" ht="16.5" hidden="1" thickBot="1" x14ac:dyDescent="0.25">
      <c r="A9" s="1106"/>
      <c r="C9" s="586" t="s">
        <v>583</v>
      </c>
      <c r="D9" s="587">
        <v>24.5</v>
      </c>
      <c r="E9" s="1118"/>
      <c r="F9" s="1105"/>
    </row>
    <row r="10" spans="1:6" ht="15.75" hidden="1" x14ac:dyDescent="0.25">
      <c r="A10" s="1106"/>
      <c r="C10" s="588" t="s">
        <v>313</v>
      </c>
      <c r="D10" s="589">
        <f>SUM(D7:D9)</f>
        <v>80</v>
      </c>
      <c r="E10" s="590"/>
      <c r="F10" s="581"/>
    </row>
    <row r="11" spans="1:6" ht="15.75" hidden="1" x14ac:dyDescent="0.2">
      <c r="A11" s="1106" t="s">
        <v>584</v>
      </c>
      <c r="C11" s="586" t="s">
        <v>585</v>
      </c>
      <c r="D11" s="591">
        <v>26.38</v>
      </c>
      <c r="E11" s="1107" t="s">
        <v>586</v>
      </c>
      <c r="F11" s="1105"/>
    </row>
    <row r="12" spans="1:6" ht="15.75" hidden="1" x14ac:dyDescent="0.2">
      <c r="A12" s="1106"/>
      <c r="C12" s="584" t="s">
        <v>587</v>
      </c>
      <c r="D12" s="592">
        <v>14.19</v>
      </c>
      <c r="E12" s="1108"/>
      <c r="F12" s="1105"/>
    </row>
    <row r="13" spans="1:6" ht="16.5" hidden="1" thickBot="1" x14ac:dyDescent="0.3">
      <c r="A13" s="1106"/>
      <c r="C13" s="584" t="s">
        <v>588</v>
      </c>
      <c r="D13" s="592">
        <v>34.880000000000003</v>
      </c>
      <c r="E13" s="1109"/>
      <c r="F13" s="581"/>
    </row>
    <row r="14" spans="1:6" ht="15.75" hidden="1" x14ac:dyDescent="0.25">
      <c r="A14" s="1106"/>
      <c r="C14" s="588" t="s">
        <v>313</v>
      </c>
      <c r="D14" s="589">
        <f>SUM(D11:D13)</f>
        <v>75.45</v>
      </c>
      <c r="E14" s="590"/>
      <c r="F14" s="581"/>
    </row>
    <row r="15" spans="1:6" ht="15.75" hidden="1" x14ac:dyDescent="0.25">
      <c r="A15" s="1110" t="s">
        <v>589</v>
      </c>
      <c r="C15" s="586" t="s">
        <v>590</v>
      </c>
      <c r="D15" s="593">
        <v>39.85</v>
      </c>
      <c r="E15" s="1113" t="s">
        <v>581</v>
      </c>
      <c r="F15" s="581"/>
    </row>
    <row r="16" spans="1:6" ht="15.75" hidden="1" x14ac:dyDescent="0.25">
      <c r="A16" s="1111"/>
      <c r="C16" s="586" t="s">
        <v>591</v>
      </c>
      <c r="D16" s="593">
        <v>27.55</v>
      </c>
      <c r="E16" s="1114"/>
      <c r="F16" s="581"/>
    </row>
    <row r="17" spans="1:15" ht="15.75" hidden="1" x14ac:dyDescent="0.25">
      <c r="A17" s="1111"/>
      <c r="C17" s="586" t="s">
        <v>592</v>
      </c>
      <c r="D17" s="593">
        <v>35.729999999999997</v>
      </c>
      <c r="E17" s="1114"/>
      <c r="F17" s="581"/>
    </row>
    <row r="18" spans="1:15" ht="16.5" hidden="1" thickBot="1" x14ac:dyDescent="0.3">
      <c r="A18" s="1111"/>
      <c r="C18" s="586" t="s">
        <v>593</v>
      </c>
      <c r="D18" s="593">
        <v>8.76</v>
      </c>
      <c r="E18" s="1115"/>
      <c r="F18" s="581"/>
    </row>
    <row r="19" spans="1:15" ht="15.75" hidden="1" x14ac:dyDescent="0.25">
      <c r="A19" s="1112"/>
      <c r="C19" s="588" t="s">
        <v>313</v>
      </c>
      <c r="D19" s="589">
        <f>SUM(D15:D18)</f>
        <v>111.89</v>
      </c>
      <c r="E19" s="594"/>
      <c r="F19" s="581"/>
    </row>
    <row r="20" spans="1:15" ht="15.75" hidden="1" x14ac:dyDescent="0.25">
      <c r="A20" s="1110" t="s">
        <v>594</v>
      </c>
      <c r="C20" s="595" t="s">
        <v>595</v>
      </c>
      <c r="D20" s="593">
        <v>26.48</v>
      </c>
      <c r="E20" s="1113" t="s">
        <v>581</v>
      </c>
      <c r="F20" s="581"/>
    </row>
    <row r="21" spans="1:15" ht="15.75" hidden="1" x14ac:dyDescent="0.25">
      <c r="A21" s="1111"/>
      <c r="C21" s="595" t="s">
        <v>596</v>
      </c>
      <c r="D21" s="596">
        <v>70</v>
      </c>
      <c r="E21" s="1114"/>
      <c r="F21" s="597"/>
    </row>
    <row r="22" spans="1:15" ht="15.75" hidden="1" x14ac:dyDescent="0.25">
      <c r="A22" s="1111"/>
      <c r="C22" s="595" t="s">
        <v>597</v>
      </c>
      <c r="D22" s="596">
        <v>24.07</v>
      </c>
      <c r="E22" s="1114"/>
      <c r="F22" s="1105"/>
    </row>
    <row r="23" spans="1:15" ht="15.75" hidden="1" x14ac:dyDescent="0.25">
      <c r="A23" s="1111"/>
      <c r="C23" s="595" t="s">
        <v>598</v>
      </c>
      <c r="D23" s="596">
        <v>4.59</v>
      </c>
      <c r="E23" s="1114"/>
      <c r="F23" s="1105"/>
    </row>
    <row r="24" spans="1:15" ht="15.75" hidden="1" x14ac:dyDescent="0.25">
      <c r="A24" s="1111"/>
      <c r="C24" s="598" t="s">
        <v>599</v>
      </c>
      <c r="D24" s="596">
        <v>54.5</v>
      </c>
      <c r="E24" s="1114"/>
      <c r="F24" s="599"/>
    </row>
    <row r="25" spans="1:15" ht="16.5" hidden="1" thickBot="1" x14ac:dyDescent="0.3">
      <c r="A25" s="1111"/>
      <c r="C25" s="598" t="s">
        <v>600</v>
      </c>
      <c r="D25" s="596">
        <v>35.5</v>
      </c>
      <c r="E25" s="1119"/>
      <c r="F25" s="599"/>
    </row>
    <row r="26" spans="1:15" ht="15.75" hidden="1" x14ac:dyDescent="0.25">
      <c r="A26" s="600"/>
      <c r="C26" s="601" t="s">
        <v>313</v>
      </c>
      <c r="D26" s="589">
        <f>SUM(D20:D25)</f>
        <v>215.14000000000001</v>
      </c>
      <c r="E26" s="590"/>
      <c r="F26" s="581"/>
    </row>
    <row r="27" spans="1:15" ht="15.75" hidden="1" x14ac:dyDescent="0.25">
      <c r="B27" s="1120" t="s">
        <v>601</v>
      </c>
      <c r="C27" s="1121"/>
      <c r="D27" s="602">
        <f>D10+D14+D19+D26</f>
        <v>482.48</v>
      </c>
      <c r="E27" s="603"/>
      <c r="F27" s="581"/>
    </row>
    <row r="28" spans="1:15" s="580" customFormat="1" ht="23.25" customHeight="1" thickBot="1" x14ac:dyDescent="0.3">
      <c r="A28" s="1122" t="s">
        <v>602</v>
      </c>
      <c r="B28" s="1122"/>
      <c r="C28" s="1122"/>
      <c r="D28" s="1122"/>
      <c r="E28" s="1122"/>
      <c r="G28" s="578"/>
      <c r="I28" s="1104" t="s">
        <v>603</v>
      </c>
      <c r="J28" s="1104"/>
      <c r="K28" s="1104"/>
      <c r="L28" s="1104"/>
      <c r="M28" s="1104"/>
      <c r="N28" s="1104"/>
      <c r="O28" s="1104"/>
    </row>
    <row r="29" spans="1:15" s="580" customFormat="1" ht="23.25" customHeight="1" thickBot="1" x14ac:dyDescent="0.3">
      <c r="A29" s="1122" t="s">
        <v>604</v>
      </c>
      <c r="B29" s="1122"/>
      <c r="C29" s="1122"/>
      <c r="D29" s="1122"/>
      <c r="E29" s="1122"/>
      <c r="G29" s="578"/>
      <c r="I29" s="1104" t="s">
        <v>605</v>
      </c>
      <c r="J29" s="1104"/>
      <c r="K29" s="1104"/>
      <c r="L29" s="1104"/>
      <c r="M29" s="1104"/>
      <c r="N29" s="1104"/>
      <c r="O29" s="1104"/>
    </row>
    <row r="30" spans="1:15" s="580" customFormat="1" ht="31.5" customHeight="1" thickBot="1" x14ac:dyDescent="0.3">
      <c r="A30" s="604" t="s">
        <v>295</v>
      </c>
      <c r="B30" s="605" t="s">
        <v>296</v>
      </c>
      <c r="C30" s="606" t="s">
        <v>297</v>
      </c>
      <c r="D30" s="607" t="s">
        <v>606</v>
      </c>
      <c r="E30" s="608" t="s">
        <v>607</v>
      </c>
      <c r="G30" s="578"/>
      <c r="I30" s="578"/>
      <c r="J30" s="578"/>
      <c r="K30" s="578"/>
      <c r="L30" s="578"/>
      <c r="M30" s="578"/>
      <c r="N30" s="578"/>
      <c r="O30" s="578"/>
    </row>
    <row r="31" spans="1:15" s="580" customFormat="1" ht="16.5" thickBot="1" x14ac:dyDescent="0.3">
      <c r="A31" s="1123" t="s">
        <v>608</v>
      </c>
      <c r="B31" s="609"/>
      <c r="C31" s="610" t="s">
        <v>609</v>
      </c>
      <c r="D31" s="611">
        <v>25.071999999999999</v>
      </c>
      <c r="E31" s="1126" t="s">
        <v>581</v>
      </c>
      <c r="F31" s="1129" t="s">
        <v>610</v>
      </c>
      <c r="G31" s="578"/>
      <c r="I31" s="612" t="s">
        <v>611</v>
      </c>
      <c r="J31" s="613">
        <v>2017</v>
      </c>
      <c r="K31" s="613">
        <v>2018</v>
      </c>
      <c r="L31" s="613">
        <v>2019</v>
      </c>
      <c r="M31" s="614">
        <v>2020</v>
      </c>
      <c r="N31" s="614">
        <v>2021</v>
      </c>
      <c r="O31" s="1131" t="s">
        <v>612</v>
      </c>
    </row>
    <row r="32" spans="1:15" ht="33.75" customHeight="1" x14ac:dyDescent="0.25">
      <c r="A32" s="1124"/>
      <c r="B32" s="615"/>
      <c r="C32" s="616" t="s">
        <v>613</v>
      </c>
      <c r="D32" s="617">
        <f>14.422+0.8</f>
        <v>15.222000000000001</v>
      </c>
      <c r="E32" s="1127"/>
      <c r="F32" s="1130"/>
      <c r="I32" s="618" t="s">
        <v>614</v>
      </c>
      <c r="J32" s="619">
        <f>'CRONOG FISICO-FINANCIERO'!B7</f>
        <v>131.14418000000001</v>
      </c>
      <c r="K32" s="619">
        <f>'CRONOG FISICO-FINANCIERO'!C7</f>
        <v>427.81618000000003</v>
      </c>
      <c r="L32" s="619">
        <f>'CRONOG FISICO-FINANCIERO'!D7</f>
        <v>684.56817999999998</v>
      </c>
      <c r="M32" s="619">
        <f>'CRONOG FISICO-FINANCIERO'!E7</f>
        <v>713.86817999999994</v>
      </c>
      <c r="N32" s="619">
        <f>'CRONOG FISICO-FINANCIERO'!F7</f>
        <v>713.86817999999994</v>
      </c>
      <c r="O32" s="1132"/>
    </row>
    <row r="33" spans="1:15" ht="15.75" customHeight="1" thickBot="1" x14ac:dyDescent="0.3">
      <c r="A33" s="1124"/>
      <c r="B33" s="615"/>
      <c r="C33" s="622" t="s">
        <v>615</v>
      </c>
      <c r="D33" s="623">
        <v>35.700000000000003</v>
      </c>
      <c r="E33" s="1127"/>
      <c r="F33" s="1130"/>
      <c r="I33" s="624" t="s">
        <v>616</v>
      </c>
      <c r="J33" s="625">
        <f>J32*I39</f>
        <v>196716.27000000002</v>
      </c>
      <c r="K33" s="625">
        <f>K32*I39</f>
        <v>641724.27</v>
      </c>
      <c r="L33" s="625">
        <f>L32*I39</f>
        <v>1026852.27</v>
      </c>
      <c r="M33" s="625">
        <f>M32*I39</f>
        <v>1070802.27</v>
      </c>
      <c r="N33" s="625">
        <f>N32*I39-6897</f>
        <v>1063905.27</v>
      </c>
      <c r="O33" s="626">
        <f>SUM(J33:N33)</f>
        <v>4000000.35</v>
      </c>
    </row>
    <row r="34" spans="1:15" ht="15.75" customHeight="1" thickBot="1" x14ac:dyDescent="0.3">
      <c r="A34" s="1124"/>
      <c r="B34" s="615"/>
      <c r="C34" s="622" t="s">
        <v>617</v>
      </c>
      <c r="D34" s="627">
        <v>26.8</v>
      </c>
      <c r="E34" s="1127"/>
      <c r="F34" s="1130"/>
      <c r="I34" s="628" t="s">
        <v>618</v>
      </c>
      <c r="J34" s="629">
        <f>J33</f>
        <v>196716.27000000002</v>
      </c>
      <c r="K34" s="629">
        <f>J34+K33</f>
        <v>838440.54</v>
      </c>
      <c r="L34" s="629">
        <f t="shared" ref="L34:N34" si="0">K34+L33</f>
        <v>1865292.81</v>
      </c>
      <c r="M34" s="629">
        <f t="shared" si="0"/>
        <v>2936095.08</v>
      </c>
      <c r="N34" s="630">
        <f t="shared" si="0"/>
        <v>4000000.35</v>
      </c>
    </row>
    <row r="35" spans="1:15" ht="19.5" customHeight="1" thickBot="1" x14ac:dyDescent="0.3">
      <c r="A35" s="1125"/>
      <c r="B35" s="631"/>
      <c r="C35" s="632" t="s">
        <v>619</v>
      </c>
      <c r="D35" s="633">
        <f>SUM(D31:D34)</f>
        <v>102.794</v>
      </c>
      <c r="E35" s="1128"/>
      <c r="F35" s="1130"/>
      <c r="G35" s="582"/>
    </row>
    <row r="36" spans="1:15" ht="15.75" customHeight="1" x14ac:dyDescent="0.2">
      <c r="A36" s="1133" t="s">
        <v>620</v>
      </c>
      <c r="B36" s="634"/>
      <c r="C36" s="635" t="s">
        <v>621</v>
      </c>
      <c r="D36" s="636">
        <v>23.81</v>
      </c>
      <c r="E36" s="1126" t="s">
        <v>586</v>
      </c>
      <c r="F36" s="1130"/>
      <c r="G36" s="582"/>
    </row>
    <row r="37" spans="1:15" ht="15.75" x14ac:dyDescent="0.2">
      <c r="A37" s="1134"/>
      <c r="B37" s="637"/>
      <c r="C37" s="584" t="s">
        <v>622</v>
      </c>
      <c r="D37" s="638">
        <v>4.5401800000000003</v>
      </c>
      <c r="E37" s="1127"/>
      <c r="F37" s="1130"/>
      <c r="G37" s="582"/>
      <c r="I37" s="639" t="s">
        <v>623</v>
      </c>
      <c r="J37" s="640"/>
      <c r="K37" s="641"/>
      <c r="L37" s="641"/>
      <c r="M37" s="641"/>
      <c r="N37" s="641"/>
    </row>
    <row r="38" spans="1:15" ht="16.5" thickBot="1" x14ac:dyDescent="0.25">
      <c r="A38" s="1135"/>
      <c r="B38" s="642"/>
      <c r="C38" s="632" t="s">
        <v>619</v>
      </c>
      <c r="D38" s="633">
        <f>SUM(D36:D37)</f>
        <v>28.350179999999998</v>
      </c>
      <c r="E38" s="1128"/>
      <c r="F38" s="643">
        <f>D35+D38</f>
        <v>131.14418000000001</v>
      </c>
      <c r="G38" s="582"/>
      <c r="I38" s="644" t="s">
        <v>624</v>
      </c>
      <c r="J38" s="640"/>
      <c r="K38" s="641"/>
      <c r="L38" s="641"/>
      <c r="M38" s="641"/>
      <c r="N38" s="645"/>
    </row>
    <row r="39" spans="1:15" s="580" customFormat="1" ht="31.5" x14ac:dyDescent="0.2">
      <c r="A39" s="1137" t="s">
        <v>314</v>
      </c>
      <c r="B39" s="646" t="s">
        <v>315</v>
      </c>
      <c r="C39" s="647" t="s">
        <v>625</v>
      </c>
      <c r="D39" s="648">
        <v>30</v>
      </c>
      <c r="E39" s="1126" t="s">
        <v>581</v>
      </c>
      <c r="F39" s="1140" t="s">
        <v>626</v>
      </c>
      <c r="G39" s="578"/>
      <c r="I39" s="649">
        <v>1500</v>
      </c>
      <c r="J39" s="578"/>
      <c r="K39" s="578"/>
      <c r="L39" s="578"/>
      <c r="M39" s="578"/>
      <c r="N39" s="578"/>
      <c r="O39" s="578"/>
    </row>
    <row r="40" spans="1:15" s="580" customFormat="1" ht="26.25" customHeight="1" x14ac:dyDescent="0.2">
      <c r="A40" s="1138"/>
      <c r="B40" s="650"/>
      <c r="C40" s="651" t="s">
        <v>627</v>
      </c>
      <c r="D40" s="638">
        <v>24.5</v>
      </c>
      <c r="E40" s="1127"/>
      <c r="F40" s="1141"/>
      <c r="G40" s="578"/>
    </row>
    <row r="41" spans="1:15" s="580" customFormat="1" ht="26.25" customHeight="1" x14ac:dyDescent="0.2">
      <c r="A41" s="1138"/>
      <c r="B41" s="650"/>
      <c r="C41" s="651" t="s">
        <v>628</v>
      </c>
      <c r="D41" s="638">
        <v>24.259999999999998</v>
      </c>
      <c r="E41" s="1127"/>
      <c r="F41" s="1141"/>
      <c r="G41" s="578"/>
    </row>
    <row r="42" spans="1:15" s="580" customFormat="1" ht="15.75" customHeight="1" thickBot="1" x14ac:dyDescent="0.25">
      <c r="A42" s="1139"/>
      <c r="B42" s="632"/>
      <c r="C42" s="632" t="s">
        <v>619</v>
      </c>
      <c r="D42" s="633">
        <f>SUM(D39:D41)</f>
        <v>78.759999999999991</v>
      </c>
      <c r="E42" s="1128"/>
      <c r="F42" s="1141"/>
      <c r="G42" s="578"/>
    </row>
    <row r="43" spans="1:15" s="580" customFormat="1" ht="15.75" customHeight="1" x14ac:dyDescent="0.2">
      <c r="A43" s="1143" t="s">
        <v>318</v>
      </c>
      <c r="B43" s="652" t="s">
        <v>629</v>
      </c>
      <c r="C43" s="653" t="s">
        <v>630</v>
      </c>
      <c r="D43" s="648">
        <v>10</v>
      </c>
      <c r="E43" s="1146" t="s">
        <v>586</v>
      </c>
      <c r="F43" s="1141"/>
      <c r="G43" s="578"/>
    </row>
    <row r="44" spans="1:15" s="580" customFormat="1" ht="15.75" customHeight="1" x14ac:dyDescent="0.2">
      <c r="A44" s="1144"/>
      <c r="B44" s="650"/>
      <c r="C44" s="654"/>
      <c r="D44" s="655"/>
      <c r="E44" s="1127"/>
      <c r="F44" s="1141"/>
      <c r="G44" s="578"/>
    </row>
    <row r="45" spans="1:15" s="580" customFormat="1" ht="15.75" customHeight="1" thickBot="1" x14ac:dyDescent="0.25">
      <c r="A45" s="1145"/>
      <c r="B45" s="632"/>
      <c r="C45" s="632" t="s">
        <v>619</v>
      </c>
      <c r="D45" s="633">
        <f>SUM(D43:D44)</f>
        <v>10</v>
      </c>
      <c r="E45" s="1147"/>
      <c r="F45" s="1142"/>
      <c r="G45" s="578"/>
    </row>
    <row r="46" spans="1:15" ht="15.75" customHeight="1" x14ac:dyDescent="0.25">
      <c r="A46" s="1148" t="s">
        <v>631</v>
      </c>
      <c r="B46" s="609"/>
      <c r="C46" s="656" t="s">
        <v>632</v>
      </c>
      <c r="D46" s="657">
        <v>29.17</v>
      </c>
      <c r="E46" s="1151" t="s">
        <v>581</v>
      </c>
      <c r="F46" s="1142"/>
      <c r="G46" s="582"/>
    </row>
    <row r="47" spans="1:15" ht="15.75" customHeight="1" x14ac:dyDescent="0.25">
      <c r="A47" s="1149"/>
      <c r="B47" s="615"/>
      <c r="C47" s="658" t="s">
        <v>633</v>
      </c>
      <c r="D47" s="659">
        <v>29.69</v>
      </c>
      <c r="E47" s="1152"/>
      <c r="F47" s="1142"/>
      <c r="G47" s="582"/>
    </row>
    <row r="48" spans="1:15" ht="15.75" customHeight="1" x14ac:dyDescent="0.25">
      <c r="A48" s="1149"/>
      <c r="B48" s="615"/>
      <c r="C48" s="658" t="s">
        <v>634</v>
      </c>
      <c r="D48" s="660">
        <v>39.4</v>
      </c>
      <c r="E48" s="1152"/>
      <c r="F48" s="1142"/>
      <c r="G48" s="582"/>
    </row>
    <row r="49" spans="1:7" ht="15.75" customHeight="1" thickBot="1" x14ac:dyDescent="0.25">
      <c r="A49" s="1150"/>
      <c r="B49" s="661"/>
      <c r="C49" s="632" t="s">
        <v>619</v>
      </c>
      <c r="D49" s="633">
        <f>SUM(D46:D48)</f>
        <v>98.259999999999991</v>
      </c>
      <c r="E49" s="1147"/>
      <c r="F49" s="1142"/>
      <c r="G49" s="582"/>
    </row>
    <row r="50" spans="1:7" ht="15.75" x14ac:dyDescent="0.2">
      <c r="A50" s="1148" t="s">
        <v>367</v>
      </c>
      <c r="B50" s="634"/>
      <c r="C50" s="662" t="s">
        <v>635</v>
      </c>
      <c r="D50" s="636">
        <v>17.541999999999998</v>
      </c>
      <c r="E50" s="1126" t="s">
        <v>586</v>
      </c>
      <c r="F50" s="1142"/>
      <c r="G50" s="582"/>
    </row>
    <row r="51" spans="1:7" ht="16.5" thickBot="1" x14ac:dyDescent="0.25">
      <c r="A51" s="1153"/>
      <c r="B51" s="642"/>
      <c r="C51" s="632" t="s">
        <v>619</v>
      </c>
      <c r="D51" s="633">
        <f>SUM(D50)</f>
        <v>17.541999999999998</v>
      </c>
      <c r="E51" s="1147"/>
      <c r="F51" s="663">
        <f>D42+D45+D49+D51</f>
        <v>204.56199999999998</v>
      </c>
      <c r="G51" s="582"/>
    </row>
    <row r="52" spans="1:7" s="580" customFormat="1" ht="15.75" customHeight="1" x14ac:dyDescent="0.2">
      <c r="A52" s="1154" t="s">
        <v>636</v>
      </c>
      <c r="B52" s="652" t="s">
        <v>306</v>
      </c>
      <c r="C52" s="664" t="s">
        <v>637</v>
      </c>
      <c r="D52" s="665">
        <v>18</v>
      </c>
      <c r="E52" s="1157" t="s">
        <v>586</v>
      </c>
      <c r="F52" s="1159" t="s">
        <v>638</v>
      </c>
      <c r="G52" s="578"/>
    </row>
    <row r="53" spans="1:7" s="580" customFormat="1" ht="15.75" customHeight="1" x14ac:dyDescent="0.2">
      <c r="A53" s="1155"/>
      <c r="B53" s="666" t="s">
        <v>310</v>
      </c>
      <c r="C53" s="654" t="s">
        <v>311</v>
      </c>
      <c r="D53" s="655">
        <v>30.42</v>
      </c>
      <c r="E53" s="1158"/>
      <c r="F53" s="1160"/>
      <c r="G53" s="578"/>
    </row>
    <row r="54" spans="1:7" s="580" customFormat="1" ht="31.5" x14ac:dyDescent="0.2">
      <c r="A54" s="1155"/>
      <c r="B54" s="666"/>
      <c r="C54" s="667" t="s">
        <v>639</v>
      </c>
      <c r="D54" s="668">
        <v>28.652000000000001</v>
      </c>
      <c r="E54" s="1127"/>
      <c r="F54" s="1160"/>
      <c r="G54" s="578"/>
    </row>
    <row r="55" spans="1:7" s="580" customFormat="1" ht="15.75" customHeight="1" x14ac:dyDescent="0.2">
      <c r="A55" s="1155"/>
      <c r="B55" s="666"/>
      <c r="C55" s="669" t="s">
        <v>640</v>
      </c>
      <c r="D55" s="668">
        <v>21.5</v>
      </c>
      <c r="E55" s="1127"/>
      <c r="F55" s="1160"/>
      <c r="G55" s="578"/>
    </row>
    <row r="56" spans="1:7" s="580" customFormat="1" ht="15.75" customHeight="1" thickBot="1" x14ac:dyDescent="0.25">
      <c r="A56" s="1156"/>
      <c r="B56" s="632"/>
      <c r="C56" s="632" t="s">
        <v>619</v>
      </c>
      <c r="D56" s="633">
        <f>SUM(D52:D55)</f>
        <v>98.572000000000003</v>
      </c>
      <c r="E56" s="1128"/>
      <c r="F56" s="1161"/>
      <c r="G56" s="578"/>
    </row>
    <row r="57" spans="1:7" s="580" customFormat="1" ht="15.75" customHeight="1" x14ac:dyDescent="0.2">
      <c r="A57" s="1162" t="s">
        <v>641</v>
      </c>
      <c r="B57" s="652" t="s">
        <v>325</v>
      </c>
      <c r="C57" s="670" t="s">
        <v>642</v>
      </c>
      <c r="D57" s="648">
        <v>20.62</v>
      </c>
      <c r="E57" s="1126" t="s">
        <v>586</v>
      </c>
      <c r="F57" s="1161"/>
      <c r="G57" s="578"/>
    </row>
    <row r="58" spans="1:7" s="580" customFormat="1" ht="34.5" customHeight="1" x14ac:dyDescent="0.2">
      <c r="A58" s="1163"/>
      <c r="B58" s="666" t="s">
        <v>328</v>
      </c>
      <c r="C58" s="595" t="s">
        <v>643</v>
      </c>
      <c r="D58" s="671">
        <v>50</v>
      </c>
      <c r="E58" s="1127"/>
      <c r="F58" s="1161"/>
      <c r="G58" s="578"/>
    </row>
    <row r="59" spans="1:7" s="580" customFormat="1" ht="16.5" thickBot="1" x14ac:dyDescent="0.25">
      <c r="A59" s="1164"/>
      <c r="B59" s="632"/>
      <c r="C59" s="632" t="s">
        <v>619</v>
      </c>
      <c r="D59" s="633">
        <f>SUM(D57:D58)</f>
        <v>70.62</v>
      </c>
      <c r="E59" s="1128"/>
      <c r="F59" s="672">
        <f>D56+D59</f>
        <v>169.19200000000001</v>
      </c>
      <c r="G59" s="578"/>
    </row>
    <row r="60" spans="1:7" x14ac:dyDescent="0.2">
      <c r="D60" s="645"/>
      <c r="F60" s="673"/>
      <c r="G60" s="582"/>
    </row>
    <row r="61" spans="1:7" ht="18.75" x14ac:dyDescent="0.3">
      <c r="C61" s="674" t="s">
        <v>644</v>
      </c>
      <c r="D61" s="675">
        <f>+D56+D42+D45+D59+D35+D38+D49+D51</f>
        <v>504.89817999999997</v>
      </c>
      <c r="F61" s="673"/>
      <c r="G61" s="582"/>
    </row>
    <row r="62" spans="1:7" x14ac:dyDescent="0.2">
      <c r="F62" s="673"/>
      <c r="G62" s="582"/>
    </row>
    <row r="63" spans="1:7" x14ac:dyDescent="0.2">
      <c r="C63" s="580"/>
      <c r="D63" s="580"/>
      <c r="E63" s="676"/>
      <c r="F63" s="677"/>
      <c r="G63" s="582"/>
    </row>
    <row r="64" spans="1:7" ht="18.75" x14ac:dyDescent="0.3">
      <c r="C64" s="678" t="s">
        <v>645</v>
      </c>
      <c r="D64" s="679">
        <f>+D42+D35+D49</f>
        <v>279.81399999999996</v>
      </c>
      <c r="E64" s="680">
        <f>D64/D66</f>
        <v>0.55419886837381749</v>
      </c>
      <c r="F64" s="677"/>
      <c r="G64" s="582"/>
    </row>
    <row r="65" spans="1:7" ht="18.75" x14ac:dyDescent="0.3">
      <c r="C65" s="678" t="s">
        <v>646</v>
      </c>
      <c r="D65" s="679">
        <f>+D56+D45+D59+D38+D51</f>
        <v>225.08418</v>
      </c>
      <c r="E65" s="680">
        <f>D65/D66</f>
        <v>0.44580113162618257</v>
      </c>
      <c r="F65" s="677"/>
      <c r="G65" s="582"/>
    </row>
    <row r="66" spans="1:7" ht="18.75" x14ac:dyDescent="0.3">
      <c r="C66" s="681" t="s">
        <v>647</v>
      </c>
      <c r="D66" s="682">
        <f>SUM(D64:D65)</f>
        <v>504.89817999999997</v>
      </c>
      <c r="E66" s="683">
        <f>E64+E65</f>
        <v>1</v>
      </c>
      <c r="F66" s="677"/>
      <c r="G66" s="582"/>
    </row>
    <row r="67" spans="1:7" x14ac:dyDescent="0.2">
      <c r="C67" s="580"/>
      <c r="D67" s="580"/>
      <c r="E67" s="684"/>
      <c r="F67" s="677"/>
      <c r="G67" s="582"/>
    </row>
    <row r="68" spans="1:7" x14ac:dyDescent="0.2">
      <c r="C68" s="580"/>
      <c r="D68" s="580"/>
      <c r="E68" s="685"/>
      <c r="F68" s="677"/>
      <c r="G68" s="582"/>
    </row>
    <row r="69" spans="1:7" ht="16.5" thickBot="1" x14ac:dyDescent="0.3">
      <c r="A69" s="686" t="s">
        <v>648</v>
      </c>
      <c r="B69" s="687"/>
      <c r="C69" s="615"/>
      <c r="D69" s="615"/>
      <c r="E69" s="688"/>
      <c r="F69" s="677"/>
      <c r="G69" s="582"/>
    </row>
    <row r="70" spans="1:7" ht="32.25" thickBot="1" x14ac:dyDescent="0.3">
      <c r="A70" s="604" t="s">
        <v>295</v>
      </c>
      <c r="B70" s="605" t="s">
        <v>296</v>
      </c>
      <c r="C70" s="606" t="s">
        <v>297</v>
      </c>
      <c r="D70" s="607" t="s">
        <v>606</v>
      </c>
      <c r="E70" s="608" t="s">
        <v>607</v>
      </c>
      <c r="F70" s="677"/>
      <c r="G70" s="582"/>
    </row>
    <row r="71" spans="1:7" ht="24.95" customHeight="1" thickBot="1" x14ac:dyDescent="0.3">
      <c r="A71" s="1136" t="s">
        <v>626</v>
      </c>
      <c r="B71" s="1136"/>
      <c r="C71" s="1136"/>
      <c r="D71" s="1136"/>
      <c r="E71" s="1136"/>
      <c r="F71" s="677"/>
      <c r="G71" s="582"/>
    </row>
    <row r="72" spans="1:7" ht="15.75" x14ac:dyDescent="0.25">
      <c r="A72" s="1166" t="s">
        <v>354</v>
      </c>
      <c r="B72" s="689"/>
      <c r="C72" s="689" t="s">
        <v>649</v>
      </c>
      <c r="D72" s="690">
        <v>42.5</v>
      </c>
      <c r="E72" s="1169" t="s">
        <v>586</v>
      </c>
      <c r="F72" s="677"/>
      <c r="G72" s="582"/>
    </row>
    <row r="73" spans="1:7" ht="15.75" x14ac:dyDescent="0.25">
      <c r="A73" s="1168"/>
      <c r="B73" s="691"/>
      <c r="C73" s="692" t="s">
        <v>650</v>
      </c>
      <c r="D73" s="693">
        <f>SUM(D72)</f>
        <v>42.5</v>
      </c>
      <c r="E73" s="1170"/>
      <c r="F73" s="677"/>
      <c r="G73" s="582"/>
    </row>
    <row r="74" spans="1:7" ht="15.75" x14ac:dyDescent="0.25">
      <c r="A74" s="1171" t="s">
        <v>631</v>
      </c>
      <c r="B74" s="691"/>
      <c r="C74" s="694" t="s">
        <v>651</v>
      </c>
      <c r="D74" s="694">
        <v>22.3</v>
      </c>
      <c r="E74" s="1174" t="s">
        <v>581</v>
      </c>
      <c r="F74" s="677"/>
      <c r="G74" s="582"/>
    </row>
    <row r="75" spans="1:7" ht="15.75" x14ac:dyDescent="0.25">
      <c r="A75" s="1172"/>
      <c r="B75" s="695"/>
      <c r="C75" s="694" t="s">
        <v>652</v>
      </c>
      <c r="D75" s="694">
        <v>27.31</v>
      </c>
      <c r="E75" s="1175"/>
      <c r="F75" s="677"/>
      <c r="G75" s="582"/>
    </row>
    <row r="76" spans="1:7" ht="16.5" thickBot="1" x14ac:dyDescent="0.3">
      <c r="A76" s="1173"/>
      <c r="B76" s="696">
        <v>22.3</v>
      </c>
      <c r="C76" s="632" t="s">
        <v>653</v>
      </c>
      <c r="D76" s="697">
        <f>SUM(D74:D75)</f>
        <v>49.61</v>
      </c>
      <c r="E76" s="698"/>
      <c r="F76" s="677"/>
      <c r="G76" s="582"/>
    </row>
    <row r="77" spans="1:7" ht="15.75" x14ac:dyDescent="0.25">
      <c r="A77" s="699"/>
      <c r="B77" s="700"/>
      <c r="C77" s="701" t="s">
        <v>619</v>
      </c>
      <c r="D77" s="702">
        <f>+D73+D76</f>
        <v>92.11</v>
      </c>
      <c r="E77" s="703"/>
      <c r="F77" s="677"/>
      <c r="G77" s="582"/>
    </row>
    <row r="78" spans="1:7" ht="24.95" customHeight="1" thickBot="1" x14ac:dyDescent="0.3">
      <c r="A78" s="1176" t="s">
        <v>638</v>
      </c>
      <c r="B78" s="1176"/>
      <c r="C78" s="1176"/>
      <c r="D78" s="1176"/>
      <c r="E78" s="1176"/>
      <c r="F78" s="677"/>
      <c r="G78" s="582"/>
    </row>
    <row r="79" spans="1:7" ht="15.75" x14ac:dyDescent="0.25">
      <c r="A79" s="1177" t="s">
        <v>654</v>
      </c>
      <c r="B79" s="689"/>
      <c r="C79" s="704" t="s">
        <v>655</v>
      </c>
      <c r="D79" s="705">
        <v>9.6999999999999993</v>
      </c>
      <c r="E79" s="1157" t="s">
        <v>586</v>
      </c>
      <c r="F79" s="677"/>
      <c r="G79" s="582"/>
    </row>
    <row r="80" spans="1:7" ht="15.75" x14ac:dyDescent="0.25">
      <c r="A80" s="1178"/>
      <c r="B80" s="706"/>
      <c r="C80" s="707" t="s">
        <v>656</v>
      </c>
      <c r="D80" s="708">
        <v>12.85</v>
      </c>
      <c r="E80" s="1158"/>
      <c r="F80" s="677"/>
      <c r="G80" s="582"/>
    </row>
    <row r="81" spans="1:7" ht="15.75" x14ac:dyDescent="0.2">
      <c r="A81" s="1168"/>
      <c r="B81" s="709"/>
      <c r="C81" s="584" t="s">
        <v>657</v>
      </c>
      <c r="D81" s="710">
        <v>19</v>
      </c>
      <c r="E81" s="1179"/>
      <c r="F81" s="677"/>
      <c r="G81" s="582"/>
    </row>
    <row r="82" spans="1:7" ht="15.75" x14ac:dyDescent="0.2">
      <c r="A82" s="1168"/>
      <c r="B82" s="711">
        <v>19</v>
      </c>
      <c r="C82" s="584" t="s">
        <v>658</v>
      </c>
      <c r="D82" s="710">
        <v>16.510000000000002</v>
      </c>
      <c r="E82" s="1179"/>
      <c r="F82" s="677"/>
      <c r="G82" s="582"/>
    </row>
    <row r="83" spans="1:7" ht="15.75" x14ac:dyDescent="0.2">
      <c r="A83" s="1168"/>
      <c r="B83" s="711"/>
      <c r="C83" s="584" t="s">
        <v>659</v>
      </c>
      <c r="D83" s="710">
        <v>12.4</v>
      </c>
      <c r="E83" s="1179"/>
      <c r="F83" s="677"/>
      <c r="G83" s="582"/>
    </row>
    <row r="84" spans="1:7" ht="15.75" x14ac:dyDescent="0.2">
      <c r="A84" s="1168"/>
      <c r="B84" s="709"/>
      <c r="C84" s="712" t="s">
        <v>660</v>
      </c>
      <c r="D84" s="713">
        <v>17.100000000000001</v>
      </c>
      <c r="E84" s="1175"/>
      <c r="F84" s="677"/>
      <c r="G84" s="582"/>
    </row>
    <row r="85" spans="1:7" ht="16.5" thickBot="1" x14ac:dyDescent="0.3">
      <c r="A85" s="1167"/>
      <c r="B85" s="714">
        <v>17.100000000000001</v>
      </c>
      <c r="C85" s="632" t="s">
        <v>619</v>
      </c>
      <c r="D85" s="697">
        <f>SUM(D79:D84)</f>
        <v>87.56</v>
      </c>
      <c r="E85" s="698"/>
      <c r="F85" s="677"/>
      <c r="G85" s="582"/>
    </row>
    <row r="86" spans="1:7" ht="24.95" customHeight="1" thickBot="1" x14ac:dyDescent="0.3">
      <c r="A86" s="1165" t="s">
        <v>661</v>
      </c>
      <c r="B86" s="1165"/>
      <c r="C86" s="1165"/>
      <c r="D86" s="1165"/>
      <c r="E86" s="1165"/>
    </row>
    <row r="87" spans="1:7" ht="15.75" x14ac:dyDescent="0.25">
      <c r="A87" s="1166" t="s">
        <v>620</v>
      </c>
      <c r="B87" s="689"/>
      <c r="C87" s="715" t="s">
        <v>662</v>
      </c>
      <c r="D87" s="715">
        <v>29.3</v>
      </c>
      <c r="E87" s="716" t="s">
        <v>586</v>
      </c>
    </row>
    <row r="88" spans="1:7" ht="16.5" thickBot="1" x14ac:dyDescent="0.3">
      <c r="A88" s="1167"/>
      <c r="B88" s="696"/>
      <c r="C88" s="632" t="s">
        <v>619</v>
      </c>
      <c r="D88" s="697">
        <f>SUM(D87)</f>
        <v>29.3</v>
      </c>
      <c r="E88" s="698"/>
    </row>
    <row r="89" spans="1:7" x14ac:dyDescent="0.2">
      <c r="A89" s="717"/>
      <c r="B89" s="718"/>
    </row>
    <row r="90" spans="1:7" ht="18.75" x14ac:dyDescent="0.3">
      <c r="B90" s="719">
        <v>29.3</v>
      </c>
      <c r="C90" s="720" t="s">
        <v>663</v>
      </c>
      <c r="D90" s="721">
        <f>+D73+D76+D85+D88</f>
        <v>208.97000000000003</v>
      </c>
      <c r="E90" s="722"/>
    </row>
  </sheetData>
  <mergeCells count="51">
    <mergeCell ref="A86:E86"/>
    <mergeCell ref="A87:A88"/>
    <mergeCell ref="A72:A73"/>
    <mergeCell ref="E72:E73"/>
    <mergeCell ref="A74:A76"/>
    <mergeCell ref="E74:E75"/>
    <mergeCell ref="A78:E78"/>
    <mergeCell ref="A79:A85"/>
    <mergeCell ref="E79:E84"/>
    <mergeCell ref="A71:E71"/>
    <mergeCell ref="A39:A42"/>
    <mergeCell ref="E39:E42"/>
    <mergeCell ref="F39:F50"/>
    <mergeCell ref="A43:A45"/>
    <mergeCell ref="E43:E45"/>
    <mergeCell ref="A46:A49"/>
    <mergeCell ref="E46:E49"/>
    <mergeCell ref="A50:A51"/>
    <mergeCell ref="E50:E51"/>
    <mergeCell ref="A52:A56"/>
    <mergeCell ref="E52:E56"/>
    <mergeCell ref="F52:F58"/>
    <mergeCell ref="A57:A59"/>
    <mergeCell ref="E57:E59"/>
    <mergeCell ref="A29:E29"/>
    <mergeCell ref="I29:O29"/>
    <mergeCell ref="A31:A35"/>
    <mergeCell ref="E31:E35"/>
    <mergeCell ref="F31:F37"/>
    <mergeCell ref="O31:O32"/>
    <mergeCell ref="A36:A38"/>
    <mergeCell ref="E36:E38"/>
    <mergeCell ref="I28:O28"/>
    <mergeCell ref="F8:F9"/>
    <mergeCell ref="A11:A14"/>
    <mergeCell ref="E11:E13"/>
    <mergeCell ref="F11:F12"/>
    <mergeCell ref="A15:A19"/>
    <mergeCell ref="E15:E18"/>
    <mergeCell ref="A7:A10"/>
    <mergeCell ref="E7:E9"/>
    <mergeCell ref="A20:A25"/>
    <mergeCell ref="E20:E25"/>
    <mergeCell ref="F22:F23"/>
    <mergeCell ref="B27:C27"/>
    <mergeCell ref="A28:E28"/>
    <mergeCell ref="B4:E4"/>
    <mergeCell ref="A5:A6"/>
    <mergeCell ref="C5:C6"/>
    <mergeCell ref="D5:D6"/>
    <mergeCell ref="E5:E6"/>
  </mergeCells>
  <pageMargins left="0.70866141732283472" right="0.70866141732283472" top="0.35433070866141736" bottom="0.35433070866141736" header="0.31496062992125984" footer="0.31496062992125984"/>
  <pageSetup paperSize="9" scale="70"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4"/>
  <sheetViews>
    <sheetView workbookViewId="0">
      <selection activeCell="B8" sqref="B8"/>
    </sheetView>
  </sheetViews>
  <sheetFormatPr defaultColWidth="11.42578125" defaultRowHeight="12.75" x14ac:dyDescent="0.2"/>
  <cols>
    <col min="1" max="1" width="20.5703125" style="578" customWidth="1"/>
    <col min="2" max="7" width="11.42578125" style="578"/>
    <col min="8" max="8" width="12.28515625" style="578" customWidth="1"/>
    <col min="9" max="16384" width="11.42578125" style="578"/>
  </cols>
  <sheetData>
    <row r="3" spans="1:8" ht="21.95" customHeight="1" x14ac:dyDescent="0.25">
      <c r="A3" s="1104" t="s">
        <v>603</v>
      </c>
      <c r="B3" s="1104"/>
      <c r="C3" s="1104"/>
      <c r="D3" s="1104"/>
      <c r="E3" s="1104"/>
      <c r="F3" s="1104"/>
      <c r="G3" s="1104"/>
    </row>
    <row r="4" spans="1:8" ht="21.95" customHeight="1" x14ac:dyDescent="0.25">
      <c r="A4" s="1104" t="s">
        <v>605</v>
      </c>
      <c r="B4" s="1104"/>
      <c r="C4" s="1104"/>
      <c r="D4" s="1104"/>
      <c r="E4" s="1104"/>
      <c r="F4" s="1104"/>
      <c r="G4" s="1104"/>
    </row>
    <row r="5" spans="1:8" ht="13.5" thickBot="1" x14ac:dyDescent="0.25"/>
    <row r="6" spans="1:8" ht="20.100000000000001" customHeight="1" thickBot="1" x14ac:dyDescent="0.25">
      <c r="A6" s="612" t="s">
        <v>611</v>
      </c>
      <c r="B6" s="613">
        <v>2017</v>
      </c>
      <c r="C6" s="613">
        <v>2018</v>
      </c>
      <c r="D6" s="613">
        <v>2019</v>
      </c>
      <c r="E6" s="614">
        <v>2020</v>
      </c>
      <c r="F6" s="614">
        <v>2021</v>
      </c>
      <c r="G6" s="1131" t="s">
        <v>612</v>
      </c>
    </row>
    <row r="7" spans="1:8" ht="20.100000000000001" customHeight="1" x14ac:dyDescent="0.2">
      <c r="A7" s="618" t="s">
        <v>614</v>
      </c>
      <c r="B7" s="619">
        <f>'MANT. 504,90 km'!F38</f>
        <v>131.14418000000001</v>
      </c>
      <c r="C7" s="620">
        <f>'MANT. 504,90 km'!F38+'MANT. 504,90 km'!F51+'MANT. 504,90 km'!D77</f>
        <v>427.81618000000003</v>
      </c>
      <c r="D7" s="620">
        <f>'MANT. 504,90 km'!F38+'MANT. 504,90 km'!F51+'MANT. 504,90 km'!F59+'MANT. 504,90 km'!D77+'MANT. 504,90 km'!D85</f>
        <v>684.56817999999998</v>
      </c>
      <c r="E7" s="621">
        <f>'MANT. 504,90 km'!F38+'MANT. 504,90 km'!F51+'MANT. 504,90 km'!F59+'MANT. 504,90 km'!D77+'MANT. 504,90 km'!D85+'MANT. 504,90 km'!D88</f>
        <v>713.86817999999994</v>
      </c>
      <c r="F7" s="621">
        <f>E7</f>
        <v>713.86817999999994</v>
      </c>
      <c r="G7" s="1132"/>
      <c r="H7" s="723"/>
    </row>
    <row r="8" spans="1:8" ht="20.100000000000001" customHeight="1" thickBot="1" x14ac:dyDescent="0.25">
      <c r="A8" s="624" t="s">
        <v>616</v>
      </c>
      <c r="B8" s="625">
        <f>B7*A14</f>
        <v>196716.27000000002</v>
      </c>
      <c r="C8" s="625">
        <f>C7*A14</f>
        <v>641724.27</v>
      </c>
      <c r="D8" s="625">
        <f>D7*A14</f>
        <v>1026852.27</v>
      </c>
      <c r="E8" s="625">
        <f>E7*A14</f>
        <v>1070802.27</v>
      </c>
      <c r="F8" s="625">
        <f>F7*A14-6897</f>
        <v>1063905.27</v>
      </c>
      <c r="G8" s="626">
        <f>SUM(B8:F8)</f>
        <v>4000000.35</v>
      </c>
    </row>
    <row r="9" spans="1:8" ht="20.100000000000001" customHeight="1" thickBot="1" x14ac:dyDescent="0.25">
      <c r="A9" s="628" t="s">
        <v>618</v>
      </c>
      <c r="B9" s="629">
        <f>B8</f>
        <v>196716.27000000002</v>
      </c>
      <c r="C9" s="629">
        <f>B9+C8</f>
        <v>838440.54</v>
      </c>
      <c r="D9" s="629">
        <f t="shared" ref="D9:F9" si="0">C9+D8</f>
        <v>1865292.81</v>
      </c>
      <c r="E9" s="629">
        <f t="shared" si="0"/>
        <v>2936095.08</v>
      </c>
      <c r="F9" s="630">
        <f t="shared" si="0"/>
        <v>4000000.35</v>
      </c>
    </row>
    <row r="12" spans="1:8" x14ac:dyDescent="0.2">
      <c r="A12" s="639" t="s">
        <v>623</v>
      </c>
      <c r="B12" s="640"/>
      <c r="C12" s="641"/>
      <c r="D12" s="641"/>
      <c r="E12" s="641"/>
      <c r="F12" s="641"/>
    </row>
    <row r="13" spans="1:8" x14ac:dyDescent="0.2">
      <c r="A13" s="644" t="s">
        <v>624</v>
      </c>
      <c r="B13" s="640"/>
      <c r="C13" s="641"/>
      <c r="D13" s="641"/>
      <c r="E13" s="641"/>
      <c r="F13" s="645"/>
    </row>
    <row r="14" spans="1:8" x14ac:dyDescent="0.2">
      <c r="A14" s="649">
        <v>1500</v>
      </c>
    </row>
  </sheetData>
  <mergeCells count="3">
    <mergeCell ref="A3:G3"/>
    <mergeCell ref="A4:G4"/>
    <mergeCell ref="G6:G7"/>
  </mergeCells>
  <pageMargins left="0.70866141732283472" right="0.70866141732283472" top="0.74803149606299213" bottom="0.74803149606299213" header="0.31496062992125984" footer="0.31496062992125984"/>
  <pageSetup paperSize="9" scale="130" orientation="landscape"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election activeCell="B20" sqref="B20"/>
    </sheetView>
  </sheetViews>
  <sheetFormatPr defaultColWidth="11.42578125" defaultRowHeight="12.75" x14ac:dyDescent="0.2"/>
  <cols>
    <col min="1" max="1" width="73.140625" customWidth="1"/>
    <col min="2" max="2" width="14.28515625" bestFit="1" customWidth="1"/>
    <col min="4" max="4" width="19.85546875" bestFit="1" customWidth="1"/>
  </cols>
  <sheetData>
    <row r="1" spans="1:5" ht="16.5" thickTop="1" thickBot="1" x14ac:dyDescent="0.25">
      <c r="A1" s="303" t="s">
        <v>383</v>
      </c>
      <c r="B1" s="304" t="s">
        <v>384</v>
      </c>
    </row>
    <row r="2" spans="1:5" ht="15.75" thickBot="1" x14ac:dyDescent="0.25">
      <c r="A2" s="305" t="s">
        <v>385</v>
      </c>
      <c r="B2" s="306" t="s">
        <v>386</v>
      </c>
    </row>
    <row r="3" spans="1:5" ht="15.75" thickBot="1" x14ac:dyDescent="0.25">
      <c r="A3" s="305" t="s">
        <v>387</v>
      </c>
      <c r="B3" s="306" t="s">
        <v>386</v>
      </c>
    </row>
    <row r="4" spans="1:5" ht="15.75" thickBot="1" x14ac:dyDescent="0.25">
      <c r="A4" s="305" t="s">
        <v>388</v>
      </c>
      <c r="B4" s="306" t="s">
        <v>386</v>
      </c>
    </row>
    <row r="5" spans="1:5" ht="15.75" thickBot="1" x14ac:dyDescent="0.25">
      <c r="A5" s="307" t="s">
        <v>389</v>
      </c>
      <c r="B5" s="308"/>
    </row>
    <row r="6" spans="1:5" ht="15.75" thickBot="1" x14ac:dyDescent="0.25">
      <c r="A6" s="309" t="s">
        <v>390</v>
      </c>
      <c r="B6" s="306">
        <v>58900</v>
      </c>
      <c r="D6" t="s">
        <v>399</v>
      </c>
      <c r="E6" t="s">
        <v>573</v>
      </c>
    </row>
    <row r="7" spans="1:5" ht="15.75" thickBot="1" x14ac:dyDescent="0.25">
      <c r="A7" s="305" t="s">
        <v>391</v>
      </c>
      <c r="B7" s="306">
        <v>40000</v>
      </c>
      <c r="D7" t="s">
        <v>399</v>
      </c>
    </row>
    <row r="8" spans="1:5" ht="30.75" thickBot="1" x14ac:dyDescent="0.25">
      <c r="A8" s="309" t="s">
        <v>392</v>
      </c>
      <c r="B8" s="306">
        <v>81000</v>
      </c>
      <c r="D8" t="s">
        <v>400</v>
      </c>
    </row>
    <row r="9" spans="1:5" ht="15.75" thickBot="1" x14ac:dyDescent="0.25">
      <c r="A9" s="309" t="s">
        <v>393</v>
      </c>
      <c r="B9" s="306">
        <v>78300</v>
      </c>
      <c r="D9" t="s">
        <v>399</v>
      </c>
    </row>
    <row r="10" spans="1:5" ht="15.75" thickBot="1" x14ac:dyDescent="0.25">
      <c r="A10" s="307" t="s">
        <v>394</v>
      </c>
      <c r="B10" s="306">
        <v>114000</v>
      </c>
      <c r="D10" t="s">
        <v>401</v>
      </c>
    </row>
    <row r="11" spans="1:5" ht="15.75" thickBot="1" x14ac:dyDescent="0.25">
      <c r="A11" s="307" t="s">
        <v>395</v>
      </c>
      <c r="B11" s="306"/>
    </row>
    <row r="12" spans="1:5" x14ac:dyDescent="0.2">
      <c r="A12" s="1180" t="s">
        <v>396</v>
      </c>
      <c r="B12" s="1182">
        <v>98000</v>
      </c>
      <c r="D12" t="s">
        <v>202</v>
      </c>
    </row>
    <row r="13" spans="1:5" ht="13.5" thickBot="1" x14ac:dyDescent="0.25">
      <c r="A13" s="1181"/>
      <c r="B13" s="1183"/>
    </row>
    <row r="14" spans="1:5" ht="15.75" thickBot="1" x14ac:dyDescent="0.25">
      <c r="A14" s="305" t="s">
        <v>397</v>
      </c>
      <c r="B14" s="306">
        <v>29800</v>
      </c>
      <c r="D14" t="s">
        <v>400</v>
      </c>
    </row>
    <row r="15" spans="1:5" ht="15.75" thickBot="1" x14ac:dyDescent="0.25">
      <c r="A15" s="310" t="s">
        <v>398</v>
      </c>
      <c r="B15" s="311">
        <v>500000</v>
      </c>
    </row>
    <row r="16" spans="1:5" ht="13.5" thickTop="1" x14ac:dyDescent="0.2"/>
  </sheetData>
  <mergeCells count="2">
    <mergeCell ref="A12:A13"/>
    <mergeCell ref="B12: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topLeftCell="A20" zoomScale="80" zoomScaleNormal="80" workbookViewId="0">
      <selection activeCell="D60" sqref="D60"/>
    </sheetView>
  </sheetViews>
  <sheetFormatPr defaultColWidth="11.42578125" defaultRowHeight="12.75" x14ac:dyDescent="0.2"/>
  <cols>
    <col min="1" max="9" width="23.28515625" style="529" customWidth="1"/>
    <col min="10" max="16384" width="11.42578125" style="529"/>
  </cols>
  <sheetData>
    <row r="1" spans="1:8" ht="18.75" x14ac:dyDescent="0.2">
      <c r="A1" s="913" t="s">
        <v>547</v>
      </c>
      <c r="B1" s="913"/>
      <c r="C1" s="913"/>
      <c r="D1" s="913"/>
      <c r="E1" s="913"/>
      <c r="F1" s="913"/>
    </row>
    <row r="2" spans="1:8" ht="42" customHeight="1" x14ac:dyDescent="0.2">
      <c r="A2" s="930" t="s">
        <v>726</v>
      </c>
      <c r="B2" s="931"/>
      <c r="C2" s="931"/>
      <c r="D2" s="931"/>
      <c r="E2" s="931"/>
      <c r="F2" s="932"/>
    </row>
    <row r="3" spans="1:8" ht="19.5" customHeight="1" x14ac:dyDescent="0.2">
      <c r="A3" s="936" t="s">
        <v>548</v>
      </c>
      <c r="B3" s="937"/>
      <c r="C3" s="936" t="s">
        <v>549</v>
      </c>
      <c r="D3" s="937"/>
      <c r="E3" s="936" t="s">
        <v>550</v>
      </c>
      <c r="F3" s="937"/>
    </row>
    <row r="4" spans="1:8" ht="19.5" customHeight="1" x14ac:dyDescent="0.2">
      <c r="A4" s="938" t="s">
        <v>727</v>
      </c>
      <c r="B4" s="939"/>
      <c r="C4" s="938">
        <v>15251507</v>
      </c>
      <c r="D4" s="939"/>
      <c r="E4" s="938">
        <v>1977286</v>
      </c>
      <c r="F4" s="939"/>
    </row>
    <row r="5" spans="1:8" ht="19.5" customHeight="1" x14ac:dyDescent="0.2">
      <c r="A5" s="834" t="s">
        <v>728</v>
      </c>
      <c r="B5" s="933" t="s">
        <v>729</v>
      </c>
      <c r="C5" s="934"/>
      <c r="D5" s="934"/>
      <c r="E5" s="934"/>
      <c r="F5" s="935"/>
    </row>
    <row r="6" spans="1:8" ht="26.25" customHeight="1" x14ac:dyDescent="0.2">
      <c r="A6" s="917" t="s">
        <v>730</v>
      </c>
      <c r="B6" s="918"/>
      <c r="C6" s="918"/>
      <c r="D6" s="918"/>
      <c r="E6" s="918"/>
      <c r="F6" s="919"/>
    </row>
    <row r="7" spans="1:8" ht="30" customHeight="1" x14ac:dyDescent="0.2">
      <c r="A7" s="917" t="s">
        <v>731</v>
      </c>
      <c r="B7" s="918"/>
      <c r="C7" s="918"/>
      <c r="D7" s="918"/>
      <c r="E7" s="918"/>
      <c r="F7" s="919"/>
    </row>
    <row r="8" spans="1:8" ht="23.25" customHeight="1" x14ac:dyDescent="0.2">
      <c r="A8" s="917" t="s">
        <v>732</v>
      </c>
      <c r="B8" s="920"/>
      <c r="C8" s="920"/>
      <c r="D8" s="920"/>
      <c r="E8" s="920"/>
      <c r="F8" s="921"/>
    </row>
    <row r="9" spans="1:8" ht="23.25" customHeight="1" x14ac:dyDescent="0.2">
      <c r="A9" s="789" t="s">
        <v>733</v>
      </c>
      <c r="B9" s="922" t="s">
        <v>552</v>
      </c>
      <c r="C9" s="923"/>
      <c r="D9" s="923"/>
      <c r="E9" s="923"/>
      <c r="F9" s="924"/>
    </row>
    <row r="10" spans="1:8" ht="40.5" customHeight="1" x14ac:dyDescent="0.2"/>
    <row r="11" spans="1:8" ht="33" customHeight="1" x14ac:dyDescent="0.2">
      <c r="A11" s="925" t="s">
        <v>553</v>
      </c>
      <c r="B11" s="927" t="s">
        <v>556</v>
      </c>
      <c r="C11" s="927"/>
      <c r="D11" s="927" t="s">
        <v>734</v>
      </c>
      <c r="E11" s="927"/>
      <c r="F11" s="836" t="s">
        <v>554</v>
      </c>
    </row>
    <row r="12" spans="1:8" ht="30.75" customHeight="1" x14ac:dyDescent="0.2">
      <c r="A12" s="926"/>
      <c r="B12" s="928"/>
      <c r="C12" s="928"/>
      <c r="D12" s="929"/>
      <c r="E12" s="929"/>
      <c r="F12" s="837" t="s">
        <v>555</v>
      </c>
    </row>
    <row r="13" spans="1:8" ht="89.25" x14ac:dyDescent="0.2">
      <c r="A13" s="835" t="s">
        <v>735</v>
      </c>
      <c r="B13" s="834" t="s">
        <v>736</v>
      </c>
      <c r="C13" s="865">
        <v>0.62</v>
      </c>
      <c r="D13" s="834" t="s">
        <v>557</v>
      </c>
      <c r="E13" s="866">
        <v>0.43</v>
      </c>
      <c r="F13" s="867" t="s">
        <v>737</v>
      </c>
      <c r="G13" s="868"/>
    </row>
    <row r="14" spans="1:8" ht="48" customHeight="1" x14ac:dyDescent="0.2">
      <c r="A14" s="914" t="s">
        <v>738</v>
      </c>
      <c r="B14" s="915"/>
      <c r="C14" s="915"/>
      <c r="D14" s="915"/>
      <c r="E14" s="915"/>
      <c r="F14" s="916"/>
    </row>
    <row r="15" spans="1:8" ht="48" customHeight="1" x14ac:dyDescent="0.2">
      <c r="A15" s="914" t="s">
        <v>739</v>
      </c>
      <c r="B15" s="915"/>
      <c r="C15" s="915"/>
      <c r="D15" s="915"/>
      <c r="E15" s="915"/>
      <c r="F15" s="916"/>
      <c r="H15" s="869"/>
    </row>
    <row r="16" spans="1:8" ht="48" customHeight="1" x14ac:dyDescent="0.2">
      <c r="A16" s="926" t="s">
        <v>553</v>
      </c>
      <c r="B16" s="928" t="s">
        <v>556</v>
      </c>
      <c r="C16" s="928"/>
      <c r="D16" s="928" t="s">
        <v>734</v>
      </c>
      <c r="E16" s="928"/>
      <c r="F16" s="837" t="s">
        <v>554</v>
      </c>
    </row>
    <row r="17" spans="1:7" ht="48" customHeight="1" x14ac:dyDescent="0.2">
      <c r="A17" s="926"/>
      <c r="B17" s="928"/>
      <c r="C17" s="928"/>
      <c r="D17" s="929"/>
      <c r="E17" s="929"/>
      <c r="F17" s="837" t="s">
        <v>555</v>
      </c>
    </row>
    <row r="18" spans="1:7" ht="48" customHeight="1" x14ac:dyDescent="0.2">
      <c r="A18" s="835" t="s">
        <v>735</v>
      </c>
      <c r="B18" s="834" t="s">
        <v>740</v>
      </c>
      <c r="C18" s="870">
        <v>41</v>
      </c>
      <c r="D18" s="834" t="s">
        <v>557</v>
      </c>
      <c r="E18" s="870">
        <v>28</v>
      </c>
      <c r="F18" s="790" t="s">
        <v>741</v>
      </c>
    </row>
    <row r="19" spans="1:7" ht="48" customHeight="1" x14ac:dyDescent="0.2">
      <c r="A19" s="871"/>
      <c r="B19" s="940"/>
      <c r="C19" s="940"/>
      <c r="D19" s="940"/>
      <c r="E19" s="940"/>
      <c r="F19" s="872"/>
    </row>
    <row r="20" spans="1:7" ht="38.25" customHeight="1" x14ac:dyDescent="0.2">
      <c r="A20" s="941" t="s">
        <v>742</v>
      </c>
      <c r="B20" s="942"/>
      <c r="C20" s="942"/>
      <c r="D20" s="942"/>
      <c r="E20" s="942"/>
      <c r="F20" s="943"/>
    </row>
    <row r="21" spans="1:7" ht="25.5" x14ac:dyDescent="0.2">
      <c r="A21" s="873" t="s">
        <v>551</v>
      </c>
      <c r="B21" s="922" t="s">
        <v>743</v>
      </c>
      <c r="C21" s="923"/>
      <c r="D21" s="923"/>
      <c r="E21" s="923"/>
      <c r="F21" s="924"/>
      <c r="G21" s="831"/>
    </row>
    <row r="22" spans="1:7" ht="12.75" customHeight="1" x14ac:dyDescent="0.2">
      <c r="A22" s="944" t="s">
        <v>553</v>
      </c>
      <c r="B22" s="946" t="s">
        <v>560</v>
      </c>
      <c r="C22" s="947"/>
      <c r="D22" s="948" t="s">
        <v>554</v>
      </c>
      <c r="E22" s="949"/>
    </row>
    <row r="23" spans="1:7" x14ac:dyDescent="0.2">
      <c r="A23" s="945"/>
      <c r="B23" s="833" t="s">
        <v>556</v>
      </c>
      <c r="C23" s="792" t="s">
        <v>734</v>
      </c>
      <c r="D23" s="950" t="s">
        <v>555</v>
      </c>
      <c r="E23" s="951"/>
    </row>
    <row r="24" spans="1:7" x14ac:dyDescent="0.2">
      <c r="A24" s="952" t="s">
        <v>561</v>
      </c>
      <c r="B24" s="874">
        <v>251</v>
      </c>
      <c r="C24" s="874">
        <v>509</v>
      </c>
      <c r="D24" s="954" t="s">
        <v>562</v>
      </c>
      <c r="E24" s="955"/>
    </row>
    <row r="25" spans="1:7" ht="27.75" customHeight="1" x14ac:dyDescent="0.2">
      <c r="A25" s="953"/>
      <c r="B25" s="875"/>
      <c r="C25" s="875"/>
      <c r="D25" s="956" t="s">
        <v>563</v>
      </c>
      <c r="E25" s="957"/>
    </row>
    <row r="26" spans="1:7" ht="27.75" customHeight="1" x14ac:dyDescent="0.2">
      <c r="A26" s="953"/>
      <c r="B26" s="875"/>
      <c r="C26" s="875"/>
      <c r="D26" s="956" t="s">
        <v>744</v>
      </c>
      <c r="E26" s="957"/>
    </row>
    <row r="27" spans="1:7" ht="39.75" customHeight="1" x14ac:dyDescent="0.2">
      <c r="A27" s="958" t="s">
        <v>564</v>
      </c>
      <c r="B27" s="958">
        <v>80</v>
      </c>
      <c r="C27" s="958">
        <v>100</v>
      </c>
      <c r="D27" s="960" t="s">
        <v>565</v>
      </c>
      <c r="E27" s="961"/>
    </row>
    <row r="28" spans="1:7" ht="27.75" customHeight="1" x14ac:dyDescent="0.2">
      <c r="A28" s="959"/>
      <c r="B28" s="959"/>
      <c r="C28" s="959"/>
      <c r="D28" s="960" t="s">
        <v>745</v>
      </c>
      <c r="E28" s="961"/>
    </row>
    <row r="29" spans="1:7" ht="36.75" customHeight="1" x14ac:dyDescent="0.2">
      <c r="A29" s="959"/>
      <c r="B29" s="959"/>
      <c r="C29" s="959"/>
      <c r="D29" s="962" t="s">
        <v>744</v>
      </c>
      <c r="E29" s="957"/>
    </row>
    <row r="30" spans="1:7" ht="12.75" customHeight="1" x14ac:dyDescent="0.2">
      <c r="A30" s="874" t="s">
        <v>746</v>
      </c>
      <c r="B30" s="874" t="s">
        <v>747</v>
      </c>
      <c r="C30" s="876">
        <v>0.2</v>
      </c>
      <c r="D30" s="963" t="s">
        <v>748</v>
      </c>
      <c r="E30" s="964"/>
    </row>
    <row r="31" spans="1:7" ht="25.5" x14ac:dyDescent="0.2">
      <c r="A31" s="877" t="s">
        <v>551</v>
      </c>
      <c r="B31" s="922" t="s">
        <v>749</v>
      </c>
      <c r="C31" s="923"/>
      <c r="D31" s="923"/>
      <c r="E31" s="924"/>
      <c r="F31" s="878"/>
    </row>
    <row r="32" spans="1:7" ht="15" x14ac:dyDescent="0.2">
      <c r="A32" s="917" t="s">
        <v>750</v>
      </c>
      <c r="B32" s="965"/>
      <c r="C32" s="965"/>
      <c r="D32" s="965"/>
      <c r="E32" s="965"/>
      <c r="F32" s="966"/>
    </row>
    <row r="33" spans="1:9" ht="23.25" customHeight="1" x14ac:dyDescent="0.2">
      <c r="A33" s="917" t="s">
        <v>751</v>
      </c>
      <c r="B33" s="918"/>
      <c r="C33" s="918"/>
      <c r="D33" s="918"/>
      <c r="E33" s="918"/>
      <c r="F33" s="919"/>
    </row>
    <row r="34" spans="1:9" ht="23.25" customHeight="1" x14ac:dyDescent="0.2">
      <c r="A34" s="917" t="s">
        <v>752</v>
      </c>
      <c r="B34" s="918"/>
      <c r="C34" s="918"/>
      <c r="D34" s="918"/>
      <c r="E34" s="918"/>
      <c r="F34" s="919"/>
    </row>
    <row r="35" spans="1:9" ht="23.25" customHeight="1" x14ac:dyDescent="0.2">
      <c r="A35" s="917" t="s">
        <v>753</v>
      </c>
      <c r="B35" s="918"/>
      <c r="C35" s="918"/>
      <c r="D35" s="918"/>
      <c r="E35" s="918"/>
      <c r="F35" s="919"/>
      <c r="G35" s="838"/>
      <c r="H35" s="838"/>
      <c r="I35" s="839"/>
    </row>
    <row r="36" spans="1:9" ht="23.25" customHeight="1" x14ac:dyDescent="0.2">
      <c r="A36" s="967" t="s">
        <v>566</v>
      </c>
      <c r="B36" s="968"/>
      <c r="C36" s="968"/>
      <c r="D36" s="968"/>
      <c r="E36" s="968"/>
      <c r="F36" s="968"/>
      <c r="G36" s="879"/>
      <c r="H36" s="879"/>
      <c r="I36" s="880"/>
    </row>
    <row r="37" spans="1:9" ht="25.5" x14ac:dyDescent="0.2">
      <c r="A37" s="793" t="s">
        <v>567</v>
      </c>
      <c r="B37" s="969" t="s">
        <v>692</v>
      </c>
      <c r="C37" s="970"/>
      <c r="D37" s="970"/>
      <c r="E37" s="970"/>
      <c r="F37" s="971"/>
      <c r="G37" s="841">
        <v>2020</v>
      </c>
      <c r="H37" s="842" t="s">
        <v>569</v>
      </c>
      <c r="I37" s="842" t="s">
        <v>554</v>
      </c>
    </row>
    <row r="38" spans="1:9" ht="15" customHeight="1" x14ac:dyDescent="0.2">
      <c r="A38" s="840" t="s">
        <v>568</v>
      </c>
      <c r="B38" s="832" t="s">
        <v>556</v>
      </c>
      <c r="C38" s="841">
        <v>2017</v>
      </c>
      <c r="D38" s="841">
        <v>2018</v>
      </c>
      <c r="E38" s="841">
        <v>2019</v>
      </c>
      <c r="F38" s="841">
        <v>2020</v>
      </c>
      <c r="G38" s="841">
        <v>2021</v>
      </c>
      <c r="H38" s="842" t="s">
        <v>569</v>
      </c>
      <c r="I38" s="842" t="s">
        <v>555</v>
      </c>
    </row>
    <row r="39" spans="1:9" ht="12.75" customHeight="1" x14ac:dyDescent="0.2">
      <c r="A39" s="794" t="s">
        <v>754</v>
      </c>
      <c r="B39" s="795">
        <v>0</v>
      </c>
      <c r="C39" s="796">
        <v>0</v>
      </c>
      <c r="D39" s="796">
        <v>0</v>
      </c>
      <c r="E39" s="796">
        <v>65</v>
      </c>
      <c r="F39" s="796">
        <v>100</v>
      </c>
      <c r="G39" s="796">
        <v>0</v>
      </c>
      <c r="H39" s="796">
        <v>165</v>
      </c>
      <c r="I39" s="791" t="s">
        <v>755</v>
      </c>
    </row>
    <row r="40" spans="1:9" ht="153" x14ac:dyDescent="0.2">
      <c r="A40" s="794" t="s">
        <v>756</v>
      </c>
      <c r="B40" s="795">
        <v>0</v>
      </c>
      <c r="C40" s="796">
        <v>131</v>
      </c>
      <c r="D40" s="796">
        <v>427</v>
      </c>
      <c r="E40" s="796">
        <v>684</v>
      </c>
      <c r="F40" s="796">
        <v>713</v>
      </c>
      <c r="G40" s="796">
        <v>713</v>
      </c>
      <c r="H40" s="796">
        <v>713</v>
      </c>
      <c r="I40" s="791" t="s">
        <v>757</v>
      </c>
    </row>
    <row r="41" spans="1:9" ht="38.25" customHeight="1" x14ac:dyDescent="0.2">
      <c r="A41" s="794" t="s">
        <v>704</v>
      </c>
      <c r="B41" s="795">
        <v>0</v>
      </c>
      <c r="C41" s="796" t="s">
        <v>559</v>
      </c>
      <c r="D41" s="796" t="s">
        <v>559</v>
      </c>
      <c r="E41" s="796">
        <v>405</v>
      </c>
      <c r="F41" s="796">
        <v>195</v>
      </c>
      <c r="G41" s="796">
        <v>0</v>
      </c>
      <c r="H41" s="796">
        <v>600</v>
      </c>
      <c r="I41" s="791" t="s">
        <v>758</v>
      </c>
    </row>
    <row r="42" spans="1:9" ht="63.75" x14ac:dyDescent="0.2">
      <c r="A42" s="794" t="s">
        <v>703</v>
      </c>
      <c r="B42" s="795">
        <v>0</v>
      </c>
      <c r="C42" s="796">
        <v>30</v>
      </c>
      <c r="D42" s="796">
        <v>40</v>
      </c>
      <c r="E42" s="796">
        <v>30</v>
      </c>
      <c r="F42" s="796">
        <v>0</v>
      </c>
      <c r="G42" s="796">
        <v>0</v>
      </c>
      <c r="H42" s="796">
        <v>100</v>
      </c>
      <c r="I42" s="791" t="s">
        <v>759</v>
      </c>
    </row>
    <row r="43" spans="1:9" ht="15" x14ac:dyDescent="0.2">
      <c r="A43" s="917" t="s">
        <v>760</v>
      </c>
      <c r="B43" s="918"/>
      <c r="C43" s="918"/>
      <c r="D43" s="918"/>
      <c r="E43" s="918"/>
      <c r="F43" s="919"/>
    </row>
    <row r="44" spans="1:9" ht="15" x14ac:dyDescent="0.2">
      <c r="A44" s="917" t="s">
        <v>761</v>
      </c>
      <c r="B44" s="918"/>
      <c r="C44" s="918"/>
      <c r="D44" s="918"/>
      <c r="E44" s="918"/>
      <c r="F44" s="919"/>
    </row>
  </sheetData>
  <mergeCells count="49">
    <mergeCell ref="A35:F35"/>
    <mergeCell ref="A36:F36"/>
    <mergeCell ref="B37:F37"/>
    <mergeCell ref="A43:F43"/>
    <mergeCell ref="A44:F44"/>
    <mergeCell ref="D30:E30"/>
    <mergeCell ref="B31:E31"/>
    <mergeCell ref="A32:F32"/>
    <mergeCell ref="A33:F33"/>
    <mergeCell ref="A34:F34"/>
    <mergeCell ref="A24:A26"/>
    <mergeCell ref="D24:E24"/>
    <mergeCell ref="D25:E25"/>
    <mergeCell ref="D26:E26"/>
    <mergeCell ref="A27:A29"/>
    <mergeCell ref="B27:B29"/>
    <mergeCell ref="C27:C29"/>
    <mergeCell ref="D27:E27"/>
    <mergeCell ref="D28:E28"/>
    <mergeCell ref="D29:E29"/>
    <mergeCell ref="B19:C19"/>
    <mergeCell ref="D19:E19"/>
    <mergeCell ref="A20:F20"/>
    <mergeCell ref="B21:F21"/>
    <mergeCell ref="A22:A23"/>
    <mergeCell ref="B22:C22"/>
    <mergeCell ref="D22:E22"/>
    <mergeCell ref="D23:E23"/>
    <mergeCell ref="C4:D4"/>
    <mergeCell ref="E4:F4"/>
    <mergeCell ref="A16:A17"/>
    <mergeCell ref="B16:C17"/>
    <mergeCell ref="D16:E17"/>
    <mergeCell ref="A1:F1"/>
    <mergeCell ref="A14:F14"/>
    <mergeCell ref="A15:F15"/>
    <mergeCell ref="A6:F6"/>
    <mergeCell ref="A7:F7"/>
    <mergeCell ref="A8:F8"/>
    <mergeCell ref="B9:F9"/>
    <mergeCell ref="A11:A12"/>
    <mergeCell ref="B11:C12"/>
    <mergeCell ref="D11:E12"/>
    <mergeCell ref="A2:F2"/>
    <mergeCell ref="B5:F5"/>
    <mergeCell ref="A3:B3"/>
    <mergeCell ref="C3:D3"/>
    <mergeCell ref="E3:F3"/>
    <mergeCell ref="A4:B4"/>
  </mergeCells>
  <hyperlinks>
    <hyperlink ref="A15" r:id="rId1" display="http://www.dgeec.gob.p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P61"/>
  <sheetViews>
    <sheetView showGridLines="0" tabSelected="1" zoomScale="70" zoomScaleNormal="70" workbookViewId="0">
      <pane xSplit="1" ySplit="9" topLeftCell="B16" activePane="bottomRight" state="frozen"/>
      <selection pane="topRight" activeCell="B1" sqref="B1"/>
      <selection pane="bottomLeft" activeCell="A10" sqref="A10"/>
      <selection pane="bottomRight" activeCell="D28" sqref="D28"/>
    </sheetView>
  </sheetViews>
  <sheetFormatPr defaultColWidth="11.42578125" defaultRowHeight="12.75" x14ac:dyDescent="0.2"/>
  <cols>
    <col min="1" max="1" width="12.42578125" style="2" bestFit="1" customWidth="1"/>
    <col min="2" max="2" width="69.140625" style="8" customWidth="1"/>
    <col min="3" max="3" width="12.85546875" style="542" customWidth="1"/>
    <col min="4" max="4" width="15.5703125" style="543" customWidth="1"/>
    <col min="5" max="5" width="12.85546875" style="544" customWidth="1"/>
    <col min="6" max="6" width="13.42578125" style="544" bestFit="1" customWidth="1"/>
    <col min="7" max="8" width="17.7109375" style="58" customWidth="1"/>
    <col min="9" max="68" width="4.5703125" style="7" customWidth="1"/>
    <col min="69" max="254" width="11.42578125" style="7"/>
    <col min="255" max="255" width="44.42578125" style="7" customWidth="1"/>
    <col min="256" max="256" width="13" style="7" customWidth="1"/>
    <col min="257" max="262" width="2" style="7" customWidth="1"/>
    <col min="263" max="263" width="2.42578125" style="7" customWidth="1"/>
    <col min="264" max="264" width="3" style="7" customWidth="1"/>
    <col min="265" max="267" width="2" style="7" customWidth="1"/>
    <col min="268" max="268" width="2.85546875" style="7" customWidth="1"/>
    <col min="269" max="269" width="3" style="7" customWidth="1"/>
    <col min="270" max="270" width="2.7109375" style="7" customWidth="1"/>
    <col min="271" max="271" width="2.42578125" style="7" customWidth="1"/>
    <col min="272" max="272" width="3.28515625" style="7" customWidth="1"/>
    <col min="273" max="273" width="3.5703125" style="7" customWidth="1"/>
    <col min="274" max="274" width="4" style="7" customWidth="1"/>
    <col min="275" max="275" width="3.42578125" style="7" customWidth="1"/>
    <col min="276" max="276" width="3" style="7" customWidth="1"/>
    <col min="277" max="510" width="11.42578125" style="7"/>
    <col min="511" max="511" width="44.42578125" style="7" customWidth="1"/>
    <col min="512" max="512" width="13" style="7" customWidth="1"/>
    <col min="513" max="518" width="2" style="7" customWidth="1"/>
    <col min="519" max="519" width="2.42578125" style="7" customWidth="1"/>
    <col min="520" max="520" width="3" style="7" customWidth="1"/>
    <col min="521" max="523" width="2" style="7" customWidth="1"/>
    <col min="524" max="524" width="2.85546875" style="7" customWidth="1"/>
    <col min="525" max="525" width="3" style="7" customWidth="1"/>
    <col min="526" max="526" width="2.7109375" style="7" customWidth="1"/>
    <col min="527" max="527" width="2.42578125" style="7" customWidth="1"/>
    <col min="528" max="528" width="3.28515625" style="7" customWidth="1"/>
    <col min="529" max="529" width="3.5703125" style="7" customWidth="1"/>
    <col min="530" max="530" width="4" style="7" customWidth="1"/>
    <col min="531" max="531" width="3.42578125" style="7" customWidth="1"/>
    <col min="532" max="532" width="3" style="7" customWidth="1"/>
    <col min="533" max="766" width="11.42578125" style="7"/>
    <col min="767" max="767" width="44.42578125" style="7" customWidth="1"/>
    <col min="768" max="768" width="13" style="7" customWidth="1"/>
    <col min="769" max="774" width="2" style="7" customWidth="1"/>
    <col min="775" max="775" width="2.42578125" style="7" customWidth="1"/>
    <col min="776" max="776" width="3" style="7" customWidth="1"/>
    <col min="777" max="779" width="2" style="7" customWidth="1"/>
    <col min="780" max="780" width="2.85546875" style="7" customWidth="1"/>
    <col min="781" max="781" width="3" style="7" customWidth="1"/>
    <col min="782" max="782" width="2.7109375" style="7" customWidth="1"/>
    <col min="783" max="783" width="2.42578125" style="7" customWidth="1"/>
    <col min="784" max="784" width="3.28515625" style="7" customWidth="1"/>
    <col min="785" max="785" width="3.5703125" style="7" customWidth="1"/>
    <col min="786" max="786" width="4" style="7" customWidth="1"/>
    <col min="787" max="787" width="3.42578125" style="7" customWidth="1"/>
    <col min="788" max="788" width="3" style="7" customWidth="1"/>
    <col min="789" max="1022" width="11.42578125" style="7"/>
    <col min="1023" max="1023" width="44.42578125" style="7" customWidth="1"/>
    <col min="1024" max="1024" width="13" style="7" customWidth="1"/>
    <col min="1025" max="1030" width="2" style="7" customWidth="1"/>
    <col min="1031" max="1031" width="2.42578125" style="7" customWidth="1"/>
    <col min="1032" max="1032" width="3" style="7" customWidth="1"/>
    <col min="1033" max="1035" width="2" style="7" customWidth="1"/>
    <col min="1036" max="1036" width="2.85546875" style="7" customWidth="1"/>
    <col min="1037" max="1037" width="3" style="7" customWidth="1"/>
    <col min="1038" max="1038" width="2.7109375" style="7" customWidth="1"/>
    <col min="1039" max="1039" width="2.42578125" style="7" customWidth="1"/>
    <col min="1040" max="1040" width="3.28515625" style="7" customWidth="1"/>
    <col min="1041" max="1041" width="3.5703125" style="7" customWidth="1"/>
    <col min="1042" max="1042" width="4" style="7" customWidth="1"/>
    <col min="1043" max="1043" width="3.42578125" style="7" customWidth="1"/>
    <col min="1044" max="1044" width="3" style="7" customWidth="1"/>
    <col min="1045" max="1278" width="11.42578125" style="7"/>
    <col min="1279" max="1279" width="44.42578125" style="7" customWidth="1"/>
    <col min="1280" max="1280" width="13" style="7" customWidth="1"/>
    <col min="1281" max="1286" width="2" style="7" customWidth="1"/>
    <col min="1287" max="1287" width="2.42578125" style="7" customWidth="1"/>
    <col min="1288" max="1288" width="3" style="7" customWidth="1"/>
    <col min="1289" max="1291" width="2" style="7" customWidth="1"/>
    <col min="1292" max="1292" width="2.85546875" style="7" customWidth="1"/>
    <col min="1293" max="1293" width="3" style="7" customWidth="1"/>
    <col min="1294" max="1294" width="2.7109375" style="7" customWidth="1"/>
    <col min="1295" max="1295" width="2.42578125" style="7" customWidth="1"/>
    <col min="1296" max="1296" width="3.28515625" style="7" customWidth="1"/>
    <col min="1297" max="1297" width="3.5703125" style="7" customWidth="1"/>
    <col min="1298" max="1298" width="4" style="7" customWidth="1"/>
    <col min="1299" max="1299" width="3.42578125" style="7" customWidth="1"/>
    <col min="1300" max="1300" width="3" style="7" customWidth="1"/>
    <col min="1301" max="1534" width="11.42578125" style="7"/>
    <col min="1535" max="1535" width="44.42578125" style="7" customWidth="1"/>
    <col min="1536" max="1536" width="13" style="7" customWidth="1"/>
    <col min="1537" max="1542" width="2" style="7" customWidth="1"/>
    <col min="1543" max="1543" width="2.42578125" style="7" customWidth="1"/>
    <col min="1544" max="1544" width="3" style="7" customWidth="1"/>
    <col min="1545" max="1547" width="2" style="7" customWidth="1"/>
    <col min="1548" max="1548" width="2.85546875" style="7" customWidth="1"/>
    <col min="1549" max="1549" width="3" style="7" customWidth="1"/>
    <col min="1550" max="1550" width="2.7109375" style="7" customWidth="1"/>
    <col min="1551" max="1551" width="2.42578125" style="7" customWidth="1"/>
    <col min="1552" max="1552" width="3.28515625" style="7" customWidth="1"/>
    <col min="1553" max="1553" width="3.5703125" style="7" customWidth="1"/>
    <col min="1554" max="1554" width="4" style="7" customWidth="1"/>
    <col min="1555" max="1555" width="3.42578125" style="7" customWidth="1"/>
    <col min="1556" max="1556" width="3" style="7" customWidth="1"/>
    <col min="1557" max="1790" width="11.42578125" style="7"/>
    <col min="1791" max="1791" width="44.42578125" style="7" customWidth="1"/>
    <col min="1792" max="1792" width="13" style="7" customWidth="1"/>
    <col min="1793" max="1798" width="2" style="7" customWidth="1"/>
    <col min="1799" max="1799" width="2.42578125" style="7" customWidth="1"/>
    <col min="1800" max="1800" width="3" style="7" customWidth="1"/>
    <col min="1801" max="1803" width="2" style="7" customWidth="1"/>
    <col min="1804" max="1804" width="2.85546875" style="7" customWidth="1"/>
    <col min="1805" max="1805" width="3" style="7" customWidth="1"/>
    <col min="1806" max="1806" width="2.7109375" style="7" customWidth="1"/>
    <col min="1807" max="1807" width="2.42578125" style="7" customWidth="1"/>
    <col min="1808" max="1808" width="3.28515625" style="7" customWidth="1"/>
    <col min="1809" max="1809" width="3.5703125" style="7" customWidth="1"/>
    <col min="1810" max="1810" width="4" style="7" customWidth="1"/>
    <col min="1811" max="1811" width="3.42578125" style="7" customWidth="1"/>
    <col min="1812" max="1812" width="3" style="7" customWidth="1"/>
    <col min="1813" max="2046" width="11.42578125" style="7"/>
    <col min="2047" max="2047" width="44.42578125" style="7" customWidth="1"/>
    <col min="2048" max="2048" width="13" style="7" customWidth="1"/>
    <col min="2049" max="2054" width="2" style="7" customWidth="1"/>
    <col min="2055" max="2055" width="2.42578125" style="7" customWidth="1"/>
    <col min="2056" max="2056" width="3" style="7" customWidth="1"/>
    <col min="2057" max="2059" width="2" style="7" customWidth="1"/>
    <col min="2060" max="2060" width="2.85546875" style="7" customWidth="1"/>
    <col min="2061" max="2061" width="3" style="7" customWidth="1"/>
    <col min="2062" max="2062" width="2.7109375" style="7" customWidth="1"/>
    <col min="2063" max="2063" width="2.42578125" style="7" customWidth="1"/>
    <col min="2064" max="2064" width="3.28515625" style="7" customWidth="1"/>
    <col min="2065" max="2065" width="3.5703125" style="7" customWidth="1"/>
    <col min="2066" max="2066" width="4" style="7" customWidth="1"/>
    <col min="2067" max="2067" width="3.42578125" style="7" customWidth="1"/>
    <col min="2068" max="2068" width="3" style="7" customWidth="1"/>
    <col min="2069" max="2302" width="11.42578125" style="7"/>
    <col min="2303" max="2303" width="44.42578125" style="7" customWidth="1"/>
    <col min="2304" max="2304" width="13" style="7" customWidth="1"/>
    <col min="2305" max="2310" width="2" style="7" customWidth="1"/>
    <col min="2311" max="2311" width="2.42578125" style="7" customWidth="1"/>
    <col min="2312" max="2312" width="3" style="7" customWidth="1"/>
    <col min="2313" max="2315" width="2" style="7" customWidth="1"/>
    <col min="2316" max="2316" width="2.85546875" style="7" customWidth="1"/>
    <col min="2317" max="2317" width="3" style="7" customWidth="1"/>
    <col min="2318" max="2318" width="2.7109375" style="7" customWidth="1"/>
    <col min="2319" max="2319" width="2.42578125" style="7" customWidth="1"/>
    <col min="2320" max="2320" width="3.28515625" style="7" customWidth="1"/>
    <col min="2321" max="2321" width="3.5703125" style="7" customWidth="1"/>
    <col min="2322" max="2322" width="4" style="7" customWidth="1"/>
    <col min="2323" max="2323" width="3.42578125" style="7" customWidth="1"/>
    <col min="2324" max="2324" width="3" style="7" customWidth="1"/>
    <col min="2325" max="2558" width="11.42578125" style="7"/>
    <col min="2559" max="2559" width="44.42578125" style="7" customWidth="1"/>
    <col min="2560" max="2560" width="13" style="7" customWidth="1"/>
    <col min="2561" max="2566" width="2" style="7" customWidth="1"/>
    <col min="2567" max="2567" width="2.42578125" style="7" customWidth="1"/>
    <col min="2568" max="2568" width="3" style="7" customWidth="1"/>
    <col min="2569" max="2571" width="2" style="7" customWidth="1"/>
    <col min="2572" max="2572" width="2.85546875" style="7" customWidth="1"/>
    <col min="2573" max="2573" width="3" style="7" customWidth="1"/>
    <col min="2574" max="2574" width="2.7109375" style="7" customWidth="1"/>
    <col min="2575" max="2575" width="2.42578125" style="7" customWidth="1"/>
    <col min="2576" max="2576" width="3.28515625" style="7" customWidth="1"/>
    <col min="2577" max="2577" width="3.5703125" style="7" customWidth="1"/>
    <col min="2578" max="2578" width="4" style="7" customWidth="1"/>
    <col min="2579" max="2579" width="3.42578125" style="7" customWidth="1"/>
    <col min="2580" max="2580" width="3" style="7" customWidth="1"/>
    <col min="2581" max="2814" width="11.42578125" style="7"/>
    <col min="2815" max="2815" width="44.42578125" style="7" customWidth="1"/>
    <col min="2816" max="2816" width="13" style="7" customWidth="1"/>
    <col min="2817" max="2822" width="2" style="7" customWidth="1"/>
    <col min="2823" max="2823" width="2.42578125" style="7" customWidth="1"/>
    <col min="2824" max="2824" width="3" style="7" customWidth="1"/>
    <col min="2825" max="2827" width="2" style="7" customWidth="1"/>
    <col min="2828" max="2828" width="2.85546875" style="7" customWidth="1"/>
    <col min="2829" max="2829" width="3" style="7" customWidth="1"/>
    <col min="2830" max="2830" width="2.7109375" style="7" customWidth="1"/>
    <col min="2831" max="2831" width="2.42578125" style="7" customWidth="1"/>
    <col min="2832" max="2832" width="3.28515625" style="7" customWidth="1"/>
    <col min="2833" max="2833" width="3.5703125" style="7" customWidth="1"/>
    <col min="2834" max="2834" width="4" style="7" customWidth="1"/>
    <col min="2835" max="2835" width="3.42578125" style="7" customWidth="1"/>
    <col min="2836" max="2836" width="3" style="7" customWidth="1"/>
    <col min="2837" max="3070" width="11.42578125" style="7"/>
    <col min="3071" max="3071" width="44.42578125" style="7" customWidth="1"/>
    <col min="3072" max="3072" width="13" style="7" customWidth="1"/>
    <col min="3073" max="3078" width="2" style="7" customWidth="1"/>
    <col min="3079" max="3079" width="2.42578125" style="7" customWidth="1"/>
    <col min="3080" max="3080" width="3" style="7" customWidth="1"/>
    <col min="3081" max="3083" width="2" style="7" customWidth="1"/>
    <col min="3084" max="3084" width="2.85546875" style="7" customWidth="1"/>
    <col min="3085" max="3085" width="3" style="7" customWidth="1"/>
    <col min="3086" max="3086" width="2.7109375" style="7" customWidth="1"/>
    <col min="3087" max="3087" width="2.42578125" style="7" customWidth="1"/>
    <col min="3088" max="3088" width="3.28515625" style="7" customWidth="1"/>
    <col min="3089" max="3089" width="3.5703125" style="7" customWidth="1"/>
    <col min="3090" max="3090" width="4" style="7" customWidth="1"/>
    <col min="3091" max="3091" width="3.42578125" style="7" customWidth="1"/>
    <col min="3092" max="3092" width="3" style="7" customWidth="1"/>
    <col min="3093" max="3326" width="11.42578125" style="7"/>
    <col min="3327" max="3327" width="44.42578125" style="7" customWidth="1"/>
    <col min="3328" max="3328" width="13" style="7" customWidth="1"/>
    <col min="3329" max="3334" width="2" style="7" customWidth="1"/>
    <col min="3335" max="3335" width="2.42578125" style="7" customWidth="1"/>
    <col min="3336" max="3336" width="3" style="7" customWidth="1"/>
    <col min="3337" max="3339" width="2" style="7" customWidth="1"/>
    <col min="3340" max="3340" width="2.85546875" style="7" customWidth="1"/>
    <col min="3341" max="3341" width="3" style="7" customWidth="1"/>
    <col min="3342" max="3342" width="2.7109375" style="7" customWidth="1"/>
    <col min="3343" max="3343" width="2.42578125" style="7" customWidth="1"/>
    <col min="3344" max="3344" width="3.28515625" style="7" customWidth="1"/>
    <col min="3345" max="3345" width="3.5703125" style="7" customWidth="1"/>
    <col min="3346" max="3346" width="4" style="7" customWidth="1"/>
    <col min="3347" max="3347" width="3.42578125" style="7" customWidth="1"/>
    <col min="3348" max="3348" width="3" style="7" customWidth="1"/>
    <col min="3349" max="3582" width="11.42578125" style="7"/>
    <col min="3583" max="3583" width="44.42578125" style="7" customWidth="1"/>
    <col min="3584" max="3584" width="13" style="7" customWidth="1"/>
    <col min="3585" max="3590" width="2" style="7" customWidth="1"/>
    <col min="3591" max="3591" width="2.42578125" style="7" customWidth="1"/>
    <col min="3592" max="3592" width="3" style="7" customWidth="1"/>
    <col min="3593" max="3595" width="2" style="7" customWidth="1"/>
    <col min="3596" max="3596" width="2.85546875" style="7" customWidth="1"/>
    <col min="3597" max="3597" width="3" style="7" customWidth="1"/>
    <col min="3598" max="3598" width="2.7109375" style="7" customWidth="1"/>
    <col min="3599" max="3599" width="2.42578125" style="7" customWidth="1"/>
    <col min="3600" max="3600" width="3.28515625" style="7" customWidth="1"/>
    <col min="3601" max="3601" width="3.5703125" style="7" customWidth="1"/>
    <col min="3602" max="3602" width="4" style="7" customWidth="1"/>
    <col min="3603" max="3603" width="3.42578125" style="7" customWidth="1"/>
    <col min="3604" max="3604" width="3" style="7" customWidth="1"/>
    <col min="3605" max="3838" width="11.42578125" style="7"/>
    <col min="3839" max="3839" width="44.42578125" style="7" customWidth="1"/>
    <col min="3840" max="3840" width="13" style="7" customWidth="1"/>
    <col min="3841" max="3846" width="2" style="7" customWidth="1"/>
    <col min="3847" max="3847" width="2.42578125" style="7" customWidth="1"/>
    <col min="3848" max="3848" width="3" style="7" customWidth="1"/>
    <col min="3849" max="3851" width="2" style="7" customWidth="1"/>
    <col min="3852" max="3852" width="2.85546875" style="7" customWidth="1"/>
    <col min="3853" max="3853" width="3" style="7" customWidth="1"/>
    <col min="3854" max="3854" width="2.7109375" style="7" customWidth="1"/>
    <col min="3855" max="3855" width="2.42578125" style="7" customWidth="1"/>
    <col min="3856" max="3856" width="3.28515625" style="7" customWidth="1"/>
    <col min="3857" max="3857" width="3.5703125" style="7" customWidth="1"/>
    <col min="3858" max="3858" width="4" style="7" customWidth="1"/>
    <col min="3859" max="3859" width="3.42578125" style="7" customWidth="1"/>
    <col min="3860" max="3860" width="3" style="7" customWidth="1"/>
    <col min="3861" max="4094" width="11.42578125" style="7"/>
    <col min="4095" max="4095" width="44.42578125" style="7" customWidth="1"/>
    <col min="4096" max="4096" width="13" style="7" customWidth="1"/>
    <col min="4097" max="4102" width="2" style="7" customWidth="1"/>
    <col min="4103" max="4103" width="2.42578125" style="7" customWidth="1"/>
    <col min="4104" max="4104" width="3" style="7" customWidth="1"/>
    <col min="4105" max="4107" width="2" style="7" customWidth="1"/>
    <col min="4108" max="4108" width="2.85546875" style="7" customWidth="1"/>
    <col min="4109" max="4109" width="3" style="7" customWidth="1"/>
    <col min="4110" max="4110" width="2.7109375" style="7" customWidth="1"/>
    <col min="4111" max="4111" width="2.42578125" style="7" customWidth="1"/>
    <col min="4112" max="4112" width="3.28515625" style="7" customWidth="1"/>
    <col min="4113" max="4113" width="3.5703125" style="7" customWidth="1"/>
    <col min="4114" max="4114" width="4" style="7" customWidth="1"/>
    <col min="4115" max="4115" width="3.42578125" style="7" customWidth="1"/>
    <col min="4116" max="4116" width="3" style="7" customWidth="1"/>
    <col min="4117" max="4350" width="11.42578125" style="7"/>
    <col min="4351" max="4351" width="44.42578125" style="7" customWidth="1"/>
    <col min="4352" max="4352" width="13" style="7" customWidth="1"/>
    <col min="4353" max="4358" width="2" style="7" customWidth="1"/>
    <col min="4359" max="4359" width="2.42578125" style="7" customWidth="1"/>
    <col min="4360" max="4360" width="3" style="7" customWidth="1"/>
    <col min="4361" max="4363" width="2" style="7" customWidth="1"/>
    <col min="4364" max="4364" width="2.85546875" style="7" customWidth="1"/>
    <col min="4365" max="4365" width="3" style="7" customWidth="1"/>
    <col min="4366" max="4366" width="2.7109375" style="7" customWidth="1"/>
    <col min="4367" max="4367" width="2.42578125" style="7" customWidth="1"/>
    <col min="4368" max="4368" width="3.28515625" style="7" customWidth="1"/>
    <col min="4369" max="4369" width="3.5703125" style="7" customWidth="1"/>
    <col min="4370" max="4370" width="4" style="7" customWidth="1"/>
    <col min="4371" max="4371" width="3.42578125" style="7" customWidth="1"/>
    <col min="4372" max="4372" width="3" style="7" customWidth="1"/>
    <col min="4373" max="4606" width="11.42578125" style="7"/>
    <col min="4607" max="4607" width="44.42578125" style="7" customWidth="1"/>
    <col min="4608" max="4608" width="13" style="7" customWidth="1"/>
    <col min="4609" max="4614" width="2" style="7" customWidth="1"/>
    <col min="4615" max="4615" width="2.42578125" style="7" customWidth="1"/>
    <col min="4616" max="4616" width="3" style="7" customWidth="1"/>
    <col min="4617" max="4619" width="2" style="7" customWidth="1"/>
    <col min="4620" max="4620" width="2.85546875" style="7" customWidth="1"/>
    <col min="4621" max="4621" width="3" style="7" customWidth="1"/>
    <col min="4622" max="4622" width="2.7109375" style="7" customWidth="1"/>
    <col min="4623" max="4623" width="2.42578125" style="7" customWidth="1"/>
    <col min="4624" max="4624" width="3.28515625" style="7" customWidth="1"/>
    <col min="4625" max="4625" width="3.5703125" style="7" customWidth="1"/>
    <col min="4626" max="4626" width="4" style="7" customWidth="1"/>
    <col min="4627" max="4627" width="3.42578125" style="7" customWidth="1"/>
    <col min="4628" max="4628" width="3" style="7" customWidth="1"/>
    <col min="4629" max="4862" width="11.42578125" style="7"/>
    <col min="4863" max="4863" width="44.42578125" style="7" customWidth="1"/>
    <col min="4864" max="4864" width="13" style="7" customWidth="1"/>
    <col min="4865" max="4870" width="2" style="7" customWidth="1"/>
    <col min="4871" max="4871" width="2.42578125" style="7" customWidth="1"/>
    <col min="4872" max="4872" width="3" style="7" customWidth="1"/>
    <col min="4873" max="4875" width="2" style="7" customWidth="1"/>
    <col min="4876" max="4876" width="2.85546875" style="7" customWidth="1"/>
    <col min="4877" max="4877" width="3" style="7" customWidth="1"/>
    <col min="4878" max="4878" width="2.7109375" style="7" customWidth="1"/>
    <col min="4879" max="4879" width="2.42578125" style="7" customWidth="1"/>
    <col min="4880" max="4880" width="3.28515625" style="7" customWidth="1"/>
    <col min="4881" max="4881" width="3.5703125" style="7" customWidth="1"/>
    <col min="4882" max="4882" width="4" style="7" customWidth="1"/>
    <col min="4883" max="4883" width="3.42578125" style="7" customWidth="1"/>
    <col min="4884" max="4884" width="3" style="7" customWidth="1"/>
    <col min="4885" max="5118" width="11.42578125" style="7"/>
    <col min="5119" max="5119" width="44.42578125" style="7" customWidth="1"/>
    <col min="5120" max="5120" width="13" style="7" customWidth="1"/>
    <col min="5121" max="5126" width="2" style="7" customWidth="1"/>
    <col min="5127" max="5127" width="2.42578125" style="7" customWidth="1"/>
    <col min="5128" max="5128" width="3" style="7" customWidth="1"/>
    <col min="5129" max="5131" width="2" style="7" customWidth="1"/>
    <col min="5132" max="5132" width="2.85546875" style="7" customWidth="1"/>
    <col min="5133" max="5133" width="3" style="7" customWidth="1"/>
    <col min="5134" max="5134" width="2.7109375" style="7" customWidth="1"/>
    <col min="5135" max="5135" width="2.42578125" style="7" customWidth="1"/>
    <col min="5136" max="5136" width="3.28515625" style="7" customWidth="1"/>
    <col min="5137" max="5137" width="3.5703125" style="7" customWidth="1"/>
    <col min="5138" max="5138" width="4" style="7" customWidth="1"/>
    <col min="5139" max="5139" width="3.42578125" style="7" customWidth="1"/>
    <col min="5140" max="5140" width="3" style="7" customWidth="1"/>
    <col min="5141" max="5374" width="11.42578125" style="7"/>
    <col min="5375" max="5375" width="44.42578125" style="7" customWidth="1"/>
    <col min="5376" max="5376" width="13" style="7" customWidth="1"/>
    <col min="5377" max="5382" width="2" style="7" customWidth="1"/>
    <col min="5383" max="5383" width="2.42578125" style="7" customWidth="1"/>
    <col min="5384" max="5384" width="3" style="7" customWidth="1"/>
    <col min="5385" max="5387" width="2" style="7" customWidth="1"/>
    <col min="5388" max="5388" width="2.85546875" style="7" customWidth="1"/>
    <col min="5389" max="5389" width="3" style="7" customWidth="1"/>
    <col min="5390" max="5390" width="2.7109375" style="7" customWidth="1"/>
    <col min="5391" max="5391" width="2.42578125" style="7" customWidth="1"/>
    <col min="5392" max="5392" width="3.28515625" style="7" customWidth="1"/>
    <col min="5393" max="5393" width="3.5703125" style="7" customWidth="1"/>
    <col min="5394" max="5394" width="4" style="7" customWidth="1"/>
    <col min="5395" max="5395" width="3.42578125" style="7" customWidth="1"/>
    <col min="5396" max="5396" width="3" style="7" customWidth="1"/>
    <col min="5397" max="5630" width="11.42578125" style="7"/>
    <col min="5631" max="5631" width="44.42578125" style="7" customWidth="1"/>
    <col min="5632" max="5632" width="13" style="7" customWidth="1"/>
    <col min="5633" max="5638" width="2" style="7" customWidth="1"/>
    <col min="5639" max="5639" width="2.42578125" style="7" customWidth="1"/>
    <col min="5640" max="5640" width="3" style="7" customWidth="1"/>
    <col min="5641" max="5643" width="2" style="7" customWidth="1"/>
    <col min="5644" max="5644" width="2.85546875" style="7" customWidth="1"/>
    <col min="5645" max="5645" width="3" style="7" customWidth="1"/>
    <col min="5646" max="5646" width="2.7109375" style="7" customWidth="1"/>
    <col min="5647" max="5647" width="2.42578125" style="7" customWidth="1"/>
    <col min="5648" max="5648" width="3.28515625" style="7" customWidth="1"/>
    <col min="5649" max="5649" width="3.5703125" style="7" customWidth="1"/>
    <col min="5650" max="5650" width="4" style="7" customWidth="1"/>
    <col min="5651" max="5651" width="3.42578125" style="7" customWidth="1"/>
    <col min="5652" max="5652" width="3" style="7" customWidth="1"/>
    <col min="5653" max="5886" width="11.42578125" style="7"/>
    <col min="5887" max="5887" width="44.42578125" style="7" customWidth="1"/>
    <col min="5888" max="5888" width="13" style="7" customWidth="1"/>
    <col min="5889" max="5894" width="2" style="7" customWidth="1"/>
    <col min="5895" max="5895" width="2.42578125" style="7" customWidth="1"/>
    <col min="5896" max="5896" width="3" style="7" customWidth="1"/>
    <col min="5897" max="5899" width="2" style="7" customWidth="1"/>
    <col min="5900" max="5900" width="2.85546875" style="7" customWidth="1"/>
    <col min="5901" max="5901" width="3" style="7" customWidth="1"/>
    <col min="5902" max="5902" width="2.7109375" style="7" customWidth="1"/>
    <col min="5903" max="5903" width="2.42578125" style="7" customWidth="1"/>
    <col min="5904" max="5904" width="3.28515625" style="7" customWidth="1"/>
    <col min="5905" max="5905" width="3.5703125" style="7" customWidth="1"/>
    <col min="5906" max="5906" width="4" style="7" customWidth="1"/>
    <col min="5907" max="5907" width="3.42578125" style="7" customWidth="1"/>
    <col min="5908" max="5908" width="3" style="7" customWidth="1"/>
    <col min="5909" max="6142" width="11.42578125" style="7"/>
    <col min="6143" max="6143" width="44.42578125" style="7" customWidth="1"/>
    <col min="6144" max="6144" width="13" style="7" customWidth="1"/>
    <col min="6145" max="6150" width="2" style="7" customWidth="1"/>
    <col min="6151" max="6151" width="2.42578125" style="7" customWidth="1"/>
    <col min="6152" max="6152" width="3" style="7" customWidth="1"/>
    <col min="6153" max="6155" width="2" style="7" customWidth="1"/>
    <col min="6156" max="6156" width="2.85546875" style="7" customWidth="1"/>
    <col min="6157" max="6157" width="3" style="7" customWidth="1"/>
    <col min="6158" max="6158" width="2.7109375" style="7" customWidth="1"/>
    <col min="6159" max="6159" width="2.42578125" style="7" customWidth="1"/>
    <col min="6160" max="6160" width="3.28515625" style="7" customWidth="1"/>
    <col min="6161" max="6161" width="3.5703125" style="7" customWidth="1"/>
    <col min="6162" max="6162" width="4" style="7" customWidth="1"/>
    <col min="6163" max="6163" width="3.42578125" style="7" customWidth="1"/>
    <col min="6164" max="6164" width="3" style="7" customWidth="1"/>
    <col min="6165" max="6398" width="11.42578125" style="7"/>
    <col min="6399" max="6399" width="44.42578125" style="7" customWidth="1"/>
    <col min="6400" max="6400" width="13" style="7" customWidth="1"/>
    <col min="6401" max="6406" width="2" style="7" customWidth="1"/>
    <col min="6407" max="6407" width="2.42578125" style="7" customWidth="1"/>
    <col min="6408" max="6408" width="3" style="7" customWidth="1"/>
    <col min="6409" max="6411" width="2" style="7" customWidth="1"/>
    <col min="6412" max="6412" width="2.85546875" style="7" customWidth="1"/>
    <col min="6413" max="6413" width="3" style="7" customWidth="1"/>
    <col min="6414" max="6414" width="2.7109375" style="7" customWidth="1"/>
    <col min="6415" max="6415" width="2.42578125" style="7" customWidth="1"/>
    <col min="6416" max="6416" width="3.28515625" style="7" customWidth="1"/>
    <col min="6417" max="6417" width="3.5703125" style="7" customWidth="1"/>
    <col min="6418" max="6418" width="4" style="7" customWidth="1"/>
    <col min="6419" max="6419" width="3.42578125" style="7" customWidth="1"/>
    <col min="6420" max="6420" width="3" style="7" customWidth="1"/>
    <col min="6421" max="6654" width="11.42578125" style="7"/>
    <col min="6655" max="6655" width="44.42578125" style="7" customWidth="1"/>
    <col min="6656" max="6656" width="13" style="7" customWidth="1"/>
    <col min="6657" max="6662" width="2" style="7" customWidth="1"/>
    <col min="6663" max="6663" width="2.42578125" style="7" customWidth="1"/>
    <col min="6664" max="6664" width="3" style="7" customWidth="1"/>
    <col min="6665" max="6667" width="2" style="7" customWidth="1"/>
    <col min="6668" max="6668" width="2.85546875" style="7" customWidth="1"/>
    <col min="6669" max="6669" width="3" style="7" customWidth="1"/>
    <col min="6670" max="6670" width="2.7109375" style="7" customWidth="1"/>
    <col min="6671" max="6671" width="2.42578125" style="7" customWidth="1"/>
    <col min="6672" max="6672" width="3.28515625" style="7" customWidth="1"/>
    <col min="6673" max="6673" width="3.5703125" style="7" customWidth="1"/>
    <col min="6674" max="6674" width="4" style="7" customWidth="1"/>
    <col min="6675" max="6675" width="3.42578125" style="7" customWidth="1"/>
    <col min="6676" max="6676" width="3" style="7" customWidth="1"/>
    <col min="6677" max="6910" width="11.42578125" style="7"/>
    <col min="6911" max="6911" width="44.42578125" style="7" customWidth="1"/>
    <col min="6912" max="6912" width="13" style="7" customWidth="1"/>
    <col min="6913" max="6918" width="2" style="7" customWidth="1"/>
    <col min="6919" max="6919" width="2.42578125" style="7" customWidth="1"/>
    <col min="6920" max="6920" width="3" style="7" customWidth="1"/>
    <col min="6921" max="6923" width="2" style="7" customWidth="1"/>
    <col min="6924" max="6924" width="2.85546875" style="7" customWidth="1"/>
    <col min="6925" max="6925" width="3" style="7" customWidth="1"/>
    <col min="6926" max="6926" width="2.7109375" style="7" customWidth="1"/>
    <col min="6927" max="6927" width="2.42578125" style="7" customWidth="1"/>
    <col min="6928" max="6928" width="3.28515625" style="7" customWidth="1"/>
    <col min="6929" max="6929" width="3.5703125" style="7" customWidth="1"/>
    <col min="6930" max="6930" width="4" style="7" customWidth="1"/>
    <col min="6931" max="6931" width="3.42578125" style="7" customWidth="1"/>
    <col min="6932" max="6932" width="3" style="7" customWidth="1"/>
    <col min="6933" max="7166" width="11.42578125" style="7"/>
    <col min="7167" max="7167" width="44.42578125" style="7" customWidth="1"/>
    <col min="7168" max="7168" width="13" style="7" customWidth="1"/>
    <col min="7169" max="7174" width="2" style="7" customWidth="1"/>
    <col min="7175" max="7175" width="2.42578125" style="7" customWidth="1"/>
    <col min="7176" max="7176" width="3" style="7" customWidth="1"/>
    <col min="7177" max="7179" width="2" style="7" customWidth="1"/>
    <col min="7180" max="7180" width="2.85546875" style="7" customWidth="1"/>
    <col min="7181" max="7181" width="3" style="7" customWidth="1"/>
    <col min="7182" max="7182" width="2.7109375" style="7" customWidth="1"/>
    <col min="7183" max="7183" width="2.42578125" style="7" customWidth="1"/>
    <col min="7184" max="7184" width="3.28515625" style="7" customWidth="1"/>
    <col min="7185" max="7185" width="3.5703125" style="7" customWidth="1"/>
    <col min="7186" max="7186" width="4" style="7" customWidth="1"/>
    <col min="7187" max="7187" width="3.42578125" style="7" customWidth="1"/>
    <col min="7188" max="7188" width="3" style="7" customWidth="1"/>
    <col min="7189" max="7422" width="11.42578125" style="7"/>
    <col min="7423" max="7423" width="44.42578125" style="7" customWidth="1"/>
    <col min="7424" max="7424" width="13" style="7" customWidth="1"/>
    <col min="7425" max="7430" width="2" style="7" customWidth="1"/>
    <col min="7431" max="7431" width="2.42578125" style="7" customWidth="1"/>
    <col min="7432" max="7432" width="3" style="7" customWidth="1"/>
    <col min="7433" max="7435" width="2" style="7" customWidth="1"/>
    <col min="7436" max="7436" width="2.85546875" style="7" customWidth="1"/>
    <col min="7437" max="7437" width="3" style="7" customWidth="1"/>
    <col min="7438" max="7438" width="2.7109375" style="7" customWidth="1"/>
    <col min="7439" max="7439" width="2.42578125" style="7" customWidth="1"/>
    <col min="7440" max="7440" width="3.28515625" style="7" customWidth="1"/>
    <col min="7441" max="7441" width="3.5703125" style="7" customWidth="1"/>
    <col min="7442" max="7442" width="4" style="7" customWidth="1"/>
    <col min="7443" max="7443" width="3.42578125" style="7" customWidth="1"/>
    <col min="7444" max="7444" width="3" style="7" customWidth="1"/>
    <col min="7445" max="7678" width="11.42578125" style="7"/>
    <col min="7679" max="7679" width="44.42578125" style="7" customWidth="1"/>
    <col min="7680" max="7680" width="13" style="7" customWidth="1"/>
    <col min="7681" max="7686" width="2" style="7" customWidth="1"/>
    <col min="7687" max="7687" width="2.42578125" style="7" customWidth="1"/>
    <col min="7688" max="7688" width="3" style="7" customWidth="1"/>
    <col min="7689" max="7691" width="2" style="7" customWidth="1"/>
    <col min="7692" max="7692" width="2.85546875" style="7" customWidth="1"/>
    <col min="7693" max="7693" width="3" style="7" customWidth="1"/>
    <col min="7694" max="7694" width="2.7109375" style="7" customWidth="1"/>
    <col min="7695" max="7695" width="2.42578125" style="7" customWidth="1"/>
    <col min="7696" max="7696" width="3.28515625" style="7" customWidth="1"/>
    <col min="7697" max="7697" width="3.5703125" style="7" customWidth="1"/>
    <col min="7698" max="7698" width="4" style="7" customWidth="1"/>
    <col min="7699" max="7699" width="3.42578125" style="7" customWidth="1"/>
    <col min="7700" max="7700" width="3" style="7" customWidth="1"/>
    <col min="7701" max="7934" width="11.42578125" style="7"/>
    <col min="7935" max="7935" width="44.42578125" style="7" customWidth="1"/>
    <col min="7936" max="7936" width="13" style="7" customWidth="1"/>
    <col min="7937" max="7942" width="2" style="7" customWidth="1"/>
    <col min="7943" max="7943" width="2.42578125" style="7" customWidth="1"/>
    <col min="7944" max="7944" width="3" style="7" customWidth="1"/>
    <col min="7945" max="7947" width="2" style="7" customWidth="1"/>
    <col min="7948" max="7948" width="2.85546875" style="7" customWidth="1"/>
    <col min="7949" max="7949" width="3" style="7" customWidth="1"/>
    <col min="7950" max="7950" width="2.7109375" style="7" customWidth="1"/>
    <col min="7951" max="7951" width="2.42578125" style="7" customWidth="1"/>
    <col min="7952" max="7952" width="3.28515625" style="7" customWidth="1"/>
    <col min="7953" max="7953" width="3.5703125" style="7" customWidth="1"/>
    <col min="7954" max="7954" width="4" style="7" customWidth="1"/>
    <col min="7955" max="7955" width="3.42578125" style="7" customWidth="1"/>
    <col min="7956" max="7956" width="3" style="7" customWidth="1"/>
    <col min="7957" max="8190" width="11.42578125" style="7"/>
    <col min="8191" max="8191" width="44.42578125" style="7" customWidth="1"/>
    <col min="8192" max="8192" width="13" style="7" customWidth="1"/>
    <col min="8193" max="8198" width="2" style="7" customWidth="1"/>
    <col min="8199" max="8199" width="2.42578125" style="7" customWidth="1"/>
    <col min="8200" max="8200" width="3" style="7" customWidth="1"/>
    <col min="8201" max="8203" width="2" style="7" customWidth="1"/>
    <col min="8204" max="8204" width="2.85546875" style="7" customWidth="1"/>
    <col min="8205" max="8205" width="3" style="7" customWidth="1"/>
    <col min="8206" max="8206" width="2.7109375" style="7" customWidth="1"/>
    <col min="8207" max="8207" width="2.42578125" style="7" customWidth="1"/>
    <col min="8208" max="8208" width="3.28515625" style="7" customWidth="1"/>
    <col min="8209" max="8209" width="3.5703125" style="7" customWidth="1"/>
    <col min="8210" max="8210" width="4" style="7" customWidth="1"/>
    <col min="8211" max="8211" width="3.42578125" style="7" customWidth="1"/>
    <col min="8212" max="8212" width="3" style="7" customWidth="1"/>
    <col min="8213" max="8446" width="11.42578125" style="7"/>
    <col min="8447" max="8447" width="44.42578125" style="7" customWidth="1"/>
    <col min="8448" max="8448" width="13" style="7" customWidth="1"/>
    <col min="8449" max="8454" width="2" style="7" customWidth="1"/>
    <col min="8455" max="8455" width="2.42578125" style="7" customWidth="1"/>
    <col min="8456" max="8456" width="3" style="7" customWidth="1"/>
    <col min="8457" max="8459" width="2" style="7" customWidth="1"/>
    <col min="8460" max="8460" width="2.85546875" style="7" customWidth="1"/>
    <col min="8461" max="8461" width="3" style="7" customWidth="1"/>
    <col min="8462" max="8462" width="2.7109375" style="7" customWidth="1"/>
    <col min="8463" max="8463" width="2.42578125" style="7" customWidth="1"/>
    <col min="8464" max="8464" width="3.28515625" style="7" customWidth="1"/>
    <col min="8465" max="8465" width="3.5703125" style="7" customWidth="1"/>
    <col min="8466" max="8466" width="4" style="7" customWidth="1"/>
    <col min="8467" max="8467" width="3.42578125" style="7" customWidth="1"/>
    <col min="8468" max="8468" width="3" style="7" customWidth="1"/>
    <col min="8469" max="8702" width="11.42578125" style="7"/>
    <col min="8703" max="8703" width="44.42578125" style="7" customWidth="1"/>
    <col min="8704" max="8704" width="13" style="7" customWidth="1"/>
    <col min="8705" max="8710" width="2" style="7" customWidth="1"/>
    <col min="8711" max="8711" width="2.42578125" style="7" customWidth="1"/>
    <col min="8712" max="8712" width="3" style="7" customWidth="1"/>
    <col min="8713" max="8715" width="2" style="7" customWidth="1"/>
    <col min="8716" max="8716" width="2.85546875" style="7" customWidth="1"/>
    <col min="8717" max="8717" width="3" style="7" customWidth="1"/>
    <col min="8718" max="8718" width="2.7109375" style="7" customWidth="1"/>
    <col min="8719" max="8719" width="2.42578125" style="7" customWidth="1"/>
    <col min="8720" max="8720" width="3.28515625" style="7" customWidth="1"/>
    <col min="8721" max="8721" width="3.5703125" style="7" customWidth="1"/>
    <col min="8722" max="8722" width="4" style="7" customWidth="1"/>
    <col min="8723" max="8723" width="3.42578125" style="7" customWidth="1"/>
    <col min="8724" max="8724" width="3" style="7" customWidth="1"/>
    <col min="8725" max="8958" width="11.42578125" style="7"/>
    <col min="8959" max="8959" width="44.42578125" style="7" customWidth="1"/>
    <col min="8960" max="8960" width="13" style="7" customWidth="1"/>
    <col min="8961" max="8966" width="2" style="7" customWidth="1"/>
    <col min="8967" max="8967" width="2.42578125" style="7" customWidth="1"/>
    <col min="8968" max="8968" width="3" style="7" customWidth="1"/>
    <col min="8969" max="8971" width="2" style="7" customWidth="1"/>
    <col min="8972" max="8972" width="2.85546875" style="7" customWidth="1"/>
    <col min="8973" max="8973" width="3" style="7" customWidth="1"/>
    <col min="8974" max="8974" width="2.7109375" style="7" customWidth="1"/>
    <col min="8975" max="8975" width="2.42578125" style="7" customWidth="1"/>
    <col min="8976" max="8976" width="3.28515625" style="7" customWidth="1"/>
    <col min="8977" max="8977" width="3.5703125" style="7" customWidth="1"/>
    <col min="8978" max="8978" width="4" style="7" customWidth="1"/>
    <col min="8979" max="8979" width="3.42578125" style="7" customWidth="1"/>
    <col min="8980" max="8980" width="3" style="7" customWidth="1"/>
    <col min="8981" max="9214" width="11.42578125" style="7"/>
    <col min="9215" max="9215" width="44.42578125" style="7" customWidth="1"/>
    <col min="9216" max="9216" width="13" style="7" customWidth="1"/>
    <col min="9217" max="9222" width="2" style="7" customWidth="1"/>
    <col min="9223" max="9223" width="2.42578125" style="7" customWidth="1"/>
    <col min="9224" max="9224" width="3" style="7" customWidth="1"/>
    <col min="9225" max="9227" width="2" style="7" customWidth="1"/>
    <col min="9228" max="9228" width="2.85546875" style="7" customWidth="1"/>
    <col min="9229" max="9229" width="3" style="7" customWidth="1"/>
    <col min="9230" max="9230" width="2.7109375" style="7" customWidth="1"/>
    <col min="9231" max="9231" width="2.42578125" style="7" customWidth="1"/>
    <col min="9232" max="9232" width="3.28515625" style="7" customWidth="1"/>
    <col min="9233" max="9233" width="3.5703125" style="7" customWidth="1"/>
    <col min="9234" max="9234" width="4" style="7" customWidth="1"/>
    <col min="9235" max="9235" width="3.42578125" style="7" customWidth="1"/>
    <col min="9236" max="9236" width="3" style="7" customWidth="1"/>
    <col min="9237" max="9470" width="11.42578125" style="7"/>
    <col min="9471" max="9471" width="44.42578125" style="7" customWidth="1"/>
    <col min="9472" max="9472" width="13" style="7" customWidth="1"/>
    <col min="9473" max="9478" width="2" style="7" customWidth="1"/>
    <col min="9479" max="9479" width="2.42578125" style="7" customWidth="1"/>
    <col min="9480" max="9480" width="3" style="7" customWidth="1"/>
    <col min="9481" max="9483" width="2" style="7" customWidth="1"/>
    <col min="9484" max="9484" width="2.85546875" style="7" customWidth="1"/>
    <col min="9485" max="9485" width="3" style="7" customWidth="1"/>
    <col min="9486" max="9486" width="2.7109375" style="7" customWidth="1"/>
    <col min="9487" max="9487" width="2.42578125" style="7" customWidth="1"/>
    <col min="9488" max="9488" width="3.28515625" style="7" customWidth="1"/>
    <col min="9489" max="9489" width="3.5703125" style="7" customWidth="1"/>
    <col min="9490" max="9490" width="4" style="7" customWidth="1"/>
    <col min="9491" max="9491" width="3.42578125" style="7" customWidth="1"/>
    <col min="9492" max="9492" width="3" style="7" customWidth="1"/>
    <col min="9493" max="9726" width="11.42578125" style="7"/>
    <col min="9727" max="9727" width="44.42578125" style="7" customWidth="1"/>
    <col min="9728" max="9728" width="13" style="7" customWidth="1"/>
    <col min="9729" max="9734" width="2" style="7" customWidth="1"/>
    <col min="9735" max="9735" width="2.42578125" style="7" customWidth="1"/>
    <col min="9736" max="9736" width="3" style="7" customWidth="1"/>
    <col min="9737" max="9739" width="2" style="7" customWidth="1"/>
    <col min="9740" max="9740" width="2.85546875" style="7" customWidth="1"/>
    <col min="9741" max="9741" width="3" style="7" customWidth="1"/>
    <col min="9742" max="9742" width="2.7109375" style="7" customWidth="1"/>
    <col min="9743" max="9743" width="2.42578125" style="7" customWidth="1"/>
    <col min="9744" max="9744" width="3.28515625" style="7" customWidth="1"/>
    <col min="9745" max="9745" width="3.5703125" style="7" customWidth="1"/>
    <col min="9746" max="9746" width="4" style="7" customWidth="1"/>
    <col min="9747" max="9747" width="3.42578125" style="7" customWidth="1"/>
    <col min="9748" max="9748" width="3" style="7" customWidth="1"/>
    <col min="9749" max="9982" width="11.42578125" style="7"/>
    <col min="9983" max="9983" width="44.42578125" style="7" customWidth="1"/>
    <col min="9984" max="9984" width="13" style="7" customWidth="1"/>
    <col min="9985" max="9990" width="2" style="7" customWidth="1"/>
    <col min="9991" max="9991" width="2.42578125" style="7" customWidth="1"/>
    <col min="9992" max="9992" width="3" style="7" customWidth="1"/>
    <col min="9993" max="9995" width="2" style="7" customWidth="1"/>
    <col min="9996" max="9996" width="2.85546875" style="7" customWidth="1"/>
    <col min="9997" max="9997" width="3" style="7" customWidth="1"/>
    <col min="9998" max="9998" width="2.7109375" style="7" customWidth="1"/>
    <col min="9999" max="9999" width="2.42578125" style="7" customWidth="1"/>
    <col min="10000" max="10000" width="3.28515625" style="7" customWidth="1"/>
    <col min="10001" max="10001" width="3.5703125" style="7" customWidth="1"/>
    <col min="10002" max="10002" width="4" style="7" customWidth="1"/>
    <col min="10003" max="10003" width="3.42578125" style="7" customWidth="1"/>
    <col min="10004" max="10004" width="3" style="7" customWidth="1"/>
    <col min="10005" max="10238" width="11.42578125" style="7"/>
    <col min="10239" max="10239" width="44.42578125" style="7" customWidth="1"/>
    <col min="10240" max="10240" width="13" style="7" customWidth="1"/>
    <col min="10241" max="10246" width="2" style="7" customWidth="1"/>
    <col min="10247" max="10247" width="2.42578125" style="7" customWidth="1"/>
    <col min="10248" max="10248" width="3" style="7" customWidth="1"/>
    <col min="10249" max="10251" width="2" style="7" customWidth="1"/>
    <col min="10252" max="10252" width="2.85546875" style="7" customWidth="1"/>
    <col min="10253" max="10253" width="3" style="7" customWidth="1"/>
    <col min="10254" max="10254" width="2.7109375" style="7" customWidth="1"/>
    <col min="10255" max="10255" width="2.42578125" style="7" customWidth="1"/>
    <col min="10256" max="10256" width="3.28515625" style="7" customWidth="1"/>
    <col min="10257" max="10257" width="3.5703125" style="7" customWidth="1"/>
    <col min="10258" max="10258" width="4" style="7" customWidth="1"/>
    <col min="10259" max="10259" width="3.42578125" style="7" customWidth="1"/>
    <col min="10260" max="10260" width="3" style="7" customWidth="1"/>
    <col min="10261" max="10494" width="11.42578125" style="7"/>
    <col min="10495" max="10495" width="44.42578125" style="7" customWidth="1"/>
    <col min="10496" max="10496" width="13" style="7" customWidth="1"/>
    <col min="10497" max="10502" width="2" style="7" customWidth="1"/>
    <col min="10503" max="10503" width="2.42578125" style="7" customWidth="1"/>
    <col min="10504" max="10504" width="3" style="7" customWidth="1"/>
    <col min="10505" max="10507" width="2" style="7" customWidth="1"/>
    <col min="10508" max="10508" width="2.85546875" style="7" customWidth="1"/>
    <col min="10509" max="10509" width="3" style="7" customWidth="1"/>
    <col min="10510" max="10510" width="2.7109375" style="7" customWidth="1"/>
    <col min="10511" max="10511" width="2.42578125" style="7" customWidth="1"/>
    <col min="10512" max="10512" width="3.28515625" style="7" customWidth="1"/>
    <col min="10513" max="10513" width="3.5703125" style="7" customWidth="1"/>
    <col min="10514" max="10514" width="4" style="7" customWidth="1"/>
    <col min="10515" max="10515" width="3.42578125" style="7" customWidth="1"/>
    <col min="10516" max="10516" width="3" style="7" customWidth="1"/>
    <col min="10517" max="10750" width="11.42578125" style="7"/>
    <col min="10751" max="10751" width="44.42578125" style="7" customWidth="1"/>
    <col min="10752" max="10752" width="13" style="7" customWidth="1"/>
    <col min="10753" max="10758" width="2" style="7" customWidth="1"/>
    <col min="10759" max="10759" width="2.42578125" style="7" customWidth="1"/>
    <col min="10760" max="10760" width="3" style="7" customWidth="1"/>
    <col min="10761" max="10763" width="2" style="7" customWidth="1"/>
    <col min="10764" max="10764" width="2.85546875" style="7" customWidth="1"/>
    <col min="10765" max="10765" width="3" style="7" customWidth="1"/>
    <col min="10766" max="10766" width="2.7109375" style="7" customWidth="1"/>
    <col min="10767" max="10767" width="2.42578125" style="7" customWidth="1"/>
    <col min="10768" max="10768" width="3.28515625" style="7" customWidth="1"/>
    <col min="10769" max="10769" width="3.5703125" style="7" customWidth="1"/>
    <col min="10770" max="10770" width="4" style="7" customWidth="1"/>
    <col min="10771" max="10771" width="3.42578125" style="7" customWidth="1"/>
    <col min="10772" max="10772" width="3" style="7" customWidth="1"/>
    <col min="10773" max="11006" width="11.42578125" style="7"/>
    <col min="11007" max="11007" width="44.42578125" style="7" customWidth="1"/>
    <col min="11008" max="11008" width="13" style="7" customWidth="1"/>
    <col min="11009" max="11014" width="2" style="7" customWidth="1"/>
    <col min="11015" max="11015" width="2.42578125" style="7" customWidth="1"/>
    <col min="11016" max="11016" width="3" style="7" customWidth="1"/>
    <col min="11017" max="11019" width="2" style="7" customWidth="1"/>
    <col min="11020" max="11020" width="2.85546875" style="7" customWidth="1"/>
    <col min="11021" max="11021" width="3" style="7" customWidth="1"/>
    <col min="11022" max="11022" width="2.7109375" style="7" customWidth="1"/>
    <col min="11023" max="11023" width="2.42578125" style="7" customWidth="1"/>
    <col min="11024" max="11024" width="3.28515625" style="7" customWidth="1"/>
    <col min="11025" max="11025" width="3.5703125" style="7" customWidth="1"/>
    <col min="11026" max="11026" width="4" style="7" customWidth="1"/>
    <col min="11027" max="11027" width="3.42578125" style="7" customWidth="1"/>
    <col min="11028" max="11028" width="3" style="7" customWidth="1"/>
    <col min="11029" max="11262" width="11.42578125" style="7"/>
    <col min="11263" max="11263" width="44.42578125" style="7" customWidth="1"/>
    <col min="11264" max="11264" width="13" style="7" customWidth="1"/>
    <col min="11265" max="11270" width="2" style="7" customWidth="1"/>
    <col min="11271" max="11271" width="2.42578125" style="7" customWidth="1"/>
    <col min="11272" max="11272" width="3" style="7" customWidth="1"/>
    <col min="11273" max="11275" width="2" style="7" customWidth="1"/>
    <col min="11276" max="11276" width="2.85546875" style="7" customWidth="1"/>
    <col min="11277" max="11277" width="3" style="7" customWidth="1"/>
    <col min="11278" max="11278" width="2.7109375" style="7" customWidth="1"/>
    <col min="11279" max="11279" width="2.42578125" style="7" customWidth="1"/>
    <col min="11280" max="11280" width="3.28515625" style="7" customWidth="1"/>
    <col min="11281" max="11281" width="3.5703125" style="7" customWidth="1"/>
    <col min="11282" max="11282" width="4" style="7" customWidth="1"/>
    <col min="11283" max="11283" width="3.42578125" style="7" customWidth="1"/>
    <col min="11284" max="11284" width="3" style="7" customWidth="1"/>
    <col min="11285" max="11518" width="11.42578125" style="7"/>
    <col min="11519" max="11519" width="44.42578125" style="7" customWidth="1"/>
    <col min="11520" max="11520" width="13" style="7" customWidth="1"/>
    <col min="11521" max="11526" width="2" style="7" customWidth="1"/>
    <col min="11527" max="11527" width="2.42578125" style="7" customWidth="1"/>
    <col min="11528" max="11528" width="3" style="7" customWidth="1"/>
    <col min="11529" max="11531" width="2" style="7" customWidth="1"/>
    <col min="11532" max="11532" width="2.85546875" style="7" customWidth="1"/>
    <col min="11533" max="11533" width="3" style="7" customWidth="1"/>
    <col min="11534" max="11534" width="2.7109375" style="7" customWidth="1"/>
    <col min="11535" max="11535" width="2.42578125" style="7" customWidth="1"/>
    <col min="11536" max="11536" width="3.28515625" style="7" customWidth="1"/>
    <col min="11537" max="11537" width="3.5703125" style="7" customWidth="1"/>
    <col min="11538" max="11538" width="4" style="7" customWidth="1"/>
    <col min="11539" max="11539" width="3.42578125" style="7" customWidth="1"/>
    <col min="11540" max="11540" width="3" style="7" customWidth="1"/>
    <col min="11541" max="11774" width="11.42578125" style="7"/>
    <col min="11775" max="11775" width="44.42578125" style="7" customWidth="1"/>
    <col min="11776" max="11776" width="13" style="7" customWidth="1"/>
    <col min="11777" max="11782" width="2" style="7" customWidth="1"/>
    <col min="11783" max="11783" width="2.42578125" style="7" customWidth="1"/>
    <col min="11784" max="11784" width="3" style="7" customWidth="1"/>
    <col min="11785" max="11787" width="2" style="7" customWidth="1"/>
    <col min="11788" max="11788" width="2.85546875" style="7" customWidth="1"/>
    <col min="11789" max="11789" width="3" style="7" customWidth="1"/>
    <col min="11790" max="11790" width="2.7109375" style="7" customWidth="1"/>
    <col min="11791" max="11791" width="2.42578125" style="7" customWidth="1"/>
    <col min="11792" max="11792" width="3.28515625" style="7" customWidth="1"/>
    <col min="11793" max="11793" width="3.5703125" style="7" customWidth="1"/>
    <col min="11794" max="11794" width="4" style="7" customWidth="1"/>
    <col min="11795" max="11795" width="3.42578125" style="7" customWidth="1"/>
    <col min="11796" max="11796" width="3" style="7" customWidth="1"/>
    <col min="11797" max="12030" width="11.42578125" style="7"/>
    <col min="12031" max="12031" width="44.42578125" style="7" customWidth="1"/>
    <col min="12032" max="12032" width="13" style="7" customWidth="1"/>
    <col min="12033" max="12038" width="2" style="7" customWidth="1"/>
    <col min="12039" max="12039" width="2.42578125" style="7" customWidth="1"/>
    <col min="12040" max="12040" width="3" style="7" customWidth="1"/>
    <col min="12041" max="12043" width="2" style="7" customWidth="1"/>
    <col min="12044" max="12044" width="2.85546875" style="7" customWidth="1"/>
    <col min="12045" max="12045" width="3" style="7" customWidth="1"/>
    <col min="12046" max="12046" width="2.7109375" style="7" customWidth="1"/>
    <col min="12047" max="12047" width="2.42578125" style="7" customWidth="1"/>
    <col min="12048" max="12048" width="3.28515625" style="7" customWidth="1"/>
    <col min="12049" max="12049" width="3.5703125" style="7" customWidth="1"/>
    <col min="12050" max="12050" width="4" style="7" customWidth="1"/>
    <col min="12051" max="12051" width="3.42578125" style="7" customWidth="1"/>
    <col min="12052" max="12052" width="3" style="7" customWidth="1"/>
    <col min="12053" max="12286" width="11.42578125" style="7"/>
    <col min="12287" max="12287" width="44.42578125" style="7" customWidth="1"/>
    <col min="12288" max="12288" width="13" style="7" customWidth="1"/>
    <col min="12289" max="12294" width="2" style="7" customWidth="1"/>
    <col min="12295" max="12295" width="2.42578125" style="7" customWidth="1"/>
    <col min="12296" max="12296" width="3" style="7" customWidth="1"/>
    <col min="12297" max="12299" width="2" style="7" customWidth="1"/>
    <col min="12300" max="12300" width="2.85546875" style="7" customWidth="1"/>
    <col min="12301" max="12301" width="3" style="7" customWidth="1"/>
    <col min="12302" max="12302" width="2.7109375" style="7" customWidth="1"/>
    <col min="12303" max="12303" width="2.42578125" style="7" customWidth="1"/>
    <col min="12304" max="12304" width="3.28515625" style="7" customWidth="1"/>
    <col min="12305" max="12305" width="3.5703125" style="7" customWidth="1"/>
    <col min="12306" max="12306" width="4" style="7" customWidth="1"/>
    <col min="12307" max="12307" width="3.42578125" style="7" customWidth="1"/>
    <col min="12308" max="12308" width="3" style="7" customWidth="1"/>
    <col min="12309" max="12542" width="11.42578125" style="7"/>
    <col min="12543" max="12543" width="44.42578125" style="7" customWidth="1"/>
    <col min="12544" max="12544" width="13" style="7" customWidth="1"/>
    <col min="12545" max="12550" width="2" style="7" customWidth="1"/>
    <col min="12551" max="12551" width="2.42578125" style="7" customWidth="1"/>
    <col min="12552" max="12552" width="3" style="7" customWidth="1"/>
    <col min="12553" max="12555" width="2" style="7" customWidth="1"/>
    <col min="12556" max="12556" width="2.85546875" style="7" customWidth="1"/>
    <col min="12557" max="12557" width="3" style="7" customWidth="1"/>
    <col min="12558" max="12558" width="2.7109375" style="7" customWidth="1"/>
    <col min="12559" max="12559" width="2.42578125" style="7" customWidth="1"/>
    <col min="12560" max="12560" width="3.28515625" style="7" customWidth="1"/>
    <col min="12561" max="12561" width="3.5703125" style="7" customWidth="1"/>
    <col min="12562" max="12562" width="4" style="7" customWidth="1"/>
    <col min="12563" max="12563" width="3.42578125" style="7" customWidth="1"/>
    <col min="12564" max="12564" width="3" style="7" customWidth="1"/>
    <col min="12565" max="12798" width="11.42578125" style="7"/>
    <col min="12799" max="12799" width="44.42578125" style="7" customWidth="1"/>
    <col min="12800" max="12800" width="13" style="7" customWidth="1"/>
    <col min="12801" max="12806" width="2" style="7" customWidth="1"/>
    <col min="12807" max="12807" width="2.42578125" style="7" customWidth="1"/>
    <col min="12808" max="12808" width="3" style="7" customWidth="1"/>
    <col min="12809" max="12811" width="2" style="7" customWidth="1"/>
    <col min="12812" max="12812" width="2.85546875" style="7" customWidth="1"/>
    <col min="12813" max="12813" width="3" style="7" customWidth="1"/>
    <col min="12814" max="12814" width="2.7109375" style="7" customWidth="1"/>
    <col min="12815" max="12815" width="2.42578125" style="7" customWidth="1"/>
    <col min="12816" max="12816" width="3.28515625" style="7" customWidth="1"/>
    <col min="12817" max="12817" width="3.5703125" style="7" customWidth="1"/>
    <col min="12818" max="12818" width="4" style="7" customWidth="1"/>
    <col min="12819" max="12819" width="3.42578125" style="7" customWidth="1"/>
    <col min="12820" max="12820" width="3" style="7" customWidth="1"/>
    <col min="12821" max="13054" width="11.42578125" style="7"/>
    <col min="13055" max="13055" width="44.42578125" style="7" customWidth="1"/>
    <col min="13056" max="13056" width="13" style="7" customWidth="1"/>
    <col min="13057" max="13062" width="2" style="7" customWidth="1"/>
    <col min="13063" max="13063" width="2.42578125" style="7" customWidth="1"/>
    <col min="13064" max="13064" width="3" style="7" customWidth="1"/>
    <col min="13065" max="13067" width="2" style="7" customWidth="1"/>
    <col min="13068" max="13068" width="2.85546875" style="7" customWidth="1"/>
    <col min="13069" max="13069" width="3" style="7" customWidth="1"/>
    <col min="13070" max="13070" width="2.7109375" style="7" customWidth="1"/>
    <col min="13071" max="13071" width="2.42578125" style="7" customWidth="1"/>
    <col min="13072" max="13072" width="3.28515625" style="7" customWidth="1"/>
    <col min="13073" max="13073" width="3.5703125" style="7" customWidth="1"/>
    <col min="13074" max="13074" width="4" style="7" customWidth="1"/>
    <col min="13075" max="13075" width="3.42578125" style="7" customWidth="1"/>
    <col min="13076" max="13076" width="3" style="7" customWidth="1"/>
    <col min="13077" max="13310" width="11.42578125" style="7"/>
    <col min="13311" max="13311" width="44.42578125" style="7" customWidth="1"/>
    <col min="13312" max="13312" width="13" style="7" customWidth="1"/>
    <col min="13313" max="13318" width="2" style="7" customWidth="1"/>
    <col min="13319" max="13319" width="2.42578125" style="7" customWidth="1"/>
    <col min="13320" max="13320" width="3" style="7" customWidth="1"/>
    <col min="13321" max="13323" width="2" style="7" customWidth="1"/>
    <col min="13324" max="13324" width="2.85546875" style="7" customWidth="1"/>
    <col min="13325" max="13325" width="3" style="7" customWidth="1"/>
    <col min="13326" max="13326" width="2.7109375" style="7" customWidth="1"/>
    <col min="13327" max="13327" width="2.42578125" style="7" customWidth="1"/>
    <col min="13328" max="13328" width="3.28515625" style="7" customWidth="1"/>
    <col min="13329" max="13329" width="3.5703125" style="7" customWidth="1"/>
    <col min="13330" max="13330" width="4" style="7" customWidth="1"/>
    <col min="13331" max="13331" width="3.42578125" style="7" customWidth="1"/>
    <col min="13332" max="13332" width="3" style="7" customWidth="1"/>
    <col min="13333" max="13566" width="11.42578125" style="7"/>
    <col min="13567" max="13567" width="44.42578125" style="7" customWidth="1"/>
    <col min="13568" max="13568" width="13" style="7" customWidth="1"/>
    <col min="13569" max="13574" width="2" style="7" customWidth="1"/>
    <col min="13575" max="13575" width="2.42578125" style="7" customWidth="1"/>
    <col min="13576" max="13576" width="3" style="7" customWidth="1"/>
    <col min="13577" max="13579" width="2" style="7" customWidth="1"/>
    <col min="13580" max="13580" width="2.85546875" style="7" customWidth="1"/>
    <col min="13581" max="13581" width="3" style="7" customWidth="1"/>
    <col min="13582" max="13582" width="2.7109375" style="7" customWidth="1"/>
    <col min="13583" max="13583" width="2.42578125" style="7" customWidth="1"/>
    <col min="13584" max="13584" width="3.28515625" style="7" customWidth="1"/>
    <col min="13585" max="13585" width="3.5703125" style="7" customWidth="1"/>
    <col min="13586" max="13586" width="4" style="7" customWidth="1"/>
    <col min="13587" max="13587" width="3.42578125" style="7" customWidth="1"/>
    <col min="13588" max="13588" width="3" style="7" customWidth="1"/>
    <col min="13589" max="13822" width="11.42578125" style="7"/>
    <col min="13823" max="13823" width="44.42578125" style="7" customWidth="1"/>
    <col min="13824" max="13824" width="13" style="7" customWidth="1"/>
    <col min="13825" max="13830" width="2" style="7" customWidth="1"/>
    <col min="13831" max="13831" width="2.42578125" style="7" customWidth="1"/>
    <col min="13832" max="13832" width="3" style="7" customWidth="1"/>
    <col min="13833" max="13835" width="2" style="7" customWidth="1"/>
    <col min="13836" max="13836" width="2.85546875" style="7" customWidth="1"/>
    <col min="13837" max="13837" width="3" style="7" customWidth="1"/>
    <col min="13838" max="13838" width="2.7109375" style="7" customWidth="1"/>
    <col min="13839" max="13839" width="2.42578125" style="7" customWidth="1"/>
    <col min="13840" max="13840" width="3.28515625" style="7" customWidth="1"/>
    <col min="13841" max="13841" width="3.5703125" style="7" customWidth="1"/>
    <col min="13842" max="13842" width="4" style="7" customWidth="1"/>
    <col min="13843" max="13843" width="3.42578125" style="7" customWidth="1"/>
    <col min="13844" max="13844" width="3" style="7" customWidth="1"/>
    <col min="13845" max="14078" width="11.42578125" style="7"/>
    <col min="14079" max="14079" width="44.42578125" style="7" customWidth="1"/>
    <col min="14080" max="14080" width="13" style="7" customWidth="1"/>
    <col min="14081" max="14086" width="2" style="7" customWidth="1"/>
    <col min="14087" max="14087" width="2.42578125" style="7" customWidth="1"/>
    <col min="14088" max="14088" width="3" style="7" customWidth="1"/>
    <col min="14089" max="14091" width="2" style="7" customWidth="1"/>
    <col min="14092" max="14092" width="2.85546875" style="7" customWidth="1"/>
    <col min="14093" max="14093" width="3" style="7" customWidth="1"/>
    <col min="14094" max="14094" width="2.7109375" style="7" customWidth="1"/>
    <col min="14095" max="14095" width="2.42578125" style="7" customWidth="1"/>
    <col min="14096" max="14096" width="3.28515625" style="7" customWidth="1"/>
    <col min="14097" max="14097" width="3.5703125" style="7" customWidth="1"/>
    <col min="14098" max="14098" width="4" style="7" customWidth="1"/>
    <col min="14099" max="14099" width="3.42578125" style="7" customWidth="1"/>
    <col min="14100" max="14100" width="3" style="7" customWidth="1"/>
    <col min="14101" max="14334" width="11.42578125" style="7"/>
    <col min="14335" max="14335" width="44.42578125" style="7" customWidth="1"/>
    <col min="14336" max="14336" width="13" style="7" customWidth="1"/>
    <col min="14337" max="14342" width="2" style="7" customWidth="1"/>
    <col min="14343" max="14343" width="2.42578125" style="7" customWidth="1"/>
    <col min="14344" max="14344" width="3" style="7" customWidth="1"/>
    <col min="14345" max="14347" width="2" style="7" customWidth="1"/>
    <col min="14348" max="14348" width="2.85546875" style="7" customWidth="1"/>
    <col min="14349" max="14349" width="3" style="7" customWidth="1"/>
    <col min="14350" max="14350" width="2.7109375" style="7" customWidth="1"/>
    <col min="14351" max="14351" width="2.42578125" style="7" customWidth="1"/>
    <col min="14352" max="14352" width="3.28515625" style="7" customWidth="1"/>
    <col min="14353" max="14353" width="3.5703125" style="7" customWidth="1"/>
    <col min="14354" max="14354" width="4" style="7" customWidth="1"/>
    <col min="14355" max="14355" width="3.42578125" style="7" customWidth="1"/>
    <col min="14356" max="14356" width="3" style="7" customWidth="1"/>
    <col min="14357" max="14590" width="11.42578125" style="7"/>
    <col min="14591" max="14591" width="44.42578125" style="7" customWidth="1"/>
    <col min="14592" max="14592" width="13" style="7" customWidth="1"/>
    <col min="14593" max="14598" width="2" style="7" customWidth="1"/>
    <col min="14599" max="14599" width="2.42578125" style="7" customWidth="1"/>
    <col min="14600" max="14600" width="3" style="7" customWidth="1"/>
    <col min="14601" max="14603" width="2" style="7" customWidth="1"/>
    <col min="14604" max="14604" width="2.85546875" style="7" customWidth="1"/>
    <col min="14605" max="14605" width="3" style="7" customWidth="1"/>
    <col min="14606" max="14606" width="2.7109375" style="7" customWidth="1"/>
    <col min="14607" max="14607" width="2.42578125" style="7" customWidth="1"/>
    <col min="14608" max="14608" width="3.28515625" style="7" customWidth="1"/>
    <col min="14609" max="14609" width="3.5703125" style="7" customWidth="1"/>
    <col min="14610" max="14610" width="4" style="7" customWidth="1"/>
    <col min="14611" max="14611" width="3.42578125" style="7" customWidth="1"/>
    <col min="14612" max="14612" width="3" style="7" customWidth="1"/>
    <col min="14613" max="14846" width="11.42578125" style="7"/>
    <col min="14847" max="14847" width="44.42578125" style="7" customWidth="1"/>
    <col min="14848" max="14848" width="13" style="7" customWidth="1"/>
    <col min="14849" max="14854" width="2" style="7" customWidth="1"/>
    <col min="14855" max="14855" width="2.42578125" style="7" customWidth="1"/>
    <col min="14856" max="14856" width="3" style="7" customWidth="1"/>
    <col min="14857" max="14859" width="2" style="7" customWidth="1"/>
    <col min="14860" max="14860" width="2.85546875" style="7" customWidth="1"/>
    <col min="14861" max="14861" width="3" style="7" customWidth="1"/>
    <col min="14862" max="14862" width="2.7109375" style="7" customWidth="1"/>
    <col min="14863" max="14863" width="2.42578125" style="7" customWidth="1"/>
    <col min="14864" max="14864" width="3.28515625" style="7" customWidth="1"/>
    <col min="14865" max="14865" width="3.5703125" style="7" customWidth="1"/>
    <col min="14866" max="14866" width="4" style="7" customWidth="1"/>
    <col min="14867" max="14867" width="3.42578125" style="7" customWidth="1"/>
    <col min="14868" max="14868" width="3" style="7" customWidth="1"/>
    <col min="14869" max="15102" width="11.42578125" style="7"/>
    <col min="15103" max="15103" width="44.42578125" style="7" customWidth="1"/>
    <col min="15104" max="15104" width="13" style="7" customWidth="1"/>
    <col min="15105" max="15110" width="2" style="7" customWidth="1"/>
    <col min="15111" max="15111" width="2.42578125" style="7" customWidth="1"/>
    <col min="15112" max="15112" width="3" style="7" customWidth="1"/>
    <col min="15113" max="15115" width="2" style="7" customWidth="1"/>
    <col min="15116" max="15116" width="2.85546875" style="7" customWidth="1"/>
    <col min="15117" max="15117" width="3" style="7" customWidth="1"/>
    <col min="15118" max="15118" width="2.7109375" style="7" customWidth="1"/>
    <col min="15119" max="15119" width="2.42578125" style="7" customWidth="1"/>
    <col min="15120" max="15120" width="3.28515625" style="7" customWidth="1"/>
    <col min="15121" max="15121" width="3.5703125" style="7" customWidth="1"/>
    <col min="15122" max="15122" width="4" style="7" customWidth="1"/>
    <col min="15123" max="15123" width="3.42578125" style="7" customWidth="1"/>
    <col min="15124" max="15124" width="3" style="7" customWidth="1"/>
    <col min="15125" max="15358" width="11.42578125" style="7"/>
    <col min="15359" max="15359" width="44.42578125" style="7" customWidth="1"/>
    <col min="15360" max="15360" width="13" style="7" customWidth="1"/>
    <col min="15361" max="15366" width="2" style="7" customWidth="1"/>
    <col min="15367" max="15367" width="2.42578125" style="7" customWidth="1"/>
    <col min="15368" max="15368" width="3" style="7" customWidth="1"/>
    <col min="15369" max="15371" width="2" style="7" customWidth="1"/>
    <col min="15372" max="15372" width="2.85546875" style="7" customWidth="1"/>
    <col min="15373" max="15373" width="3" style="7" customWidth="1"/>
    <col min="15374" max="15374" width="2.7109375" style="7" customWidth="1"/>
    <col min="15375" max="15375" width="2.42578125" style="7" customWidth="1"/>
    <col min="15376" max="15376" width="3.28515625" style="7" customWidth="1"/>
    <col min="15377" max="15377" width="3.5703125" style="7" customWidth="1"/>
    <col min="15378" max="15378" width="4" style="7" customWidth="1"/>
    <col min="15379" max="15379" width="3.42578125" style="7" customWidth="1"/>
    <col min="15380" max="15380" width="3" style="7" customWidth="1"/>
    <col min="15381" max="15614" width="11.42578125" style="7"/>
    <col min="15615" max="15615" width="44.42578125" style="7" customWidth="1"/>
    <col min="15616" max="15616" width="13" style="7" customWidth="1"/>
    <col min="15617" max="15622" width="2" style="7" customWidth="1"/>
    <col min="15623" max="15623" width="2.42578125" style="7" customWidth="1"/>
    <col min="15624" max="15624" width="3" style="7" customWidth="1"/>
    <col min="15625" max="15627" width="2" style="7" customWidth="1"/>
    <col min="15628" max="15628" width="2.85546875" style="7" customWidth="1"/>
    <col min="15629" max="15629" width="3" style="7" customWidth="1"/>
    <col min="15630" max="15630" width="2.7109375" style="7" customWidth="1"/>
    <col min="15631" max="15631" width="2.42578125" style="7" customWidth="1"/>
    <col min="15632" max="15632" width="3.28515625" style="7" customWidth="1"/>
    <col min="15633" max="15633" width="3.5703125" style="7" customWidth="1"/>
    <col min="15634" max="15634" width="4" style="7" customWidth="1"/>
    <col min="15635" max="15635" width="3.42578125" style="7" customWidth="1"/>
    <col min="15636" max="15636" width="3" style="7" customWidth="1"/>
    <col min="15637" max="15870" width="11.42578125" style="7"/>
    <col min="15871" max="15871" width="44.42578125" style="7" customWidth="1"/>
    <col min="15872" max="15872" width="13" style="7" customWidth="1"/>
    <col min="15873" max="15878" width="2" style="7" customWidth="1"/>
    <col min="15879" max="15879" width="2.42578125" style="7" customWidth="1"/>
    <col min="15880" max="15880" width="3" style="7" customWidth="1"/>
    <col min="15881" max="15883" width="2" style="7" customWidth="1"/>
    <col min="15884" max="15884" width="2.85546875" style="7" customWidth="1"/>
    <col min="15885" max="15885" width="3" style="7" customWidth="1"/>
    <col min="15886" max="15886" width="2.7109375" style="7" customWidth="1"/>
    <col min="15887" max="15887" width="2.42578125" style="7" customWidth="1"/>
    <col min="15888" max="15888" width="3.28515625" style="7" customWidth="1"/>
    <col min="15889" max="15889" width="3.5703125" style="7" customWidth="1"/>
    <col min="15890" max="15890" width="4" style="7" customWidth="1"/>
    <col min="15891" max="15891" width="3.42578125" style="7" customWidth="1"/>
    <col min="15892" max="15892" width="3" style="7" customWidth="1"/>
    <col min="15893" max="16126" width="11.42578125" style="7"/>
    <col min="16127" max="16127" width="44.42578125" style="7" customWidth="1"/>
    <col min="16128" max="16128" width="13" style="7" customWidth="1"/>
    <col min="16129" max="16134" width="2" style="7" customWidth="1"/>
    <col min="16135" max="16135" width="2.42578125" style="7" customWidth="1"/>
    <col min="16136" max="16136" width="3" style="7" customWidth="1"/>
    <col min="16137" max="16139" width="2" style="7" customWidth="1"/>
    <col min="16140" max="16140" width="2.85546875" style="7" customWidth="1"/>
    <col min="16141" max="16141" width="3" style="7" customWidth="1"/>
    <col min="16142" max="16142" width="2.7109375" style="7" customWidth="1"/>
    <col min="16143" max="16143" width="2.42578125" style="7" customWidth="1"/>
    <col min="16144" max="16144" width="3.28515625" style="7" customWidth="1"/>
    <col min="16145" max="16145" width="3.5703125" style="7" customWidth="1"/>
    <col min="16146" max="16146" width="4" style="7" customWidth="1"/>
    <col min="16147" max="16147" width="3.42578125" style="7" customWidth="1"/>
    <col min="16148" max="16148" width="3" style="7" customWidth="1"/>
    <col min="16149" max="16384" width="11.42578125" style="7"/>
  </cols>
  <sheetData>
    <row r="1" spans="1:68" x14ac:dyDescent="0.2">
      <c r="A1" s="977" t="s">
        <v>186</v>
      </c>
      <c r="B1" s="977"/>
      <c r="C1" s="540"/>
      <c r="D1" s="541"/>
      <c r="E1" s="541"/>
      <c r="F1" s="541"/>
      <c r="G1" s="727"/>
      <c r="H1" s="727"/>
      <c r="I1" s="10"/>
      <c r="J1" s="10"/>
      <c r="K1" s="10"/>
      <c r="L1" s="10"/>
      <c r="M1" s="10"/>
      <c r="N1" s="10"/>
      <c r="O1" s="10"/>
      <c r="P1" s="10"/>
      <c r="Q1" s="10"/>
      <c r="R1" s="10"/>
      <c r="S1" s="10"/>
      <c r="T1" s="10"/>
      <c r="U1" s="10"/>
      <c r="V1" s="10"/>
      <c r="W1" s="10"/>
      <c r="X1" s="10"/>
      <c r="Y1" s="10"/>
      <c r="Z1" s="10"/>
      <c r="AA1" s="10"/>
      <c r="AB1" s="10"/>
      <c r="AC1" s="10"/>
    </row>
    <row r="2" spans="1:68" x14ac:dyDescent="0.2">
      <c r="A2" s="978" t="s">
        <v>46</v>
      </c>
      <c r="B2" s="978"/>
    </row>
    <row r="3" spans="1:68" x14ac:dyDescent="0.2">
      <c r="A3" s="539"/>
    </row>
    <row r="4" spans="1:68" x14ac:dyDescent="0.2">
      <c r="A4" s="978" t="str">
        <f>'4. CC D'!A4</f>
        <v>Operación: Programa de Mejoramiento de Caminos Vecinales II (PMCV)</v>
      </c>
      <c r="B4" s="978"/>
    </row>
    <row r="5" spans="1:68" x14ac:dyDescent="0.2">
      <c r="A5" s="539"/>
    </row>
    <row r="6" spans="1:68" x14ac:dyDescent="0.2">
      <c r="A6" s="979" t="s">
        <v>175</v>
      </c>
      <c r="B6" s="979"/>
    </row>
    <row r="7" spans="1:68" s="10" customFormat="1" x14ac:dyDescent="0.2">
      <c r="A7" s="197"/>
      <c r="B7" s="198"/>
      <c r="C7" s="545"/>
      <c r="D7" s="545"/>
      <c r="E7" s="546"/>
      <c r="F7" s="546"/>
      <c r="G7" s="728" t="s">
        <v>0</v>
      </c>
      <c r="H7" s="728" t="s">
        <v>12</v>
      </c>
      <c r="I7" s="973" t="s">
        <v>40</v>
      </c>
      <c r="J7" s="973"/>
      <c r="K7" s="973"/>
      <c r="L7" s="973"/>
      <c r="M7" s="973"/>
      <c r="N7" s="973"/>
      <c r="O7" s="973"/>
      <c r="P7" s="973"/>
      <c r="Q7" s="973"/>
      <c r="R7" s="973"/>
      <c r="S7" s="973"/>
      <c r="T7" s="973"/>
      <c r="U7" s="973" t="s">
        <v>41</v>
      </c>
      <c r="V7" s="973"/>
      <c r="W7" s="973"/>
      <c r="X7" s="973"/>
      <c r="Y7" s="973"/>
      <c r="Z7" s="973"/>
      <c r="AA7" s="973"/>
      <c r="AB7" s="973"/>
      <c r="AC7" s="973"/>
      <c r="AD7" s="973"/>
      <c r="AE7" s="973"/>
      <c r="AF7" s="973"/>
      <c r="AG7" s="973" t="s">
        <v>42</v>
      </c>
      <c r="AH7" s="973"/>
      <c r="AI7" s="973"/>
      <c r="AJ7" s="973"/>
      <c r="AK7" s="973"/>
      <c r="AL7" s="973"/>
      <c r="AM7" s="973"/>
      <c r="AN7" s="973"/>
      <c r="AO7" s="973"/>
      <c r="AP7" s="973"/>
      <c r="AQ7" s="973"/>
      <c r="AR7" s="973"/>
      <c r="AS7" s="973" t="s">
        <v>43</v>
      </c>
      <c r="AT7" s="973"/>
      <c r="AU7" s="973"/>
      <c r="AV7" s="973"/>
      <c r="AW7" s="973"/>
      <c r="AX7" s="973"/>
      <c r="AY7" s="973"/>
      <c r="AZ7" s="973"/>
      <c r="BA7" s="973"/>
      <c r="BB7" s="973"/>
      <c r="BC7" s="973"/>
      <c r="BD7" s="973"/>
      <c r="BE7" s="973" t="s">
        <v>44</v>
      </c>
      <c r="BF7" s="973"/>
      <c r="BG7" s="973"/>
      <c r="BH7" s="973"/>
      <c r="BI7" s="973"/>
      <c r="BJ7" s="973"/>
      <c r="BK7" s="973"/>
      <c r="BL7" s="973"/>
      <c r="BM7" s="973"/>
      <c r="BN7" s="973"/>
      <c r="BO7" s="973"/>
      <c r="BP7" s="973"/>
    </row>
    <row r="8" spans="1:68" x14ac:dyDescent="0.2">
      <c r="A8" s="972"/>
      <c r="B8" s="974" t="s">
        <v>13</v>
      </c>
      <c r="C8" s="974" t="s">
        <v>200</v>
      </c>
      <c r="D8" s="975" t="s">
        <v>201</v>
      </c>
      <c r="E8" s="975" t="s">
        <v>14</v>
      </c>
      <c r="F8" s="975" t="s">
        <v>15</v>
      </c>
      <c r="G8" s="729" t="s">
        <v>4</v>
      </c>
      <c r="H8" s="729"/>
      <c r="I8" s="976" t="s">
        <v>16</v>
      </c>
      <c r="J8" s="976"/>
      <c r="K8" s="976"/>
      <c r="L8" s="976" t="s">
        <v>17</v>
      </c>
      <c r="M8" s="976"/>
      <c r="N8" s="976"/>
      <c r="O8" s="976" t="s">
        <v>18</v>
      </c>
      <c r="P8" s="976"/>
      <c r="Q8" s="976"/>
      <c r="R8" s="976" t="s">
        <v>19</v>
      </c>
      <c r="S8" s="976"/>
      <c r="T8" s="976"/>
      <c r="U8" s="976" t="s">
        <v>16</v>
      </c>
      <c r="V8" s="976"/>
      <c r="W8" s="976"/>
      <c r="X8" s="976" t="s">
        <v>17</v>
      </c>
      <c r="Y8" s="976"/>
      <c r="Z8" s="976"/>
      <c r="AA8" s="976" t="s">
        <v>18</v>
      </c>
      <c r="AB8" s="976"/>
      <c r="AC8" s="976"/>
      <c r="AD8" s="976" t="s">
        <v>19</v>
      </c>
      <c r="AE8" s="976"/>
      <c r="AF8" s="976"/>
      <c r="AG8" s="976" t="s">
        <v>16</v>
      </c>
      <c r="AH8" s="976"/>
      <c r="AI8" s="976"/>
      <c r="AJ8" s="976" t="s">
        <v>17</v>
      </c>
      <c r="AK8" s="976"/>
      <c r="AL8" s="976"/>
      <c r="AM8" s="976" t="s">
        <v>18</v>
      </c>
      <c r="AN8" s="976"/>
      <c r="AO8" s="976"/>
      <c r="AP8" s="976" t="s">
        <v>19</v>
      </c>
      <c r="AQ8" s="976"/>
      <c r="AR8" s="976"/>
      <c r="AS8" s="976" t="s">
        <v>16</v>
      </c>
      <c r="AT8" s="976"/>
      <c r="AU8" s="976"/>
      <c r="AV8" s="976" t="s">
        <v>17</v>
      </c>
      <c r="AW8" s="976"/>
      <c r="AX8" s="976"/>
      <c r="AY8" s="976" t="s">
        <v>18</v>
      </c>
      <c r="AZ8" s="976"/>
      <c r="BA8" s="976"/>
      <c r="BB8" s="976" t="s">
        <v>19</v>
      </c>
      <c r="BC8" s="976"/>
      <c r="BD8" s="976"/>
      <c r="BE8" s="976" t="s">
        <v>16</v>
      </c>
      <c r="BF8" s="976"/>
      <c r="BG8" s="976"/>
      <c r="BH8" s="976" t="s">
        <v>17</v>
      </c>
      <c r="BI8" s="976"/>
      <c r="BJ8" s="976"/>
      <c r="BK8" s="976" t="s">
        <v>18</v>
      </c>
      <c r="BL8" s="976"/>
      <c r="BM8" s="976"/>
      <c r="BN8" s="976" t="s">
        <v>19</v>
      </c>
      <c r="BO8" s="976"/>
      <c r="BP8" s="976"/>
    </row>
    <row r="9" spans="1:68" x14ac:dyDescent="0.2">
      <c r="A9" s="972"/>
      <c r="B9" s="974"/>
      <c r="C9" s="974"/>
      <c r="D9" s="975"/>
      <c r="E9" s="975"/>
      <c r="F9" s="975"/>
      <c r="G9" s="729"/>
      <c r="H9" s="729"/>
      <c r="I9" s="199">
        <v>1</v>
      </c>
      <c r="J9" s="199">
        <v>2</v>
      </c>
      <c r="K9" s="199">
        <v>3</v>
      </c>
      <c r="L9" s="199">
        <v>4</v>
      </c>
      <c r="M9" s="199">
        <v>5</v>
      </c>
      <c r="N9" s="199">
        <v>6</v>
      </c>
      <c r="O9" s="199">
        <v>7</v>
      </c>
      <c r="P9" s="199">
        <v>8</v>
      </c>
      <c r="Q9" s="199">
        <v>9</v>
      </c>
      <c r="R9" s="199">
        <v>10</v>
      </c>
      <c r="S9" s="199">
        <v>11</v>
      </c>
      <c r="T9" s="199">
        <v>12</v>
      </c>
      <c r="U9" s="199">
        <v>13</v>
      </c>
      <c r="V9" s="199">
        <v>14</v>
      </c>
      <c r="W9" s="199">
        <v>15</v>
      </c>
      <c r="X9" s="199">
        <v>16</v>
      </c>
      <c r="Y9" s="199">
        <v>17</v>
      </c>
      <c r="Z9" s="199">
        <v>18</v>
      </c>
      <c r="AA9" s="199">
        <v>19</v>
      </c>
      <c r="AB9" s="199">
        <v>20</v>
      </c>
      <c r="AC9" s="199">
        <v>21</v>
      </c>
      <c r="AD9" s="199">
        <v>22</v>
      </c>
      <c r="AE9" s="199">
        <v>23</v>
      </c>
      <c r="AF9" s="199">
        <v>24</v>
      </c>
      <c r="AG9" s="199">
        <v>25</v>
      </c>
      <c r="AH9" s="199">
        <v>26</v>
      </c>
      <c r="AI9" s="199">
        <v>27</v>
      </c>
      <c r="AJ9" s="199">
        <v>28</v>
      </c>
      <c r="AK9" s="199">
        <v>29</v>
      </c>
      <c r="AL9" s="199">
        <v>30</v>
      </c>
      <c r="AM9" s="199">
        <v>31</v>
      </c>
      <c r="AN9" s="199">
        <v>32</v>
      </c>
      <c r="AO9" s="199">
        <v>33</v>
      </c>
      <c r="AP9" s="199">
        <v>34</v>
      </c>
      <c r="AQ9" s="199">
        <v>35</v>
      </c>
      <c r="AR9" s="199">
        <v>36</v>
      </c>
      <c r="AS9" s="199">
        <v>37</v>
      </c>
      <c r="AT9" s="199">
        <v>38</v>
      </c>
      <c r="AU9" s="199">
        <v>39</v>
      </c>
      <c r="AV9" s="199">
        <v>40</v>
      </c>
      <c r="AW9" s="199">
        <v>41</v>
      </c>
      <c r="AX9" s="199">
        <v>42</v>
      </c>
      <c r="AY9" s="199">
        <v>43</v>
      </c>
      <c r="AZ9" s="199">
        <v>44</v>
      </c>
      <c r="BA9" s="199">
        <v>45</v>
      </c>
      <c r="BB9" s="199">
        <v>46</v>
      </c>
      <c r="BC9" s="199">
        <v>47</v>
      </c>
      <c r="BD9" s="199">
        <v>48</v>
      </c>
      <c r="BE9" s="199">
        <v>49</v>
      </c>
      <c r="BF9" s="199">
        <v>50</v>
      </c>
      <c r="BG9" s="199">
        <v>51</v>
      </c>
      <c r="BH9" s="199">
        <v>52</v>
      </c>
      <c r="BI9" s="199">
        <v>53</v>
      </c>
      <c r="BJ9" s="199">
        <v>54</v>
      </c>
      <c r="BK9" s="199">
        <v>55</v>
      </c>
      <c r="BL9" s="199">
        <v>56</v>
      </c>
      <c r="BM9" s="199">
        <v>57</v>
      </c>
      <c r="BN9" s="199">
        <v>58</v>
      </c>
      <c r="BO9" s="199">
        <v>59</v>
      </c>
      <c r="BP9" s="199">
        <v>60</v>
      </c>
    </row>
    <row r="10" spans="1:68" x14ac:dyDescent="0.2">
      <c r="A10" s="245" t="s">
        <v>20</v>
      </c>
      <c r="B10" s="246" t="s">
        <v>21</v>
      </c>
      <c r="C10" s="547"/>
      <c r="D10" s="548"/>
      <c r="E10" s="196"/>
      <c r="F10" s="196"/>
      <c r="G10" s="730"/>
      <c r="H10" s="730"/>
      <c r="I10" s="3"/>
      <c r="J10" s="3"/>
      <c r="K10" s="3"/>
      <c r="L10" s="3"/>
      <c r="M10" s="3"/>
      <c r="N10" s="3"/>
      <c r="O10" s="3"/>
      <c r="P10" s="3"/>
      <c r="Q10" s="3"/>
      <c r="R10" s="3"/>
      <c r="S10" s="3"/>
      <c r="T10" s="3"/>
      <c r="U10" s="238"/>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68" x14ac:dyDescent="0.2">
      <c r="A11" s="16" t="s">
        <v>22</v>
      </c>
      <c r="B11" s="17" t="s">
        <v>23</v>
      </c>
      <c r="C11" s="549"/>
      <c r="D11" s="550"/>
      <c r="E11" s="186"/>
      <c r="F11" s="186"/>
      <c r="G11" s="731"/>
      <c r="H11" s="731"/>
      <c r="I11" s="242"/>
      <c r="J11" s="242"/>
      <c r="K11" s="242"/>
      <c r="L11" s="242"/>
      <c r="M11" s="242"/>
      <c r="N11" s="242"/>
      <c r="O11" s="242"/>
      <c r="P11" s="242"/>
      <c r="Q11" s="242"/>
      <c r="R11" s="242"/>
      <c r="S11" s="242"/>
      <c r="T11" s="242"/>
      <c r="U11" s="238"/>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spans="1:68" x14ac:dyDescent="0.2">
      <c r="A12" s="4" t="s">
        <v>24</v>
      </c>
      <c r="B12" s="5" t="s">
        <v>151</v>
      </c>
      <c r="C12" s="551"/>
      <c r="D12" s="552"/>
      <c r="E12" s="187"/>
      <c r="F12" s="187"/>
      <c r="G12" s="72"/>
      <c r="H12" s="72"/>
      <c r="I12" s="242"/>
      <c r="J12" s="242"/>
      <c r="K12" s="242"/>
      <c r="L12" s="242"/>
      <c r="M12" s="242"/>
      <c r="N12" s="242"/>
      <c r="O12" s="242"/>
      <c r="P12" s="242"/>
      <c r="Q12" s="242"/>
      <c r="R12" s="242"/>
      <c r="S12" s="242"/>
      <c r="T12" s="242"/>
      <c r="U12" s="238"/>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spans="1:68" x14ac:dyDescent="0.2">
      <c r="A13" s="4" t="s">
        <v>25</v>
      </c>
      <c r="B13" s="5" t="s">
        <v>152</v>
      </c>
      <c r="C13" s="551"/>
      <c r="D13" s="552"/>
      <c r="E13" s="187"/>
      <c r="F13" s="187"/>
      <c r="G13" s="72"/>
      <c r="H13" s="72"/>
      <c r="I13" s="242"/>
      <c r="J13" s="242"/>
      <c r="K13" s="242"/>
      <c r="L13" s="242"/>
      <c r="M13" s="242"/>
      <c r="N13" s="242"/>
      <c r="O13" s="242"/>
      <c r="P13" s="242"/>
      <c r="Q13" s="242"/>
      <c r="R13" s="242"/>
      <c r="S13" s="242"/>
      <c r="T13" s="242"/>
      <c r="U13" s="238"/>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spans="1:68" x14ac:dyDescent="0.2">
      <c r="A14" s="4" t="s">
        <v>26</v>
      </c>
      <c r="B14" s="5" t="s">
        <v>153</v>
      </c>
      <c r="C14" s="551"/>
      <c r="D14" s="552"/>
      <c r="E14" s="187"/>
      <c r="F14" s="187"/>
      <c r="G14" s="72"/>
      <c r="H14" s="72"/>
      <c r="I14" s="242"/>
      <c r="J14" s="242"/>
      <c r="K14" s="242"/>
      <c r="L14" s="242"/>
      <c r="M14" s="242"/>
      <c r="N14" s="242"/>
      <c r="O14" s="242"/>
      <c r="P14" s="242"/>
      <c r="Q14" s="242"/>
      <c r="R14" s="242"/>
      <c r="S14" s="242"/>
      <c r="T14" s="242"/>
      <c r="U14" s="238"/>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spans="1:68" x14ac:dyDescent="0.2">
      <c r="A15" s="4" t="s">
        <v>27</v>
      </c>
      <c r="B15" s="5" t="s">
        <v>154</v>
      </c>
      <c r="C15" s="551"/>
      <c r="D15" s="552"/>
      <c r="E15" s="187"/>
      <c r="F15" s="187"/>
      <c r="G15" s="72"/>
      <c r="H15" s="72"/>
      <c r="I15" s="242"/>
      <c r="J15" s="242"/>
      <c r="K15" s="242"/>
      <c r="L15" s="242"/>
      <c r="M15" s="242"/>
      <c r="N15" s="242"/>
      <c r="O15" s="242"/>
      <c r="P15" s="242"/>
      <c r="Q15" s="242"/>
      <c r="R15" s="242"/>
      <c r="S15" s="242"/>
      <c r="T15" s="242"/>
      <c r="U15" s="238"/>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spans="1:68" x14ac:dyDescent="0.2">
      <c r="A16" s="4" t="s">
        <v>29</v>
      </c>
      <c r="B16" s="5" t="s">
        <v>28</v>
      </c>
      <c r="C16" s="551"/>
      <c r="D16" s="552"/>
      <c r="E16" s="187"/>
      <c r="F16" s="187"/>
      <c r="G16" s="72"/>
      <c r="H16" s="72"/>
      <c r="I16" s="242"/>
      <c r="J16" s="242"/>
      <c r="K16" s="242"/>
      <c r="L16" s="242"/>
      <c r="M16" s="242"/>
      <c r="N16" s="242"/>
      <c r="O16" s="242"/>
      <c r="P16" s="242"/>
      <c r="Q16" s="242"/>
      <c r="R16" s="242"/>
      <c r="S16" s="242"/>
      <c r="T16" s="242"/>
      <c r="U16" s="238"/>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row>
    <row r="17" spans="1:68" x14ac:dyDescent="0.2">
      <c r="A17" s="4" t="s">
        <v>149</v>
      </c>
      <c r="B17" s="5" t="s">
        <v>30</v>
      </c>
      <c r="C17" s="551"/>
      <c r="D17" s="552"/>
      <c r="E17" s="187"/>
      <c r="F17" s="187"/>
      <c r="G17" s="72"/>
      <c r="H17" s="72"/>
      <c r="I17" s="242"/>
      <c r="J17" s="242"/>
      <c r="K17" s="242"/>
      <c r="L17" s="242"/>
      <c r="M17" s="242"/>
      <c r="N17" s="242"/>
      <c r="O17" s="242"/>
      <c r="P17" s="242"/>
      <c r="Q17" s="242"/>
      <c r="R17" s="242"/>
      <c r="S17" s="242"/>
      <c r="T17" s="242"/>
      <c r="U17" s="238"/>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1:68" x14ac:dyDescent="0.2">
      <c r="A18" s="16"/>
      <c r="B18" s="17" t="s">
        <v>31</v>
      </c>
      <c r="C18" s="549"/>
      <c r="D18" s="550"/>
      <c r="E18" s="186"/>
      <c r="F18" s="186"/>
      <c r="G18" s="731"/>
      <c r="H18" s="731"/>
      <c r="I18" s="242"/>
      <c r="J18" s="242"/>
      <c r="K18" s="242"/>
      <c r="L18" s="242"/>
      <c r="M18" s="242"/>
      <c r="N18" s="242"/>
      <c r="O18" s="242"/>
      <c r="P18" s="242"/>
      <c r="Q18" s="242"/>
      <c r="R18" s="242"/>
      <c r="S18" s="242"/>
      <c r="T18" s="242"/>
      <c r="U18" s="238"/>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1:68" x14ac:dyDescent="0.2">
      <c r="A19" s="4" t="s">
        <v>32</v>
      </c>
      <c r="B19" s="5" t="s">
        <v>155</v>
      </c>
      <c r="C19" s="551"/>
      <c r="D19" s="552"/>
      <c r="E19" s="187"/>
      <c r="F19" s="187"/>
      <c r="G19" s="72"/>
      <c r="H19" s="72"/>
      <c r="I19" s="242"/>
      <c r="J19" s="242"/>
      <c r="K19" s="242"/>
      <c r="L19" s="242"/>
      <c r="M19" s="242"/>
      <c r="N19" s="242"/>
      <c r="O19" s="242"/>
      <c r="P19" s="242"/>
      <c r="Q19" s="242"/>
      <c r="R19" s="242"/>
      <c r="S19" s="242"/>
      <c r="T19" s="242"/>
      <c r="U19" s="238"/>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row>
    <row r="20" spans="1:68" x14ac:dyDescent="0.2">
      <c r="A20" s="4" t="s">
        <v>33</v>
      </c>
      <c r="B20" s="5" t="s">
        <v>156</v>
      </c>
      <c r="C20" s="551"/>
      <c r="D20" s="552"/>
      <c r="E20" s="187"/>
      <c r="F20" s="187"/>
      <c r="G20" s="72"/>
      <c r="H20" s="72"/>
      <c r="I20" s="242"/>
      <c r="J20" s="242"/>
      <c r="K20" s="242"/>
      <c r="L20" s="242"/>
      <c r="M20" s="242"/>
      <c r="N20" s="242"/>
      <c r="O20" s="242"/>
      <c r="P20" s="242"/>
      <c r="Q20" s="242"/>
      <c r="R20" s="242"/>
      <c r="S20" s="242"/>
      <c r="T20" s="242"/>
      <c r="U20" s="238"/>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spans="1:68" x14ac:dyDescent="0.2">
      <c r="A21" s="4" t="s">
        <v>34</v>
      </c>
      <c r="B21" s="5" t="s">
        <v>157</v>
      </c>
      <c r="C21" s="551"/>
      <c r="D21" s="552"/>
      <c r="E21" s="187"/>
      <c r="F21" s="187"/>
      <c r="G21" s="72"/>
      <c r="H21" s="72"/>
      <c r="I21" s="242"/>
      <c r="J21" s="242"/>
      <c r="K21" s="242"/>
      <c r="L21" s="242"/>
      <c r="M21" s="242"/>
      <c r="N21" s="242"/>
      <c r="O21" s="242"/>
      <c r="P21" s="242"/>
      <c r="Q21" s="242"/>
      <c r="R21" s="242"/>
      <c r="S21" s="242"/>
      <c r="T21" s="242"/>
      <c r="U21" s="238"/>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spans="1:68" x14ac:dyDescent="0.2">
      <c r="A22" s="4" t="s">
        <v>35</v>
      </c>
      <c r="B22" s="5" t="s">
        <v>158</v>
      </c>
      <c r="C22" s="551"/>
      <c r="D22" s="552"/>
      <c r="E22" s="187"/>
      <c r="F22" s="187"/>
      <c r="G22" s="72"/>
      <c r="H22" s="72"/>
      <c r="I22" s="242"/>
      <c r="J22" s="248"/>
      <c r="K22" s="248"/>
      <c r="L22" s="248"/>
      <c r="M22" s="248"/>
      <c r="N22" s="248"/>
      <c r="O22" s="248"/>
      <c r="P22" s="248"/>
      <c r="Q22" s="248"/>
      <c r="R22" s="248"/>
      <c r="S22" s="248"/>
      <c r="T22" s="248"/>
      <c r="U22" s="239"/>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7"/>
      <c r="BJ22" s="237"/>
      <c r="BK22" s="237"/>
      <c r="BL22" s="237"/>
      <c r="BM22" s="237"/>
      <c r="BN22" s="237"/>
      <c r="BO22" s="237"/>
      <c r="BP22" s="237"/>
    </row>
    <row r="23" spans="1:68" x14ac:dyDescent="0.2">
      <c r="A23" s="4" t="s">
        <v>150</v>
      </c>
      <c r="B23" s="5" t="s">
        <v>36</v>
      </c>
      <c r="C23" s="551"/>
      <c r="D23" s="552"/>
      <c r="E23" s="187"/>
      <c r="F23" s="187"/>
      <c r="G23" s="72"/>
      <c r="H23" s="72"/>
      <c r="I23" s="247"/>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row>
    <row r="24" spans="1:68" s="6" customFormat="1" x14ac:dyDescent="0.2">
      <c r="A24" s="243" t="s">
        <v>37</v>
      </c>
      <c r="B24" s="244" t="s">
        <v>38</v>
      </c>
      <c r="C24" s="553"/>
      <c r="D24" s="554"/>
      <c r="E24" s="554"/>
      <c r="F24" s="554"/>
      <c r="G24" s="732"/>
      <c r="H24" s="732"/>
      <c r="I24" s="851"/>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852"/>
      <c r="AZ24" s="852"/>
      <c r="BA24" s="852"/>
      <c r="BB24" s="852"/>
      <c r="BC24" s="852"/>
      <c r="BD24" s="852"/>
      <c r="BE24" s="852"/>
      <c r="BF24" s="852"/>
      <c r="BG24" s="852"/>
      <c r="BH24" s="852"/>
      <c r="BI24" s="852"/>
      <c r="BJ24" s="852"/>
      <c r="BK24" s="852"/>
      <c r="BL24" s="852"/>
      <c r="BM24" s="852"/>
      <c r="BN24" s="852"/>
      <c r="BO24" s="852"/>
      <c r="BP24" s="852"/>
    </row>
    <row r="25" spans="1:68" s="6" customFormat="1" x14ac:dyDescent="0.2">
      <c r="A25" s="395">
        <f>'4. CC D'!A8</f>
        <v>0</v>
      </c>
      <c r="B25" s="174" t="str">
        <f>'4. CC D'!B8</f>
        <v xml:space="preserve">Programa de Mejoramiento de Caminos Vecinales II (PMCV) </v>
      </c>
      <c r="C25" s="555"/>
      <c r="D25" s="556"/>
      <c r="E25" s="556"/>
      <c r="F25" s="556"/>
      <c r="G25" s="557">
        <f>'4. CC D'!K8</f>
        <v>62000000</v>
      </c>
      <c r="H25" s="557">
        <f>'4. CC D'!G8</f>
        <v>0</v>
      </c>
      <c r="I25" s="851"/>
      <c r="J25" s="852"/>
      <c r="K25" s="852"/>
      <c r="L25" s="852"/>
      <c r="M25" s="852"/>
      <c r="N25" s="852"/>
      <c r="O25" s="852"/>
      <c r="P25" s="852"/>
      <c r="Q25" s="852"/>
      <c r="R25" s="852"/>
      <c r="S25" s="852"/>
      <c r="T25" s="852"/>
      <c r="U25" s="852"/>
      <c r="V25" s="852"/>
      <c r="W25" s="852"/>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852"/>
      <c r="AZ25" s="852"/>
      <c r="BA25" s="852"/>
      <c r="BB25" s="852"/>
      <c r="BC25" s="852"/>
      <c r="BD25" s="852"/>
      <c r="BE25" s="852"/>
      <c r="BF25" s="852"/>
      <c r="BG25" s="852"/>
      <c r="BH25" s="852"/>
      <c r="BI25" s="852"/>
      <c r="BJ25" s="852"/>
      <c r="BK25" s="852"/>
      <c r="BL25" s="852"/>
      <c r="BM25" s="852"/>
      <c r="BN25" s="852"/>
      <c r="BO25" s="852"/>
      <c r="BP25" s="852"/>
    </row>
    <row r="26" spans="1:68" s="6" customFormat="1" ht="20.25" customHeight="1" x14ac:dyDescent="0.2">
      <c r="A26" s="314" t="str">
        <f>'4. CC D'!A9</f>
        <v>1.</v>
      </c>
      <c r="B26" s="224" t="str">
        <f>'4. CC D'!B9</f>
        <v>Componente I. Obras Civiles y Supervisión</v>
      </c>
      <c r="C26" s="296"/>
      <c r="D26" s="762"/>
      <c r="E26" s="762"/>
      <c r="F26" s="762"/>
      <c r="G26" s="757">
        <f>'4. CC D'!K9</f>
        <v>58220000</v>
      </c>
      <c r="H26" s="757">
        <f>'4. CC D'!G9</f>
        <v>0</v>
      </c>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row>
    <row r="27" spans="1:68" s="6" customFormat="1" x14ac:dyDescent="0.2">
      <c r="A27" s="846">
        <f>'4. CC D'!A10</f>
        <v>1.1000000000000001</v>
      </c>
      <c r="B27" s="219" t="str">
        <f>'4. CC D'!B10</f>
        <v xml:space="preserve">Producto 1: 165 Km de Caminos Vecinales mejorados </v>
      </c>
      <c r="C27" s="298"/>
      <c r="D27" s="763"/>
      <c r="E27" s="763"/>
      <c r="F27" s="763"/>
      <c r="G27" s="758">
        <f>'4. CC D'!K10</f>
        <v>42340000</v>
      </c>
      <c r="H27" s="758" t="str">
        <f>'4. CC D'!G10</f>
        <v>ECATEF/DCV</v>
      </c>
      <c r="I27" s="758"/>
      <c r="J27" s="758"/>
      <c r="K27" s="758"/>
      <c r="L27" s="758"/>
      <c r="M27" s="758"/>
      <c r="N27" s="758"/>
      <c r="O27" s="758"/>
      <c r="P27" s="758"/>
      <c r="Q27" s="758"/>
      <c r="R27" s="758"/>
      <c r="S27" s="758"/>
      <c r="T27" s="758"/>
      <c r="U27" s="758"/>
      <c r="V27" s="758"/>
      <c r="W27" s="758"/>
      <c r="X27" s="758"/>
      <c r="Y27" s="758"/>
      <c r="Z27" s="758"/>
      <c r="AA27" s="758"/>
      <c r="AB27" s="758"/>
      <c r="AC27" s="758"/>
      <c r="AD27" s="758"/>
      <c r="AE27" s="758"/>
      <c r="AF27" s="758"/>
      <c r="AG27" s="758"/>
      <c r="AH27" s="758"/>
      <c r="AI27" s="758"/>
      <c r="AJ27" s="758"/>
      <c r="AK27" s="758"/>
      <c r="AL27" s="758"/>
      <c r="AM27" s="758"/>
      <c r="AN27" s="758"/>
      <c r="AO27" s="758"/>
      <c r="AP27" s="758"/>
      <c r="AQ27" s="758"/>
      <c r="AR27" s="758"/>
      <c r="AS27" s="758"/>
      <c r="AT27" s="758"/>
      <c r="AU27" s="758"/>
      <c r="AV27" s="758"/>
      <c r="AW27" s="758"/>
      <c r="AX27" s="758"/>
      <c r="AY27" s="758"/>
      <c r="AZ27" s="758"/>
      <c r="BA27" s="758"/>
      <c r="BB27" s="758"/>
      <c r="BC27" s="758"/>
      <c r="BD27" s="758"/>
      <c r="BE27" s="758"/>
      <c r="BF27" s="758"/>
      <c r="BG27" s="758"/>
      <c r="BH27" s="758"/>
      <c r="BI27" s="758"/>
      <c r="BJ27" s="758"/>
      <c r="BK27" s="758"/>
      <c r="BL27" s="758"/>
      <c r="BM27" s="758"/>
      <c r="BN27" s="758"/>
      <c r="BO27" s="758"/>
      <c r="BP27" s="758"/>
    </row>
    <row r="28" spans="1:68" s="6" customFormat="1" ht="25.5" x14ac:dyDescent="0.2">
      <c r="A28" s="315" t="str">
        <f>'4. CC D'!A11</f>
        <v>1.1.1</v>
      </c>
      <c r="B28" s="214" t="str">
        <f>'4. CC D'!B11</f>
        <v>Contratación de Firma Constructora para rehabilitación de Caminos Vecinales - Grupo 1: Itakyry - Arroyos y Esteros - Altos y Gral. Resquin. (65,51 Km)</v>
      </c>
      <c r="C28" s="216" t="str">
        <f>'4. CC D'!H11</f>
        <v>18 meses</v>
      </c>
      <c r="D28" s="216" t="s">
        <v>452</v>
      </c>
      <c r="E28" s="216" t="s">
        <v>667</v>
      </c>
      <c r="F28" s="216" t="s">
        <v>206</v>
      </c>
      <c r="G28" s="759">
        <f>'4. CC D'!K11</f>
        <v>13200000</v>
      </c>
      <c r="H28" s="759"/>
      <c r="I28" s="759"/>
      <c r="J28" s="759"/>
      <c r="K28" s="759"/>
      <c r="L28" s="759"/>
      <c r="M28" s="772"/>
      <c r="N28" s="773"/>
      <c r="O28" s="773"/>
      <c r="P28" s="773"/>
      <c r="Q28" s="773"/>
      <c r="R28" s="773"/>
      <c r="S28" s="773"/>
      <c r="T28" s="773"/>
      <c r="U28" s="774">
        <v>1</v>
      </c>
      <c r="V28" s="774">
        <v>2</v>
      </c>
      <c r="W28" s="774">
        <v>3</v>
      </c>
      <c r="X28" s="774">
        <v>4</v>
      </c>
      <c r="Y28" s="774">
        <v>5</v>
      </c>
      <c r="Z28" s="774">
        <v>6</v>
      </c>
      <c r="AA28" s="774">
        <v>7</v>
      </c>
      <c r="AB28" s="774">
        <v>8</v>
      </c>
      <c r="AC28" s="774">
        <v>9</v>
      </c>
      <c r="AD28" s="774">
        <v>10</v>
      </c>
      <c r="AE28" s="774">
        <v>11</v>
      </c>
      <c r="AF28" s="774">
        <v>12</v>
      </c>
      <c r="AG28" s="774">
        <v>13</v>
      </c>
      <c r="AH28" s="774">
        <v>14</v>
      </c>
      <c r="AI28" s="774">
        <v>15</v>
      </c>
      <c r="AJ28" s="774">
        <v>16</v>
      </c>
      <c r="AK28" s="774">
        <v>17</v>
      </c>
      <c r="AL28" s="774">
        <v>18</v>
      </c>
      <c r="AM28" s="759"/>
      <c r="AN28" s="759"/>
      <c r="AO28" s="759"/>
      <c r="AP28" s="759"/>
      <c r="AQ28" s="759"/>
      <c r="AR28" s="759"/>
      <c r="AS28" s="759"/>
      <c r="AT28" s="759"/>
      <c r="AU28" s="759"/>
      <c r="AV28" s="759"/>
      <c r="AW28" s="759"/>
      <c r="AX28" s="759"/>
      <c r="AY28" s="759"/>
      <c r="AZ28" s="759"/>
      <c r="BA28" s="759"/>
      <c r="BB28" s="759"/>
      <c r="BC28" s="759"/>
      <c r="BD28" s="759"/>
      <c r="BE28" s="759"/>
      <c r="BF28" s="759"/>
      <c r="BG28" s="759"/>
      <c r="BH28" s="759"/>
      <c r="BI28" s="759"/>
      <c r="BJ28" s="759"/>
      <c r="BK28" s="759"/>
      <c r="BL28" s="759"/>
      <c r="BM28" s="759"/>
      <c r="BN28" s="759"/>
      <c r="BO28" s="759"/>
      <c r="BP28" s="759"/>
    </row>
    <row r="29" spans="1:68" s="6" customFormat="1" ht="25.5" x14ac:dyDescent="0.2">
      <c r="A29" s="826" t="str">
        <f>'4. CC D'!A12</f>
        <v>1.1.2</v>
      </c>
      <c r="B29" s="214" t="str">
        <f>'4. CC D'!B12</f>
        <v>Contratación de Firma Constructora para rehabilitación de Caminos Vecinales - Grupo 2:  La Paz - Gral. Artigas Fram y illa Ygatimi Ype Jhu (99 Km)</v>
      </c>
      <c r="C29" s="216" t="str">
        <f>'4. CC D'!H12</f>
        <v>18 meses</v>
      </c>
      <c r="D29" s="216" t="s">
        <v>216</v>
      </c>
      <c r="E29" s="216" t="s">
        <v>217</v>
      </c>
      <c r="F29" s="216" t="s">
        <v>219</v>
      </c>
      <c r="G29" s="759">
        <f>'4. CC D'!K12</f>
        <v>24800000</v>
      </c>
      <c r="H29" s="759"/>
      <c r="I29" s="759"/>
      <c r="J29" s="759"/>
      <c r="K29" s="759"/>
      <c r="L29" s="759"/>
      <c r="M29" s="759"/>
      <c r="N29" s="759"/>
      <c r="O29" s="759"/>
      <c r="P29" s="759"/>
      <c r="Q29" s="759"/>
      <c r="R29" s="759"/>
      <c r="S29" s="759"/>
      <c r="T29" s="759"/>
      <c r="U29" s="759"/>
      <c r="V29" s="759"/>
      <c r="W29" s="759"/>
      <c r="X29" s="759"/>
      <c r="Y29" s="772"/>
      <c r="Z29" s="773"/>
      <c r="AA29" s="773"/>
      <c r="AB29" s="773"/>
      <c r="AC29" s="773"/>
      <c r="AD29" s="773"/>
      <c r="AE29" s="773"/>
      <c r="AF29" s="773"/>
      <c r="AG29" s="774">
        <v>1</v>
      </c>
      <c r="AH29" s="774">
        <v>2</v>
      </c>
      <c r="AI29" s="774">
        <v>3</v>
      </c>
      <c r="AJ29" s="774">
        <v>4</v>
      </c>
      <c r="AK29" s="774">
        <v>5</v>
      </c>
      <c r="AL29" s="774">
        <v>6</v>
      </c>
      <c r="AM29" s="774">
        <v>7</v>
      </c>
      <c r="AN29" s="774">
        <v>8</v>
      </c>
      <c r="AO29" s="774">
        <v>9</v>
      </c>
      <c r="AP29" s="774">
        <v>10</v>
      </c>
      <c r="AQ29" s="774">
        <v>11</v>
      </c>
      <c r="AR29" s="774">
        <v>12</v>
      </c>
      <c r="AS29" s="774">
        <v>13</v>
      </c>
      <c r="AT29" s="774">
        <v>14</v>
      </c>
      <c r="AU29" s="774">
        <v>15</v>
      </c>
      <c r="AV29" s="774">
        <v>16</v>
      </c>
      <c r="AW29" s="774">
        <v>17</v>
      </c>
      <c r="AX29" s="774">
        <v>18</v>
      </c>
      <c r="AY29" s="759"/>
      <c r="AZ29" s="759"/>
      <c r="BA29" s="759"/>
      <c r="BB29" s="759"/>
      <c r="BC29" s="759"/>
      <c r="BD29" s="759"/>
      <c r="BE29" s="759"/>
      <c r="BF29" s="759"/>
      <c r="BG29" s="759"/>
      <c r="BH29" s="759"/>
      <c r="BI29" s="759"/>
      <c r="BJ29" s="759"/>
      <c r="BK29" s="759"/>
      <c r="BL29" s="759"/>
      <c r="BM29" s="759"/>
      <c r="BN29" s="759"/>
      <c r="BO29" s="759"/>
      <c r="BP29" s="759"/>
    </row>
    <row r="30" spans="1:68" s="6" customFormat="1" ht="25.5" x14ac:dyDescent="0.2">
      <c r="A30" s="826" t="str">
        <f>'4. CC D'!A13</f>
        <v>1.1.3</v>
      </c>
      <c r="B30" s="218" t="str">
        <f>'4. CC D'!B13</f>
        <v>Contratación de Firma Consultora para Fiscalización de rehabilitación de Caminos Grupo 1</v>
      </c>
      <c r="C30" s="302" t="str">
        <f>'4. CC D'!H13</f>
        <v>21 meses</v>
      </c>
      <c r="D30" s="302" t="s">
        <v>452</v>
      </c>
      <c r="E30" s="302" t="s">
        <v>215</v>
      </c>
      <c r="F30" s="302" t="s">
        <v>206</v>
      </c>
      <c r="G30" s="759">
        <f>'4. CC D'!K13</f>
        <v>875000</v>
      </c>
      <c r="H30" s="759"/>
      <c r="I30" s="772"/>
      <c r="J30" s="772"/>
      <c r="K30" s="772"/>
      <c r="L30" s="773"/>
      <c r="M30" s="773"/>
      <c r="N30" s="773"/>
      <c r="O30" s="773"/>
      <c r="P30" s="773"/>
      <c r="Q30" s="773"/>
      <c r="R30" s="773"/>
      <c r="S30" s="774">
        <v>1</v>
      </c>
      <c r="T30" s="774">
        <v>2</v>
      </c>
      <c r="U30" s="774">
        <v>3</v>
      </c>
      <c r="V30" s="774">
        <v>4</v>
      </c>
      <c r="W30" s="774">
        <v>5</v>
      </c>
      <c r="X30" s="774">
        <v>6</v>
      </c>
      <c r="Y30" s="774">
        <v>7</v>
      </c>
      <c r="Z30" s="774">
        <v>8</v>
      </c>
      <c r="AA30" s="774">
        <v>9</v>
      </c>
      <c r="AB30" s="774">
        <v>10</v>
      </c>
      <c r="AC30" s="774">
        <v>11</v>
      </c>
      <c r="AD30" s="774">
        <v>12</v>
      </c>
      <c r="AE30" s="774">
        <v>13</v>
      </c>
      <c r="AF30" s="774">
        <v>14</v>
      </c>
      <c r="AG30" s="774">
        <v>15</v>
      </c>
      <c r="AH30" s="774">
        <v>16</v>
      </c>
      <c r="AI30" s="774">
        <v>17</v>
      </c>
      <c r="AJ30" s="774">
        <v>18</v>
      </c>
      <c r="AK30" s="774">
        <v>19</v>
      </c>
      <c r="AL30" s="774">
        <v>20</v>
      </c>
      <c r="AM30" s="774">
        <v>21</v>
      </c>
      <c r="AN30" s="759"/>
      <c r="AO30" s="759"/>
      <c r="AP30" s="759"/>
      <c r="AQ30" s="759"/>
      <c r="AR30" s="759"/>
      <c r="AS30" s="759"/>
      <c r="AT30" s="759"/>
      <c r="AU30" s="759"/>
      <c r="AV30" s="759"/>
      <c r="AW30" s="759"/>
      <c r="AX30" s="759"/>
      <c r="AY30" s="759"/>
      <c r="AZ30" s="759"/>
      <c r="BA30" s="759"/>
      <c r="BB30" s="759"/>
      <c r="BC30" s="759"/>
      <c r="BD30" s="759"/>
      <c r="BE30" s="759"/>
      <c r="BF30" s="759"/>
      <c r="BG30" s="759"/>
      <c r="BH30" s="759"/>
      <c r="BI30" s="759"/>
      <c r="BJ30" s="759"/>
      <c r="BK30" s="759"/>
      <c r="BL30" s="759"/>
      <c r="BM30" s="759"/>
      <c r="BN30" s="759"/>
      <c r="BO30" s="759"/>
      <c r="BP30" s="759"/>
    </row>
    <row r="31" spans="1:68" s="6" customFormat="1" ht="25.5" x14ac:dyDescent="0.2">
      <c r="A31" s="826" t="str">
        <f>'4. CC D'!A14</f>
        <v>1.1.4</v>
      </c>
      <c r="B31" s="218" t="str">
        <f>'4. CC D'!B14</f>
        <v>Contratación de Firma Consultora para Fiscalización de rehabilitación de Caminos Grupo 2</v>
      </c>
      <c r="C31" s="302" t="str">
        <f>'4. CC D'!H14</f>
        <v>21 meses</v>
      </c>
      <c r="D31" s="302" t="s">
        <v>216</v>
      </c>
      <c r="E31" s="302" t="s">
        <v>214</v>
      </c>
      <c r="F31" s="302" t="s">
        <v>219</v>
      </c>
      <c r="G31" s="759">
        <f>'4. CC D'!K14</f>
        <v>1645000</v>
      </c>
      <c r="H31" s="759"/>
      <c r="I31" s="759"/>
      <c r="J31" s="759"/>
      <c r="K31" s="759"/>
      <c r="L31" s="759"/>
      <c r="M31" s="759"/>
      <c r="N31" s="759"/>
      <c r="O31" s="759"/>
      <c r="P31" s="759"/>
      <c r="Q31" s="759"/>
      <c r="R31" s="759"/>
      <c r="S31" s="759"/>
      <c r="T31" s="759"/>
      <c r="U31" s="772"/>
      <c r="V31" s="772"/>
      <c r="W31" s="772"/>
      <c r="X31" s="773"/>
      <c r="Y31" s="773"/>
      <c r="Z31" s="773"/>
      <c r="AA31" s="773"/>
      <c r="AB31" s="773"/>
      <c r="AC31" s="773"/>
      <c r="AD31" s="773"/>
      <c r="AE31" s="774">
        <v>1</v>
      </c>
      <c r="AF31" s="774">
        <v>2</v>
      </c>
      <c r="AG31" s="774">
        <v>3</v>
      </c>
      <c r="AH31" s="774">
        <v>4</v>
      </c>
      <c r="AI31" s="774">
        <v>5</v>
      </c>
      <c r="AJ31" s="774">
        <v>6</v>
      </c>
      <c r="AK31" s="774">
        <v>7</v>
      </c>
      <c r="AL31" s="774">
        <v>8</v>
      </c>
      <c r="AM31" s="774">
        <v>9</v>
      </c>
      <c r="AN31" s="774">
        <v>10</v>
      </c>
      <c r="AO31" s="774">
        <v>11</v>
      </c>
      <c r="AP31" s="774">
        <v>12</v>
      </c>
      <c r="AQ31" s="774">
        <v>13</v>
      </c>
      <c r="AR31" s="774">
        <v>14</v>
      </c>
      <c r="AS31" s="774">
        <v>15</v>
      </c>
      <c r="AT31" s="774">
        <v>16</v>
      </c>
      <c r="AU31" s="774">
        <v>17</v>
      </c>
      <c r="AV31" s="774">
        <v>18</v>
      </c>
      <c r="AW31" s="774">
        <v>19</v>
      </c>
      <c r="AX31" s="774">
        <v>20</v>
      </c>
      <c r="AY31" s="774">
        <v>21</v>
      </c>
      <c r="AZ31" s="759"/>
      <c r="BA31" s="759"/>
      <c r="BB31" s="759"/>
      <c r="BC31" s="759"/>
      <c r="BD31" s="759"/>
      <c r="BE31" s="759"/>
      <c r="BF31" s="759"/>
      <c r="BG31" s="759"/>
      <c r="BH31" s="759"/>
      <c r="BI31" s="759"/>
      <c r="BJ31" s="759"/>
      <c r="BK31" s="759"/>
      <c r="BL31" s="759"/>
      <c r="BM31" s="759"/>
      <c r="BN31" s="759"/>
      <c r="BO31" s="759"/>
      <c r="BP31" s="759"/>
    </row>
    <row r="32" spans="1:68" s="6" customFormat="1" ht="25.5" x14ac:dyDescent="0.2">
      <c r="A32" s="826" t="str">
        <f>'4. CC D'!A15</f>
        <v>1.1.5</v>
      </c>
      <c r="B32" s="218" t="str">
        <f>'4. CC D'!B15</f>
        <v>Contratación de Firma Consultora para el desarrollo de diseños de caminos - Grupo 2</v>
      </c>
      <c r="C32" s="216" t="str">
        <f>'4. CC D'!H15</f>
        <v>10 meses</v>
      </c>
      <c r="D32" s="216" t="s">
        <v>452</v>
      </c>
      <c r="E32" s="216" t="s">
        <v>215</v>
      </c>
      <c r="F32" s="216" t="s">
        <v>218</v>
      </c>
      <c r="G32" s="759">
        <f>'4. CC D'!K15</f>
        <v>1820000</v>
      </c>
      <c r="H32" s="759"/>
      <c r="I32" s="772"/>
      <c r="J32" s="772"/>
      <c r="K32" s="772"/>
      <c r="L32" s="773"/>
      <c r="M32" s="773"/>
      <c r="N32" s="773"/>
      <c r="O32" s="773"/>
      <c r="P32" s="773"/>
      <c r="Q32" s="773"/>
      <c r="R32" s="773"/>
      <c r="S32" s="774">
        <v>1</v>
      </c>
      <c r="T32" s="774">
        <v>2</v>
      </c>
      <c r="U32" s="774">
        <v>3</v>
      </c>
      <c r="V32" s="774">
        <v>4</v>
      </c>
      <c r="W32" s="774">
        <v>5</v>
      </c>
      <c r="X32" s="774">
        <v>6</v>
      </c>
      <c r="Y32" s="774">
        <v>7</v>
      </c>
      <c r="Z32" s="774">
        <v>8</v>
      </c>
      <c r="AA32" s="774">
        <v>9</v>
      </c>
      <c r="AB32" s="774">
        <v>10</v>
      </c>
      <c r="AC32" s="759"/>
      <c r="AD32" s="759"/>
      <c r="AE32" s="759"/>
      <c r="AF32" s="759"/>
      <c r="AG32" s="759"/>
      <c r="AH32" s="759"/>
      <c r="AI32" s="759"/>
      <c r="AJ32" s="759"/>
      <c r="AK32" s="759"/>
      <c r="AL32" s="759"/>
      <c r="AM32" s="759"/>
      <c r="AN32" s="759"/>
      <c r="AO32" s="759"/>
      <c r="AP32" s="759"/>
      <c r="AQ32" s="759"/>
      <c r="AR32" s="759"/>
      <c r="AS32" s="759"/>
      <c r="AT32" s="759"/>
      <c r="AU32" s="759"/>
      <c r="AV32" s="759"/>
      <c r="AW32" s="759"/>
      <c r="AX32" s="759"/>
      <c r="AY32" s="759"/>
      <c r="AZ32" s="759"/>
      <c r="BA32" s="759"/>
      <c r="BB32" s="759"/>
      <c r="BC32" s="759"/>
      <c r="BD32" s="759"/>
      <c r="BE32" s="759"/>
      <c r="BF32" s="759"/>
      <c r="BG32" s="759"/>
      <c r="BH32" s="759"/>
      <c r="BI32" s="759"/>
      <c r="BJ32" s="759"/>
      <c r="BK32" s="759"/>
      <c r="BL32" s="759"/>
      <c r="BM32" s="759"/>
      <c r="BN32" s="759"/>
      <c r="BO32" s="759"/>
      <c r="BP32" s="759"/>
    </row>
    <row r="33" spans="1:68" s="6" customFormat="1" ht="27.75" customHeight="1" x14ac:dyDescent="0.2">
      <c r="A33" s="847">
        <f>'4. CC D'!A16</f>
        <v>1.2</v>
      </c>
      <c r="B33" s="219" t="str">
        <f>'4. CC D'!B16</f>
        <v xml:space="preserve">Producto 2: 713 Km de Caminos incorporados en un esquema de mantenimiento </v>
      </c>
      <c r="C33" s="220"/>
      <c r="D33" s="764"/>
      <c r="E33" s="764"/>
      <c r="F33" s="764"/>
      <c r="G33" s="760">
        <f>'4. CC D'!K16</f>
        <v>4000000</v>
      </c>
      <c r="H33" s="760" t="str">
        <f>'4. CC D'!G16</f>
        <v>ECATEF/DCV</v>
      </c>
      <c r="I33" s="760"/>
      <c r="J33" s="760"/>
      <c r="K33" s="760"/>
      <c r="L33" s="760"/>
      <c r="M33" s="760"/>
      <c r="N33" s="760"/>
      <c r="O33" s="760"/>
      <c r="P33" s="760"/>
      <c r="Q33" s="760"/>
      <c r="R33" s="760"/>
      <c r="S33" s="760"/>
      <c r="T33" s="760"/>
      <c r="U33" s="760"/>
      <c r="V33" s="760"/>
      <c r="W33" s="760"/>
      <c r="X33" s="760"/>
      <c r="Y33" s="760"/>
      <c r="Z33" s="760"/>
      <c r="AA33" s="760"/>
      <c r="AB33" s="760"/>
      <c r="AC33" s="760"/>
      <c r="AD33" s="760"/>
      <c r="AE33" s="760"/>
      <c r="AF33" s="760"/>
      <c r="AG33" s="760"/>
      <c r="AH33" s="760"/>
      <c r="AI33" s="760"/>
      <c r="AJ33" s="760"/>
      <c r="AK33" s="760"/>
      <c r="AL33" s="760"/>
      <c r="AM33" s="760"/>
      <c r="AN33" s="760"/>
      <c r="AO33" s="760"/>
      <c r="AP33" s="760"/>
      <c r="AQ33" s="760"/>
      <c r="AR33" s="760"/>
      <c r="AS33" s="760"/>
      <c r="AT33" s="760"/>
      <c r="AU33" s="760"/>
      <c r="AV33" s="760"/>
      <c r="AW33" s="760"/>
      <c r="AX33" s="760"/>
      <c r="AY33" s="760"/>
      <c r="AZ33" s="760"/>
      <c r="BA33" s="760"/>
      <c r="BB33" s="760"/>
      <c r="BC33" s="760"/>
      <c r="BD33" s="760"/>
      <c r="BE33" s="760"/>
      <c r="BF33" s="760"/>
      <c r="BG33" s="760"/>
      <c r="BH33" s="760"/>
      <c r="BI33" s="760"/>
      <c r="BJ33" s="760"/>
      <c r="BK33" s="760"/>
      <c r="BL33" s="760"/>
      <c r="BM33" s="760"/>
      <c r="BN33" s="760"/>
      <c r="BO33" s="760"/>
      <c r="BP33" s="760"/>
    </row>
    <row r="34" spans="1:68" s="6" customFormat="1" ht="25.5" x14ac:dyDescent="0.2">
      <c r="A34" s="315" t="str">
        <f>'4. CC D'!A17</f>
        <v>1.2.1</v>
      </c>
      <c r="B34" s="825" t="str">
        <f>+'4. CC D'!B17</f>
        <v>Contratación de Firma Constructora para Obra de Mantenimiento. Contratos Grupo 1: 102.79 km</v>
      </c>
      <c r="C34" s="302" t="str">
        <f>'4. CC D'!H17</f>
        <v>55 meses</v>
      </c>
      <c r="D34" s="302" t="s">
        <v>451</v>
      </c>
      <c r="E34" s="302" t="s">
        <v>215</v>
      </c>
      <c r="F34" s="302" t="s">
        <v>450</v>
      </c>
      <c r="G34" s="759">
        <f>'4. CC D'!K17</f>
        <v>764080</v>
      </c>
      <c r="H34" s="759"/>
      <c r="I34" s="773"/>
      <c r="J34" s="773"/>
      <c r="K34" s="773"/>
      <c r="L34" s="773"/>
      <c r="M34" s="773"/>
      <c r="N34" s="774">
        <v>1</v>
      </c>
      <c r="O34" s="774">
        <v>2</v>
      </c>
      <c r="P34" s="774">
        <v>3</v>
      </c>
      <c r="Q34" s="774">
        <v>4</v>
      </c>
      <c r="R34" s="774">
        <v>5</v>
      </c>
      <c r="S34" s="774">
        <v>6</v>
      </c>
      <c r="T34" s="774">
        <v>7</v>
      </c>
      <c r="U34" s="774">
        <v>8</v>
      </c>
      <c r="V34" s="774">
        <v>9</v>
      </c>
      <c r="W34" s="774">
        <v>10</v>
      </c>
      <c r="X34" s="774">
        <v>11</v>
      </c>
      <c r="Y34" s="774">
        <v>12</v>
      </c>
      <c r="Z34" s="774">
        <v>13</v>
      </c>
      <c r="AA34" s="774">
        <v>14</v>
      </c>
      <c r="AB34" s="774">
        <v>15</v>
      </c>
      <c r="AC34" s="774">
        <v>16</v>
      </c>
      <c r="AD34" s="774">
        <v>17</v>
      </c>
      <c r="AE34" s="774">
        <v>18</v>
      </c>
      <c r="AF34" s="774">
        <v>19</v>
      </c>
      <c r="AG34" s="774">
        <v>20</v>
      </c>
      <c r="AH34" s="774">
        <v>21</v>
      </c>
      <c r="AI34" s="774">
        <v>22</v>
      </c>
      <c r="AJ34" s="774">
        <v>23</v>
      </c>
      <c r="AK34" s="774">
        <v>24</v>
      </c>
      <c r="AL34" s="774">
        <v>25</v>
      </c>
      <c r="AM34" s="774">
        <v>26</v>
      </c>
      <c r="AN34" s="774">
        <v>27</v>
      </c>
      <c r="AO34" s="774">
        <v>28</v>
      </c>
      <c r="AP34" s="774">
        <v>29</v>
      </c>
      <c r="AQ34" s="774">
        <v>30</v>
      </c>
      <c r="AR34" s="774">
        <v>31</v>
      </c>
      <c r="AS34" s="774">
        <v>32</v>
      </c>
      <c r="AT34" s="774">
        <v>33</v>
      </c>
      <c r="AU34" s="774">
        <v>34</v>
      </c>
      <c r="AV34" s="774">
        <v>35</v>
      </c>
      <c r="AW34" s="774">
        <v>36</v>
      </c>
      <c r="AX34" s="774">
        <v>37</v>
      </c>
      <c r="AY34" s="774">
        <v>38</v>
      </c>
      <c r="AZ34" s="774">
        <v>39</v>
      </c>
      <c r="BA34" s="774">
        <v>40</v>
      </c>
      <c r="BB34" s="774">
        <v>41</v>
      </c>
      <c r="BC34" s="774">
        <v>42</v>
      </c>
      <c r="BD34" s="774">
        <v>43</v>
      </c>
      <c r="BE34" s="774">
        <v>44</v>
      </c>
      <c r="BF34" s="774">
        <v>45</v>
      </c>
      <c r="BG34" s="774">
        <v>46</v>
      </c>
      <c r="BH34" s="774">
        <v>47</v>
      </c>
      <c r="BI34" s="774">
        <v>48</v>
      </c>
      <c r="BJ34" s="774">
        <v>49</v>
      </c>
      <c r="BK34" s="774">
        <v>50</v>
      </c>
      <c r="BL34" s="774">
        <v>51</v>
      </c>
      <c r="BM34" s="774">
        <v>52</v>
      </c>
      <c r="BN34" s="774">
        <v>53</v>
      </c>
      <c r="BO34" s="774">
        <v>54</v>
      </c>
      <c r="BP34" s="774">
        <v>55</v>
      </c>
    </row>
    <row r="35" spans="1:68" s="6" customFormat="1" ht="25.5" x14ac:dyDescent="0.2">
      <c r="A35" s="826" t="str">
        <f>'4. CC D'!A18</f>
        <v>1.2.2</v>
      </c>
      <c r="B35" s="825" t="str">
        <f>+'4. CC D'!B18</f>
        <v>Contratación de Firma Constructora para Obra de Mantenimiento. Contratos Grupo 2: 226.63 km</v>
      </c>
      <c r="C35" s="302" t="str">
        <f>'4. CC D'!H18</f>
        <v>48 meses</v>
      </c>
      <c r="D35" s="302" t="s">
        <v>204</v>
      </c>
      <c r="E35" s="302" t="s">
        <v>214</v>
      </c>
      <c r="F35" s="302" t="s">
        <v>450</v>
      </c>
      <c r="G35" s="759">
        <f>'4. CC D'!K18</f>
        <v>1359780</v>
      </c>
      <c r="H35" s="759"/>
      <c r="I35" s="830"/>
      <c r="J35" s="830"/>
      <c r="K35" s="830"/>
      <c r="L35" s="830"/>
      <c r="M35" s="772"/>
      <c r="N35" s="773"/>
      <c r="O35" s="773"/>
      <c r="P35" s="773"/>
      <c r="Q35" s="773"/>
      <c r="R35" s="773"/>
      <c r="S35" s="773"/>
      <c r="T35" s="773"/>
      <c r="U35" s="774">
        <v>1</v>
      </c>
      <c r="V35" s="774">
        <v>2</v>
      </c>
      <c r="W35" s="774">
        <v>3</v>
      </c>
      <c r="X35" s="774">
        <v>4</v>
      </c>
      <c r="Y35" s="774">
        <v>5</v>
      </c>
      <c r="Z35" s="774">
        <v>6</v>
      </c>
      <c r="AA35" s="774">
        <v>7</v>
      </c>
      <c r="AB35" s="774">
        <v>8</v>
      </c>
      <c r="AC35" s="774">
        <v>9</v>
      </c>
      <c r="AD35" s="774">
        <v>10</v>
      </c>
      <c r="AE35" s="774">
        <v>11</v>
      </c>
      <c r="AF35" s="774">
        <v>12</v>
      </c>
      <c r="AG35" s="774">
        <v>13</v>
      </c>
      <c r="AH35" s="774">
        <v>14</v>
      </c>
      <c r="AI35" s="774">
        <v>15</v>
      </c>
      <c r="AJ35" s="774">
        <v>16</v>
      </c>
      <c r="AK35" s="774">
        <v>17</v>
      </c>
      <c r="AL35" s="774">
        <v>18</v>
      </c>
      <c r="AM35" s="774">
        <v>19</v>
      </c>
      <c r="AN35" s="774">
        <v>20</v>
      </c>
      <c r="AO35" s="774">
        <v>21</v>
      </c>
      <c r="AP35" s="774">
        <v>22</v>
      </c>
      <c r="AQ35" s="774">
        <v>23</v>
      </c>
      <c r="AR35" s="774">
        <v>24</v>
      </c>
      <c r="AS35" s="774">
        <v>25</v>
      </c>
      <c r="AT35" s="774">
        <v>26</v>
      </c>
      <c r="AU35" s="774">
        <v>27</v>
      </c>
      <c r="AV35" s="774">
        <v>28</v>
      </c>
      <c r="AW35" s="774">
        <v>29</v>
      </c>
      <c r="AX35" s="774">
        <v>30</v>
      </c>
      <c r="AY35" s="774">
        <v>31</v>
      </c>
      <c r="AZ35" s="774">
        <v>32</v>
      </c>
      <c r="BA35" s="774">
        <v>33</v>
      </c>
      <c r="BB35" s="774">
        <v>34</v>
      </c>
      <c r="BC35" s="774">
        <v>35</v>
      </c>
      <c r="BD35" s="774">
        <v>36</v>
      </c>
      <c r="BE35" s="774">
        <v>37</v>
      </c>
      <c r="BF35" s="774">
        <v>38</v>
      </c>
      <c r="BG35" s="774">
        <v>39</v>
      </c>
      <c r="BH35" s="774">
        <v>40</v>
      </c>
      <c r="BI35" s="774">
        <v>41</v>
      </c>
      <c r="BJ35" s="774">
        <v>42</v>
      </c>
      <c r="BK35" s="774">
        <v>43</v>
      </c>
      <c r="BL35" s="774">
        <v>44</v>
      </c>
      <c r="BM35" s="774">
        <v>45</v>
      </c>
      <c r="BN35" s="774">
        <v>46</v>
      </c>
      <c r="BO35" s="774">
        <v>47</v>
      </c>
      <c r="BP35" s="774">
        <v>48</v>
      </c>
    </row>
    <row r="36" spans="1:68" s="6" customFormat="1" ht="25.5" x14ac:dyDescent="0.2">
      <c r="A36" s="826" t="str">
        <f>'4. CC D'!A19</f>
        <v>1.2.3</v>
      </c>
      <c r="B36" s="825" t="str">
        <f>+'4. CC D'!B19</f>
        <v>Suscripción de Convenio con Municipios para Obras de Mantenimiento. Convenio Grupo 1: 28.35 km</v>
      </c>
      <c r="C36" s="302" t="str">
        <f>'4. CC D'!H19</f>
        <v>55 meses</v>
      </c>
      <c r="D36" s="302" t="s">
        <v>451</v>
      </c>
      <c r="E36" s="302" t="s">
        <v>452</v>
      </c>
      <c r="F36" s="302" t="s">
        <v>450</v>
      </c>
      <c r="G36" s="759">
        <f>'4. CC D'!K19</f>
        <v>212625</v>
      </c>
      <c r="H36" s="759"/>
      <c r="I36" s="830"/>
      <c r="J36" s="830"/>
      <c r="K36" s="773"/>
      <c r="L36" s="773"/>
      <c r="M36" s="773"/>
      <c r="N36" s="774">
        <v>1</v>
      </c>
      <c r="O36" s="774">
        <v>2</v>
      </c>
      <c r="P36" s="774">
        <v>3</v>
      </c>
      <c r="Q36" s="774">
        <v>4</v>
      </c>
      <c r="R36" s="774">
        <v>5</v>
      </c>
      <c r="S36" s="774">
        <v>6</v>
      </c>
      <c r="T36" s="774">
        <v>7</v>
      </c>
      <c r="U36" s="774">
        <v>8</v>
      </c>
      <c r="V36" s="774">
        <v>9</v>
      </c>
      <c r="W36" s="774">
        <v>10</v>
      </c>
      <c r="X36" s="774">
        <v>11</v>
      </c>
      <c r="Y36" s="774">
        <v>12</v>
      </c>
      <c r="Z36" s="774">
        <v>13</v>
      </c>
      <c r="AA36" s="774">
        <v>14</v>
      </c>
      <c r="AB36" s="774">
        <v>15</v>
      </c>
      <c r="AC36" s="774">
        <v>16</v>
      </c>
      <c r="AD36" s="774">
        <v>17</v>
      </c>
      <c r="AE36" s="774">
        <v>18</v>
      </c>
      <c r="AF36" s="774">
        <v>19</v>
      </c>
      <c r="AG36" s="774">
        <v>20</v>
      </c>
      <c r="AH36" s="774">
        <v>21</v>
      </c>
      <c r="AI36" s="774">
        <v>22</v>
      </c>
      <c r="AJ36" s="774">
        <v>23</v>
      </c>
      <c r="AK36" s="774">
        <v>24</v>
      </c>
      <c r="AL36" s="774">
        <v>25</v>
      </c>
      <c r="AM36" s="774">
        <v>26</v>
      </c>
      <c r="AN36" s="774">
        <v>27</v>
      </c>
      <c r="AO36" s="774">
        <v>28</v>
      </c>
      <c r="AP36" s="774">
        <v>29</v>
      </c>
      <c r="AQ36" s="774">
        <v>30</v>
      </c>
      <c r="AR36" s="774">
        <v>31</v>
      </c>
      <c r="AS36" s="774">
        <v>32</v>
      </c>
      <c r="AT36" s="774">
        <v>33</v>
      </c>
      <c r="AU36" s="774">
        <v>34</v>
      </c>
      <c r="AV36" s="774">
        <v>35</v>
      </c>
      <c r="AW36" s="774">
        <v>36</v>
      </c>
      <c r="AX36" s="774">
        <v>37</v>
      </c>
      <c r="AY36" s="774">
        <v>38</v>
      </c>
      <c r="AZ36" s="774">
        <v>39</v>
      </c>
      <c r="BA36" s="774">
        <v>40</v>
      </c>
      <c r="BB36" s="774">
        <v>41</v>
      </c>
      <c r="BC36" s="774">
        <v>42</v>
      </c>
      <c r="BD36" s="774">
        <v>43</v>
      </c>
      <c r="BE36" s="774">
        <v>44</v>
      </c>
      <c r="BF36" s="774">
        <v>45</v>
      </c>
      <c r="BG36" s="774">
        <v>46</v>
      </c>
      <c r="BH36" s="774">
        <v>47</v>
      </c>
      <c r="BI36" s="774">
        <v>48</v>
      </c>
      <c r="BJ36" s="774">
        <v>49</v>
      </c>
      <c r="BK36" s="774">
        <v>50</v>
      </c>
      <c r="BL36" s="774">
        <v>51</v>
      </c>
      <c r="BM36" s="774">
        <v>52</v>
      </c>
      <c r="BN36" s="774">
        <v>53</v>
      </c>
      <c r="BO36" s="774">
        <v>54</v>
      </c>
      <c r="BP36" s="774">
        <v>55</v>
      </c>
    </row>
    <row r="37" spans="1:68" s="6" customFormat="1" ht="25.5" x14ac:dyDescent="0.2">
      <c r="A37" s="826" t="str">
        <f>'4. CC D'!A20</f>
        <v>1.2.4</v>
      </c>
      <c r="B37" s="825" t="str">
        <f>+'4. CC D'!B20</f>
        <v>Suscripción de Convenio con Municipios para Obras de Mantenimiento. Convenio Grupo 2: 70.04 km</v>
      </c>
      <c r="C37" s="302" t="str">
        <f>'4. CC D'!H20</f>
        <v>48 meses</v>
      </c>
      <c r="D37" s="302" t="s">
        <v>215</v>
      </c>
      <c r="E37" s="302" t="s">
        <v>204</v>
      </c>
      <c r="F37" s="302" t="s">
        <v>450</v>
      </c>
      <c r="G37" s="759">
        <f>'4. CC D'!K20</f>
        <v>420240.00000000006</v>
      </c>
      <c r="H37" s="759"/>
      <c r="I37" s="830"/>
      <c r="J37" s="830"/>
      <c r="K37" s="830"/>
      <c r="L37" s="830"/>
      <c r="M37" s="830"/>
      <c r="N37" s="830"/>
      <c r="O37" s="830"/>
      <c r="P37" s="830"/>
      <c r="Q37" s="830"/>
      <c r="R37" s="889"/>
      <c r="S37" s="773"/>
      <c r="T37" s="773"/>
      <c r="U37" s="774">
        <v>1</v>
      </c>
      <c r="V37" s="774">
        <v>2</v>
      </c>
      <c r="W37" s="774">
        <v>3</v>
      </c>
      <c r="X37" s="774">
        <v>4</v>
      </c>
      <c r="Y37" s="774">
        <v>5</v>
      </c>
      <c r="Z37" s="774">
        <v>6</v>
      </c>
      <c r="AA37" s="774">
        <v>7</v>
      </c>
      <c r="AB37" s="774">
        <v>8</v>
      </c>
      <c r="AC37" s="774">
        <v>9</v>
      </c>
      <c r="AD37" s="774">
        <v>10</v>
      </c>
      <c r="AE37" s="774">
        <v>11</v>
      </c>
      <c r="AF37" s="774">
        <v>12</v>
      </c>
      <c r="AG37" s="774">
        <v>13</v>
      </c>
      <c r="AH37" s="774">
        <v>14</v>
      </c>
      <c r="AI37" s="774">
        <v>15</v>
      </c>
      <c r="AJ37" s="774">
        <v>16</v>
      </c>
      <c r="AK37" s="774">
        <v>17</v>
      </c>
      <c r="AL37" s="774">
        <v>18</v>
      </c>
      <c r="AM37" s="774">
        <v>19</v>
      </c>
      <c r="AN37" s="774">
        <v>20</v>
      </c>
      <c r="AO37" s="774">
        <v>21</v>
      </c>
      <c r="AP37" s="774">
        <v>22</v>
      </c>
      <c r="AQ37" s="774">
        <v>23</v>
      </c>
      <c r="AR37" s="774">
        <v>24</v>
      </c>
      <c r="AS37" s="774">
        <v>25</v>
      </c>
      <c r="AT37" s="774">
        <v>26</v>
      </c>
      <c r="AU37" s="774">
        <v>27</v>
      </c>
      <c r="AV37" s="774">
        <v>28</v>
      </c>
      <c r="AW37" s="774">
        <v>29</v>
      </c>
      <c r="AX37" s="774">
        <v>30</v>
      </c>
      <c r="AY37" s="774">
        <v>31</v>
      </c>
      <c r="AZ37" s="774">
        <v>32</v>
      </c>
      <c r="BA37" s="774">
        <v>33</v>
      </c>
      <c r="BB37" s="774">
        <v>34</v>
      </c>
      <c r="BC37" s="774">
        <v>35</v>
      </c>
      <c r="BD37" s="774">
        <v>36</v>
      </c>
      <c r="BE37" s="774">
        <v>37</v>
      </c>
      <c r="BF37" s="774">
        <v>38</v>
      </c>
      <c r="BG37" s="774">
        <v>39</v>
      </c>
      <c r="BH37" s="774">
        <v>40</v>
      </c>
      <c r="BI37" s="774">
        <v>41</v>
      </c>
      <c r="BJ37" s="774">
        <v>42</v>
      </c>
      <c r="BK37" s="774">
        <v>43</v>
      </c>
      <c r="BL37" s="774">
        <v>44</v>
      </c>
      <c r="BM37" s="774">
        <v>45</v>
      </c>
      <c r="BN37" s="774">
        <v>46</v>
      </c>
      <c r="BO37" s="774">
        <v>47</v>
      </c>
      <c r="BP37" s="774">
        <v>48</v>
      </c>
    </row>
    <row r="38" spans="1:68" s="6" customFormat="1" ht="25.5" x14ac:dyDescent="0.2">
      <c r="A38" s="826" t="str">
        <f>'4. CC D'!A21</f>
        <v>1.2.5</v>
      </c>
      <c r="B38" s="825" t="str">
        <f>+'4. CC D'!B21</f>
        <v>Suscripción de Convenio con Municipios para Obras de Mantenimiento. Convenio Grupo 3: 256.75 km</v>
      </c>
      <c r="C38" s="302" t="str">
        <f>'4. CC D'!H21</f>
        <v>36 meses</v>
      </c>
      <c r="D38" s="302" t="s">
        <v>214</v>
      </c>
      <c r="E38" s="302" t="s">
        <v>217</v>
      </c>
      <c r="F38" s="302" t="s">
        <v>450</v>
      </c>
      <c r="G38" s="759">
        <f>'4. CC D'!K21</f>
        <v>1155375</v>
      </c>
      <c r="H38" s="759"/>
      <c r="I38" s="830"/>
      <c r="J38" s="830"/>
      <c r="K38" s="830"/>
      <c r="L38" s="830"/>
      <c r="M38" s="830"/>
      <c r="N38" s="830"/>
      <c r="O38" s="830"/>
      <c r="P38" s="830"/>
      <c r="Q38" s="830"/>
      <c r="R38" s="830"/>
      <c r="S38" s="830"/>
      <c r="T38" s="830"/>
      <c r="U38" s="830"/>
      <c r="V38" s="830"/>
      <c r="W38" s="830"/>
      <c r="X38" s="830"/>
      <c r="Y38" s="830"/>
      <c r="Z38" s="830"/>
      <c r="AA38" s="830"/>
      <c r="AB38" s="830"/>
      <c r="AC38" s="830"/>
      <c r="AD38" s="889"/>
      <c r="AE38" s="773"/>
      <c r="AF38" s="773"/>
      <c r="AG38" s="774">
        <v>1</v>
      </c>
      <c r="AH38" s="774">
        <v>2</v>
      </c>
      <c r="AI38" s="774">
        <v>3</v>
      </c>
      <c r="AJ38" s="774">
        <v>4</v>
      </c>
      <c r="AK38" s="774">
        <v>5</v>
      </c>
      <c r="AL38" s="774">
        <v>6</v>
      </c>
      <c r="AM38" s="774">
        <v>7</v>
      </c>
      <c r="AN38" s="774">
        <v>8</v>
      </c>
      <c r="AO38" s="774">
        <v>9</v>
      </c>
      <c r="AP38" s="774">
        <v>10</v>
      </c>
      <c r="AQ38" s="774">
        <v>11</v>
      </c>
      <c r="AR38" s="774">
        <v>12</v>
      </c>
      <c r="AS38" s="774">
        <v>13</v>
      </c>
      <c r="AT38" s="774">
        <v>14</v>
      </c>
      <c r="AU38" s="774">
        <v>15</v>
      </c>
      <c r="AV38" s="774">
        <v>16</v>
      </c>
      <c r="AW38" s="774">
        <v>17</v>
      </c>
      <c r="AX38" s="774">
        <v>18</v>
      </c>
      <c r="AY38" s="774">
        <v>19</v>
      </c>
      <c r="AZ38" s="774">
        <v>20</v>
      </c>
      <c r="BA38" s="774">
        <v>21</v>
      </c>
      <c r="BB38" s="774">
        <v>22</v>
      </c>
      <c r="BC38" s="774">
        <v>23</v>
      </c>
      <c r="BD38" s="774">
        <v>24</v>
      </c>
      <c r="BE38" s="774">
        <v>25</v>
      </c>
      <c r="BF38" s="774">
        <v>26</v>
      </c>
      <c r="BG38" s="774">
        <v>27</v>
      </c>
      <c r="BH38" s="774">
        <v>28</v>
      </c>
      <c r="BI38" s="774">
        <v>29</v>
      </c>
      <c r="BJ38" s="774">
        <v>30</v>
      </c>
      <c r="BK38" s="774">
        <v>31</v>
      </c>
      <c r="BL38" s="774">
        <v>32</v>
      </c>
      <c r="BM38" s="774">
        <v>33</v>
      </c>
      <c r="BN38" s="774">
        <v>34</v>
      </c>
      <c r="BO38" s="774">
        <v>35</v>
      </c>
      <c r="BP38" s="774">
        <v>36</v>
      </c>
    </row>
    <row r="39" spans="1:68" s="6" customFormat="1" ht="25.5" x14ac:dyDescent="0.2">
      <c r="A39" s="826" t="str">
        <f>'4. CC D'!A22</f>
        <v>1.2.6</v>
      </c>
      <c r="B39" s="825" t="str">
        <f>+'4. CC D'!B22</f>
        <v>Suscripción de Convenio con Municipios para Obras de Mantenimiento. Convenio Grupo 4: 29.30 km</v>
      </c>
      <c r="C39" s="302" t="str">
        <f>'4. CC D'!H22</f>
        <v>24 meses</v>
      </c>
      <c r="D39" s="302" t="s">
        <v>676</v>
      </c>
      <c r="E39" s="302" t="s">
        <v>220</v>
      </c>
      <c r="F39" s="302" t="s">
        <v>450</v>
      </c>
      <c r="G39" s="759">
        <f>'4. CC D'!K22</f>
        <v>87900</v>
      </c>
      <c r="H39" s="759"/>
      <c r="I39" s="830"/>
      <c r="J39" s="830"/>
      <c r="K39" s="830"/>
      <c r="L39" s="830"/>
      <c r="M39" s="830"/>
      <c r="N39" s="830"/>
      <c r="O39" s="830"/>
      <c r="P39" s="830"/>
      <c r="Q39" s="830"/>
      <c r="R39" s="830"/>
      <c r="S39" s="830"/>
      <c r="T39" s="830"/>
      <c r="U39" s="830"/>
      <c r="V39" s="830"/>
      <c r="W39" s="830"/>
      <c r="X39" s="830"/>
      <c r="Y39" s="830"/>
      <c r="Z39" s="830"/>
      <c r="AA39" s="830"/>
      <c r="AB39" s="830"/>
      <c r="AC39" s="830"/>
      <c r="AD39" s="830"/>
      <c r="AE39" s="830"/>
      <c r="AF39" s="830"/>
      <c r="AG39" s="830"/>
      <c r="AH39" s="830"/>
      <c r="AI39" s="830"/>
      <c r="AJ39" s="830"/>
      <c r="AK39" s="830"/>
      <c r="AL39" s="830"/>
      <c r="AM39" s="830"/>
      <c r="AN39" s="830"/>
      <c r="AO39" s="830"/>
      <c r="AP39" s="889"/>
      <c r="AQ39" s="773"/>
      <c r="AR39" s="773"/>
      <c r="AS39" s="774">
        <v>1</v>
      </c>
      <c r="AT39" s="774">
        <v>2</v>
      </c>
      <c r="AU39" s="774">
        <v>3</v>
      </c>
      <c r="AV39" s="774">
        <v>4</v>
      </c>
      <c r="AW39" s="774">
        <v>5</v>
      </c>
      <c r="AX39" s="774">
        <v>6</v>
      </c>
      <c r="AY39" s="774">
        <v>7</v>
      </c>
      <c r="AZ39" s="774">
        <v>8</v>
      </c>
      <c r="BA39" s="774">
        <v>9</v>
      </c>
      <c r="BB39" s="774">
        <v>10</v>
      </c>
      <c r="BC39" s="774">
        <v>11</v>
      </c>
      <c r="BD39" s="774">
        <v>12</v>
      </c>
      <c r="BE39" s="774">
        <v>13</v>
      </c>
      <c r="BF39" s="774">
        <v>14</v>
      </c>
      <c r="BG39" s="774">
        <v>15</v>
      </c>
      <c r="BH39" s="774">
        <v>16</v>
      </c>
      <c r="BI39" s="774">
        <v>17</v>
      </c>
      <c r="BJ39" s="774">
        <v>18</v>
      </c>
      <c r="BK39" s="774">
        <v>19</v>
      </c>
      <c r="BL39" s="774">
        <v>20</v>
      </c>
      <c r="BM39" s="774">
        <v>21</v>
      </c>
      <c r="BN39" s="774">
        <v>22</v>
      </c>
      <c r="BO39" s="774">
        <v>23</v>
      </c>
      <c r="BP39" s="774">
        <v>24</v>
      </c>
    </row>
    <row r="40" spans="1:68" s="6" customFormat="1" ht="25.5" customHeight="1" x14ac:dyDescent="0.2">
      <c r="A40" s="847">
        <f>'4. CC D'!A23</f>
        <v>1.3</v>
      </c>
      <c r="B40" s="219" t="str">
        <f>'4. CC D'!B23</f>
        <v>Producto 3: 600 ml de Puentes de madera reemplazados por puentes de HoAo</v>
      </c>
      <c r="C40" s="220"/>
      <c r="D40" s="764"/>
      <c r="E40" s="764"/>
      <c r="F40" s="764"/>
      <c r="G40" s="760">
        <f>'4. CC D'!K23</f>
        <v>11660000</v>
      </c>
      <c r="H40" s="760" t="str">
        <f>'4. CC D'!G23</f>
        <v>ECATEF/DCV</v>
      </c>
      <c r="I40" s="760"/>
      <c r="J40" s="760"/>
      <c r="K40" s="760"/>
      <c r="L40" s="760"/>
      <c r="M40" s="760"/>
      <c r="N40" s="760"/>
      <c r="O40" s="760"/>
      <c r="P40" s="760"/>
      <c r="Q40" s="760"/>
      <c r="R40" s="760"/>
      <c r="S40" s="760"/>
      <c r="T40" s="760"/>
      <c r="U40" s="760"/>
      <c r="V40" s="760"/>
      <c r="W40" s="760"/>
      <c r="X40" s="760"/>
      <c r="Y40" s="760"/>
      <c r="Z40" s="760"/>
      <c r="AA40" s="760"/>
      <c r="AB40" s="760"/>
      <c r="AC40" s="760"/>
      <c r="AD40" s="760"/>
      <c r="AE40" s="760"/>
      <c r="AF40" s="760"/>
      <c r="AG40" s="760"/>
      <c r="AH40" s="760"/>
      <c r="AI40" s="760"/>
      <c r="AJ40" s="760"/>
      <c r="AK40" s="760"/>
      <c r="AL40" s="760"/>
      <c r="AM40" s="760"/>
      <c r="AN40" s="760"/>
      <c r="AO40" s="760"/>
      <c r="AP40" s="760"/>
      <c r="AQ40" s="760"/>
      <c r="AR40" s="760"/>
      <c r="AS40" s="760"/>
      <c r="AT40" s="760"/>
      <c r="AU40" s="760"/>
      <c r="AV40" s="760"/>
      <c r="AW40" s="760"/>
      <c r="AX40" s="760"/>
      <c r="AY40" s="760"/>
      <c r="AZ40" s="760"/>
      <c r="BA40" s="760"/>
      <c r="BB40" s="760"/>
      <c r="BC40" s="760"/>
      <c r="BD40" s="760"/>
      <c r="BE40" s="760"/>
      <c r="BF40" s="760"/>
      <c r="BG40" s="760"/>
      <c r="BH40" s="760"/>
      <c r="BI40" s="760"/>
      <c r="BJ40" s="760"/>
      <c r="BK40" s="760"/>
      <c r="BL40" s="760"/>
      <c r="BM40" s="760"/>
      <c r="BN40" s="760"/>
      <c r="BO40" s="760"/>
      <c r="BP40" s="760"/>
    </row>
    <row r="41" spans="1:68" s="6" customFormat="1" ht="25.5" x14ac:dyDescent="0.2">
      <c r="A41" s="316" t="str">
        <f>'4. CC D'!A24</f>
        <v>1.3.1</v>
      </c>
      <c r="B41" s="222" t="str">
        <f>'4. CC D'!B24</f>
        <v>Contratación de Firma Constructora para reemplazo de puentes - Grupo 1: Paraguarí - Misiones - Cordillera y San Pedro (405 ml)</v>
      </c>
      <c r="C41" s="216" t="str">
        <f>'4. CC D'!H24</f>
        <v>15 meses</v>
      </c>
      <c r="D41" s="216" t="s">
        <v>452</v>
      </c>
      <c r="E41" s="216" t="s">
        <v>215</v>
      </c>
      <c r="F41" s="216" t="s">
        <v>217</v>
      </c>
      <c r="G41" s="759">
        <f>'4. CC D'!K24</f>
        <v>6885000</v>
      </c>
      <c r="H41" s="759"/>
      <c r="I41" s="759"/>
      <c r="J41" s="759"/>
      <c r="K41" s="772"/>
      <c r="L41" s="773"/>
      <c r="M41" s="773"/>
      <c r="N41" s="773"/>
      <c r="O41" s="773"/>
      <c r="P41" s="773"/>
      <c r="Q41" s="773"/>
      <c r="R41" s="773"/>
      <c r="S41" s="774">
        <v>1</v>
      </c>
      <c r="T41" s="774">
        <v>2</v>
      </c>
      <c r="U41" s="774">
        <v>3</v>
      </c>
      <c r="V41" s="774">
        <v>4</v>
      </c>
      <c r="W41" s="774">
        <v>5</v>
      </c>
      <c r="X41" s="774">
        <v>6</v>
      </c>
      <c r="Y41" s="774">
        <v>7</v>
      </c>
      <c r="Z41" s="774">
        <v>8</v>
      </c>
      <c r="AA41" s="774">
        <v>9</v>
      </c>
      <c r="AB41" s="774">
        <v>10</v>
      </c>
      <c r="AC41" s="774">
        <v>11</v>
      </c>
      <c r="AD41" s="774">
        <v>12</v>
      </c>
      <c r="AE41" s="774">
        <v>13</v>
      </c>
      <c r="AF41" s="774">
        <v>14</v>
      </c>
      <c r="AG41" s="774">
        <v>15</v>
      </c>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row>
    <row r="42" spans="1:68" s="6" customFormat="1" ht="25.5" x14ac:dyDescent="0.2">
      <c r="A42" s="316" t="str">
        <f>'4. CC D'!A25</f>
        <v>1.3.2</v>
      </c>
      <c r="B42" s="222" t="str">
        <f>'4. CC D'!B25</f>
        <v>Contratación de Firma Constructora para reemplazo de puentes - Grupo 2:  Guaira - Alto Paraná y Amambay (195 ml)</v>
      </c>
      <c r="C42" s="216" t="str">
        <f>'4. CC D'!H25</f>
        <v>20 meses</v>
      </c>
      <c r="D42" s="216" t="s">
        <v>218</v>
      </c>
      <c r="E42" s="216" t="s">
        <v>205</v>
      </c>
      <c r="F42" s="216" t="s">
        <v>207</v>
      </c>
      <c r="G42" s="759">
        <f>'4. CC D'!K25</f>
        <v>3315000</v>
      </c>
      <c r="H42" s="759"/>
      <c r="I42" s="759"/>
      <c r="J42" s="759"/>
      <c r="K42" s="759"/>
      <c r="L42" s="759"/>
      <c r="M42" s="759"/>
      <c r="N42" s="759"/>
      <c r="O42" s="759"/>
      <c r="P42" s="759"/>
      <c r="Q42" s="759"/>
      <c r="R42" s="759"/>
      <c r="S42" s="759"/>
      <c r="T42" s="759"/>
      <c r="U42" s="759"/>
      <c r="V42" s="759"/>
      <c r="W42" s="759"/>
      <c r="X42" s="759"/>
      <c r="Y42" s="759"/>
      <c r="Z42" s="759"/>
      <c r="AA42" s="759"/>
      <c r="AB42" s="772"/>
      <c r="AC42" s="773"/>
      <c r="AD42" s="773"/>
      <c r="AE42" s="773"/>
      <c r="AF42" s="773"/>
      <c r="AG42" s="773"/>
      <c r="AH42" s="773"/>
      <c r="AI42" s="773"/>
      <c r="AJ42" s="773"/>
      <c r="AK42" s="774">
        <v>1</v>
      </c>
      <c r="AL42" s="774">
        <v>2</v>
      </c>
      <c r="AM42" s="774">
        <v>3</v>
      </c>
      <c r="AN42" s="774">
        <v>4</v>
      </c>
      <c r="AO42" s="774">
        <v>5</v>
      </c>
      <c r="AP42" s="774">
        <v>6</v>
      </c>
      <c r="AQ42" s="774">
        <v>7</v>
      </c>
      <c r="AR42" s="774">
        <v>8</v>
      </c>
      <c r="AS42" s="774">
        <v>9</v>
      </c>
      <c r="AT42" s="774">
        <v>10</v>
      </c>
      <c r="AU42" s="774">
        <v>11</v>
      </c>
      <c r="AV42" s="774">
        <v>12</v>
      </c>
      <c r="AW42" s="774">
        <v>13</v>
      </c>
      <c r="AX42" s="774">
        <v>14</v>
      </c>
      <c r="AY42" s="774">
        <v>15</v>
      </c>
      <c r="AZ42" s="774">
        <v>16</v>
      </c>
      <c r="BA42" s="774">
        <v>17</v>
      </c>
      <c r="BB42" s="774">
        <v>18</v>
      </c>
      <c r="BC42" s="774">
        <v>19</v>
      </c>
      <c r="BD42" s="774">
        <v>20</v>
      </c>
      <c r="BE42" s="759"/>
      <c r="BF42" s="759"/>
      <c r="BG42" s="759"/>
      <c r="BH42" s="759"/>
      <c r="BI42" s="759"/>
      <c r="BJ42" s="759"/>
      <c r="BK42" s="759"/>
      <c r="BL42" s="759"/>
      <c r="BM42" s="759"/>
      <c r="BN42" s="759"/>
      <c r="BO42" s="759"/>
      <c r="BP42" s="759"/>
    </row>
    <row r="43" spans="1:68" s="6" customFormat="1" ht="25.5" x14ac:dyDescent="0.2">
      <c r="A43" s="316" t="str">
        <f>'4. CC D'!A26</f>
        <v>1.3.3</v>
      </c>
      <c r="B43" s="222" t="str">
        <f>'4. CC D'!B26</f>
        <v>Contratación de Firma Consultora para Fiscalización de reemplazo de puentes Grupo 1</v>
      </c>
      <c r="C43" s="216" t="str">
        <f>'4. CC D'!H26</f>
        <v>18 meses</v>
      </c>
      <c r="D43" s="302" t="s">
        <v>451</v>
      </c>
      <c r="E43" s="302" t="s">
        <v>674</v>
      </c>
      <c r="F43" s="302" t="s">
        <v>217</v>
      </c>
      <c r="G43" s="759">
        <f>'4. CC D'!K26</f>
        <v>460000</v>
      </c>
      <c r="H43" s="759"/>
      <c r="I43" s="772"/>
      <c r="J43" s="772"/>
      <c r="K43" s="773"/>
      <c r="L43" s="773"/>
      <c r="M43" s="773"/>
      <c r="N43" s="773"/>
      <c r="O43" s="773"/>
      <c r="P43" s="773"/>
      <c r="Q43" s="774">
        <v>1</v>
      </c>
      <c r="R43" s="774">
        <v>2</v>
      </c>
      <c r="S43" s="774">
        <v>3</v>
      </c>
      <c r="T43" s="774">
        <v>4</v>
      </c>
      <c r="U43" s="774">
        <v>5</v>
      </c>
      <c r="V43" s="774">
        <v>6</v>
      </c>
      <c r="W43" s="774">
        <v>7</v>
      </c>
      <c r="X43" s="774">
        <v>8</v>
      </c>
      <c r="Y43" s="774">
        <v>9</v>
      </c>
      <c r="Z43" s="774">
        <v>10</v>
      </c>
      <c r="AA43" s="774">
        <v>11</v>
      </c>
      <c r="AB43" s="774">
        <v>12</v>
      </c>
      <c r="AC43" s="774">
        <v>13</v>
      </c>
      <c r="AD43" s="774">
        <v>14</v>
      </c>
      <c r="AE43" s="774">
        <v>15</v>
      </c>
      <c r="AF43" s="774">
        <v>16</v>
      </c>
      <c r="AG43" s="774">
        <v>17</v>
      </c>
      <c r="AH43" s="774">
        <v>18</v>
      </c>
      <c r="AI43" s="759"/>
      <c r="AJ43" s="759"/>
      <c r="AK43" s="759"/>
      <c r="AL43" s="759"/>
      <c r="AM43" s="759"/>
      <c r="AN43" s="759"/>
      <c r="AO43" s="759"/>
      <c r="AP43" s="759"/>
      <c r="AQ43" s="759"/>
      <c r="AR43" s="759"/>
      <c r="AS43" s="759"/>
      <c r="AT43" s="759"/>
      <c r="AU43" s="759"/>
      <c r="AV43" s="759"/>
      <c r="AW43" s="759"/>
      <c r="AX43" s="759"/>
      <c r="AY43" s="759"/>
      <c r="AZ43" s="759"/>
      <c r="BA43" s="759"/>
      <c r="BB43" s="759"/>
      <c r="BC43" s="759"/>
      <c r="BD43" s="759"/>
      <c r="BE43" s="759"/>
      <c r="BF43" s="759"/>
      <c r="BG43" s="759"/>
      <c r="BH43" s="759"/>
      <c r="BI43" s="759"/>
      <c r="BJ43" s="759"/>
      <c r="BK43" s="759"/>
      <c r="BL43" s="759"/>
      <c r="BM43" s="759"/>
      <c r="BN43" s="759"/>
      <c r="BO43" s="759"/>
      <c r="BP43" s="759"/>
    </row>
    <row r="44" spans="1:68" s="6" customFormat="1" ht="25.5" x14ac:dyDescent="0.2">
      <c r="A44" s="316" t="str">
        <f>'4. CC D'!A27</f>
        <v>1.3.4</v>
      </c>
      <c r="B44" s="222" t="str">
        <f>'4. CC D'!B27</f>
        <v>Contratación de Firma Consultora para Fiscalización de reemplazo de puentes Grupo 2</v>
      </c>
      <c r="C44" s="216" t="str">
        <f>'4. CC D'!H27</f>
        <v>23 meses</v>
      </c>
      <c r="D44" s="302" t="s">
        <v>216</v>
      </c>
      <c r="E44" s="302" t="s">
        <v>214</v>
      </c>
      <c r="F44" s="302" t="s">
        <v>457</v>
      </c>
      <c r="G44" s="759">
        <f>'4. CC D'!K27</f>
        <v>220000</v>
      </c>
      <c r="H44" s="759"/>
      <c r="I44" s="759"/>
      <c r="J44" s="759"/>
      <c r="K44" s="759"/>
      <c r="L44" s="759"/>
      <c r="M44" s="759"/>
      <c r="N44" s="759"/>
      <c r="O44" s="759"/>
      <c r="P44" s="759"/>
      <c r="Q44" s="759"/>
      <c r="R44" s="759"/>
      <c r="S44" s="759"/>
      <c r="T44" s="759"/>
      <c r="U44" s="759"/>
      <c r="V44" s="759"/>
      <c r="W44" s="759"/>
      <c r="X44" s="759"/>
      <c r="Y44" s="759"/>
      <c r="Z44" s="772"/>
      <c r="AA44" s="772"/>
      <c r="AB44" s="772"/>
      <c r="AC44" s="773"/>
      <c r="AD44" s="773"/>
      <c r="AE44" s="773"/>
      <c r="AF44" s="773"/>
      <c r="AG44" s="773"/>
      <c r="AH44" s="773"/>
      <c r="AI44" s="773"/>
      <c r="AJ44" s="774">
        <v>1</v>
      </c>
      <c r="AK44" s="774">
        <v>2</v>
      </c>
      <c r="AL44" s="774">
        <v>3</v>
      </c>
      <c r="AM44" s="774">
        <v>4</v>
      </c>
      <c r="AN44" s="774">
        <v>5</v>
      </c>
      <c r="AO44" s="774">
        <v>6</v>
      </c>
      <c r="AP44" s="774">
        <v>7</v>
      </c>
      <c r="AQ44" s="774">
        <v>8</v>
      </c>
      <c r="AR44" s="774">
        <v>9</v>
      </c>
      <c r="AS44" s="774">
        <v>10</v>
      </c>
      <c r="AT44" s="774">
        <v>11</v>
      </c>
      <c r="AU44" s="774">
        <v>12</v>
      </c>
      <c r="AV44" s="774">
        <v>13</v>
      </c>
      <c r="AW44" s="774">
        <v>14</v>
      </c>
      <c r="AX44" s="774">
        <v>15</v>
      </c>
      <c r="AY44" s="774">
        <v>16</v>
      </c>
      <c r="AZ44" s="774">
        <v>17</v>
      </c>
      <c r="BA44" s="774">
        <v>18</v>
      </c>
      <c r="BB44" s="774">
        <v>19</v>
      </c>
      <c r="BC44" s="774">
        <v>20</v>
      </c>
      <c r="BD44" s="774">
        <v>21</v>
      </c>
      <c r="BE44" s="774">
        <v>22</v>
      </c>
      <c r="BF44" s="774">
        <v>23</v>
      </c>
      <c r="BG44" s="759"/>
      <c r="BH44" s="759"/>
      <c r="BI44" s="759"/>
      <c r="BJ44" s="759"/>
      <c r="BK44" s="759"/>
      <c r="BL44" s="759"/>
      <c r="BM44" s="759"/>
      <c r="BN44" s="759"/>
      <c r="BO44" s="759"/>
      <c r="BP44" s="759"/>
    </row>
    <row r="45" spans="1:68" s="6" customFormat="1" ht="25.5" x14ac:dyDescent="0.2">
      <c r="A45" s="316" t="str">
        <f>'4. CC D'!A28</f>
        <v>1.3.5</v>
      </c>
      <c r="B45" s="222" t="str">
        <f>'4. CC D'!B28</f>
        <v>Contratación de Firma Consultora para el desarrollo de diseños de puentes - Grupo 2</v>
      </c>
      <c r="C45" s="216" t="str">
        <f>'4. CC D'!H28</f>
        <v>10 meses</v>
      </c>
      <c r="D45" s="216" t="s">
        <v>674</v>
      </c>
      <c r="E45" s="216" t="s">
        <v>204</v>
      </c>
      <c r="F45" s="216" t="s">
        <v>214</v>
      </c>
      <c r="G45" s="759">
        <f>'4. CC D'!K28</f>
        <v>780000</v>
      </c>
      <c r="H45" s="759"/>
      <c r="I45" s="759"/>
      <c r="J45" s="759"/>
      <c r="K45" s="759"/>
      <c r="L45" s="772"/>
      <c r="M45" s="772"/>
      <c r="N45" s="772"/>
      <c r="O45" s="773"/>
      <c r="P45" s="773"/>
      <c r="Q45" s="773"/>
      <c r="R45" s="773"/>
      <c r="S45" s="773"/>
      <c r="T45" s="773"/>
      <c r="U45" s="773"/>
      <c r="V45" s="774">
        <v>1</v>
      </c>
      <c r="W45" s="774">
        <v>2</v>
      </c>
      <c r="X45" s="774">
        <v>3</v>
      </c>
      <c r="Y45" s="774">
        <v>4</v>
      </c>
      <c r="Z45" s="774">
        <v>5</v>
      </c>
      <c r="AA45" s="774">
        <v>6</v>
      </c>
      <c r="AB45" s="774">
        <v>7</v>
      </c>
      <c r="AC45" s="774">
        <v>8</v>
      </c>
      <c r="AD45" s="774">
        <v>9</v>
      </c>
      <c r="AE45" s="774">
        <v>10</v>
      </c>
      <c r="AF45" s="759"/>
      <c r="AG45" s="759"/>
      <c r="AH45" s="759"/>
      <c r="AI45" s="759"/>
      <c r="AJ45" s="759"/>
      <c r="AK45" s="759"/>
      <c r="AL45" s="759"/>
      <c r="AM45" s="759"/>
      <c r="AN45" s="759"/>
      <c r="AO45" s="759"/>
      <c r="AP45" s="759"/>
      <c r="AQ45" s="759"/>
      <c r="AR45" s="759"/>
      <c r="AS45" s="759"/>
      <c r="AT45" s="759"/>
      <c r="AU45" s="759"/>
      <c r="AV45" s="759"/>
      <c r="AW45" s="759"/>
      <c r="AX45" s="759"/>
      <c r="AY45" s="759"/>
      <c r="AZ45" s="759"/>
      <c r="BA45" s="759"/>
      <c r="BB45" s="759"/>
      <c r="BC45" s="759"/>
      <c r="BD45" s="759"/>
      <c r="BE45" s="759"/>
      <c r="BF45" s="759"/>
      <c r="BG45" s="759"/>
      <c r="BH45" s="759"/>
      <c r="BI45" s="759"/>
      <c r="BJ45" s="759"/>
      <c r="BK45" s="759"/>
      <c r="BL45" s="759"/>
      <c r="BM45" s="759"/>
      <c r="BN45" s="759"/>
      <c r="BO45" s="759"/>
      <c r="BP45" s="759"/>
    </row>
    <row r="46" spans="1:68" s="6" customFormat="1" ht="24.75" customHeight="1" x14ac:dyDescent="0.2">
      <c r="A46" s="847">
        <f>'4. CC D'!A29</f>
        <v>1.4</v>
      </c>
      <c r="B46" s="219" t="str">
        <f>'4. CC D'!B29</f>
        <v>Producto 4: Mujeres Capacitadas en empleos no tradicionales del sector vial</v>
      </c>
      <c r="C46" s="220"/>
      <c r="D46" s="764"/>
      <c r="E46" s="764"/>
      <c r="F46" s="764"/>
      <c r="G46" s="760">
        <f>'4. CC D'!K29</f>
        <v>220000</v>
      </c>
      <c r="H46" s="760" t="str">
        <f>'4. CC D'!G29</f>
        <v>ECATEF/DCV</v>
      </c>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0"/>
      <c r="AU46" s="760"/>
      <c r="AV46" s="760"/>
      <c r="AW46" s="760"/>
      <c r="AX46" s="760"/>
      <c r="AY46" s="760"/>
      <c r="AZ46" s="760"/>
      <c r="BA46" s="760"/>
      <c r="BB46" s="760"/>
      <c r="BC46" s="760"/>
      <c r="BD46" s="760"/>
      <c r="BE46" s="760"/>
      <c r="BF46" s="760"/>
      <c r="BG46" s="760"/>
      <c r="BH46" s="760"/>
      <c r="BI46" s="760"/>
      <c r="BJ46" s="760"/>
      <c r="BK46" s="760"/>
      <c r="BL46" s="760"/>
      <c r="BM46" s="760"/>
      <c r="BN46" s="760"/>
      <c r="BO46" s="760"/>
      <c r="BP46" s="760"/>
    </row>
    <row r="47" spans="1:68" s="6" customFormat="1" ht="28.5" customHeight="1" x14ac:dyDescent="0.2">
      <c r="A47" s="315" t="str">
        <f>'4. CC D'!A30</f>
        <v>1.4.1</v>
      </c>
      <c r="B47" s="218" t="str">
        <f>'4. CC D'!B30</f>
        <v>Consultoría para diseño y divulgación de Programa de Educación Ambiental y de Género</v>
      </c>
      <c r="C47" s="216" t="str">
        <f>'4. CC D'!H30</f>
        <v>30 meses</v>
      </c>
      <c r="D47" s="216" t="s">
        <v>452</v>
      </c>
      <c r="E47" s="216" t="s">
        <v>215</v>
      </c>
      <c r="F47" s="216" t="s">
        <v>449</v>
      </c>
      <c r="G47" s="759">
        <f>'4. CC D'!K30</f>
        <v>90000</v>
      </c>
      <c r="H47" s="759"/>
      <c r="I47" s="759"/>
      <c r="J47" s="759"/>
      <c r="K47" s="759"/>
      <c r="L47" s="772"/>
      <c r="M47" s="772"/>
      <c r="N47" s="773"/>
      <c r="O47" s="773"/>
      <c r="P47" s="773"/>
      <c r="Q47" s="773"/>
      <c r="R47" s="773"/>
      <c r="S47" s="774">
        <v>1</v>
      </c>
      <c r="T47" s="774">
        <v>2</v>
      </c>
      <c r="U47" s="774">
        <v>3</v>
      </c>
      <c r="V47" s="774">
        <v>4</v>
      </c>
      <c r="W47" s="774">
        <v>5</v>
      </c>
      <c r="X47" s="774">
        <v>6</v>
      </c>
      <c r="Y47" s="774">
        <v>7</v>
      </c>
      <c r="Z47" s="774">
        <v>8</v>
      </c>
      <c r="AA47" s="774">
        <v>9</v>
      </c>
      <c r="AB47" s="774">
        <v>10</v>
      </c>
      <c r="AC47" s="774">
        <v>11</v>
      </c>
      <c r="AD47" s="774">
        <v>12</v>
      </c>
      <c r="AE47" s="774">
        <v>13</v>
      </c>
      <c r="AF47" s="774">
        <v>14</v>
      </c>
      <c r="AG47" s="774">
        <v>15</v>
      </c>
      <c r="AH47" s="774">
        <v>16</v>
      </c>
      <c r="AI47" s="774">
        <v>17</v>
      </c>
      <c r="AJ47" s="774">
        <v>18</v>
      </c>
      <c r="AK47" s="774">
        <v>19</v>
      </c>
      <c r="AL47" s="774">
        <v>20</v>
      </c>
      <c r="AM47" s="774">
        <v>21</v>
      </c>
      <c r="AN47" s="774">
        <v>22</v>
      </c>
      <c r="AO47" s="774">
        <v>23</v>
      </c>
      <c r="AP47" s="774">
        <v>24</v>
      </c>
      <c r="AQ47" s="774">
        <v>25</v>
      </c>
      <c r="AR47" s="774">
        <v>26</v>
      </c>
      <c r="AS47" s="774">
        <v>27</v>
      </c>
      <c r="AT47" s="774">
        <v>28</v>
      </c>
      <c r="AU47" s="774">
        <v>29</v>
      </c>
      <c r="AV47" s="774">
        <v>30</v>
      </c>
      <c r="AW47" s="759"/>
      <c r="AX47" s="759"/>
      <c r="AY47" s="759"/>
      <c r="AZ47" s="759"/>
      <c r="BA47" s="759"/>
      <c r="BB47" s="759"/>
      <c r="BC47" s="759"/>
      <c r="BD47" s="759"/>
      <c r="BE47" s="759"/>
      <c r="BF47" s="759"/>
      <c r="BG47" s="759"/>
      <c r="BH47" s="759"/>
      <c r="BI47" s="759"/>
      <c r="BJ47" s="759"/>
      <c r="BK47" s="759"/>
      <c r="BL47" s="759"/>
      <c r="BM47" s="759"/>
      <c r="BN47" s="759"/>
      <c r="BO47" s="759"/>
      <c r="BP47" s="759"/>
    </row>
    <row r="48" spans="1:68" s="6" customFormat="1" ht="25.5" x14ac:dyDescent="0.2">
      <c r="A48" s="315" t="str">
        <f>'4. CC D'!A31</f>
        <v>1.4.2</v>
      </c>
      <c r="B48" s="218" t="str">
        <f>'4. CC D'!B31</f>
        <v>Consultoría para desarrollo de la generación de mano de obra local y genero en zona de emprendimiento</v>
      </c>
      <c r="C48" s="216" t="str">
        <f>'4. CC D'!H31</f>
        <v>36 meses</v>
      </c>
      <c r="D48" s="216" t="s">
        <v>451</v>
      </c>
      <c r="E48" s="216" t="s">
        <v>215</v>
      </c>
      <c r="F48" s="216" t="s">
        <v>207</v>
      </c>
      <c r="G48" s="759">
        <f>'4. CC D'!K31</f>
        <v>130000</v>
      </c>
      <c r="H48" s="759"/>
      <c r="I48" s="772"/>
      <c r="J48" s="772"/>
      <c r="K48" s="772"/>
      <c r="L48" s="773"/>
      <c r="M48" s="773"/>
      <c r="N48" s="773"/>
      <c r="O48" s="773"/>
      <c r="P48" s="773"/>
      <c r="Q48" s="773"/>
      <c r="R48" s="773"/>
      <c r="S48" s="773"/>
      <c r="T48" s="774">
        <v>1</v>
      </c>
      <c r="U48" s="774">
        <v>2</v>
      </c>
      <c r="V48" s="774">
        <v>3</v>
      </c>
      <c r="W48" s="774">
        <v>4</v>
      </c>
      <c r="X48" s="774">
        <v>5</v>
      </c>
      <c r="Y48" s="774">
        <v>6</v>
      </c>
      <c r="Z48" s="774">
        <v>7</v>
      </c>
      <c r="AA48" s="774">
        <v>8</v>
      </c>
      <c r="AB48" s="774">
        <v>9</v>
      </c>
      <c r="AC48" s="774">
        <v>10</v>
      </c>
      <c r="AD48" s="774">
        <v>11</v>
      </c>
      <c r="AE48" s="774">
        <v>12</v>
      </c>
      <c r="AF48" s="774">
        <v>13</v>
      </c>
      <c r="AG48" s="774">
        <v>14</v>
      </c>
      <c r="AH48" s="774">
        <v>15</v>
      </c>
      <c r="AI48" s="774">
        <v>16</v>
      </c>
      <c r="AJ48" s="774">
        <v>17</v>
      </c>
      <c r="AK48" s="774">
        <v>18</v>
      </c>
      <c r="AL48" s="774">
        <v>19</v>
      </c>
      <c r="AM48" s="774">
        <v>20</v>
      </c>
      <c r="AN48" s="774">
        <v>21</v>
      </c>
      <c r="AO48" s="774">
        <v>22</v>
      </c>
      <c r="AP48" s="774">
        <v>23</v>
      </c>
      <c r="AQ48" s="774">
        <v>24</v>
      </c>
      <c r="AR48" s="774">
        <v>25</v>
      </c>
      <c r="AS48" s="774">
        <v>26</v>
      </c>
      <c r="AT48" s="774">
        <v>27</v>
      </c>
      <c r="AU48" s="774">
        <v>28</v>
      </c>
      <c r="AV48" s="774">
        <v>29</v>
      </c>
      <c r="AW48" s="774">
        <v>30</v>
      </c>
      <c r="AX48" s="774">
        <v>31</v>
      </c>
      <c r="AY48" s="774">
        <v>32</v>
      </c>
      <c r="AZ48" s="774">
        <v>33</v>
      </c>
      <c r="BA48" s="774">
        <v>34</v>
      </c>
      <c r="BB48" s="774">
        <v>35</v>
      </c>
      <c r="BC48" s="774">
        <v>36</v>
      </c>
      <c r="BD48" s="830"/>
      <c r="BE48" s="830"/>
      <c r="BF48" s="830"/>
      <c r="BG48" s="830"/>
      <c r="BH48" s="830"/>
      <c r="BI48" s="830"/>
      <c r="BJ48" s="830"/>
      <c r="BK48" s="830"/>
      <c r="BL48" s="830"/>
      <c r="BM48" s="830"/>
      <c r="BN48" s="830"/>
      <c r="BO48" s="830"/>
      <c r="BP48" s="759"/>
    </row>
    <row r="49" spans="1:68" s="6" customFormat="1" ht="17.25" customHeight="1" x14ac:dyDescent="0.2">
      <c r="A49" s="848">
        <f>'4. CC D'!A32</f>
        <v>2</v>
      </c>
      <c r="B49" s="224" t="str">
        <f>'4. CC D'!B32</f>
        <v>Otros Costos</v>
      </c>
      <c r="C49" s="296"/>
      <c r="D49" s="762"/>
      <c r="E49" s="762"/>
      <c r="F49" s="762"/>
      <c r="G49" s="757">
        <f>'4. CC D'!K32</f>
        <v>3780000</v>
      </c>
      <c r="H49" s="757">
        <f>'4. CC D'!G32</f>
        <v>0</v>
      </c>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57"/>
      <c r="AV49" s="757"/>
      <c r="AW49" s="757"/>
      <c r="AX49" s="757"/>
      <c r="AY49" s="757"/>
      <c r="AZ49" s="757"/>
      <c r="BA49" s="757"/>
      <c r="BB49" s="757"/>
      <c r="BC49" s="757"/>
      <c r="BD49" s="757"/>
      <c r="BE49" s="757"/>
      <c r="BF49" s="757"/>
      <c r="BG49" s="757"/>
      <c r="BH49" s="757"/>
      <c r="BI49" s="757"/>
      <c r="BJ49" s="757"/>
      <c r="BK49" s="757"/>
      <c r="BL49" s="757"/>
      <c r="BM49" s="757"/>
      <c r="BN49" s="757"/>
      <c r="BO49" s="757"/>
      <c r="BP49" s="757"/>
    </row>
    <row r="50" spans="1:68" x14ac:dyDescent="0.2">
      <c r="A50" s="847">
        <v>2.1</v>
      </c>
      <c r="B50" s="219" t="str">
        <f>'4. CC D'!B33</f>
        <v>Administración del Programa</v>
      </c>
      <c r="C50" s="220"/>
      <c r="D50" s="220"/>
      <c r="E50" s="220"/>
      <c r="F50" s="220"/>
      <c r="G50" s="760">
        <f>'4. CC D'!K33</f>
        <v>3000000</v>
      </c>
      <c r="H50" s="760" t="str">
        <f>'4. CC D'!G33</f>
        <v>ECATEF/DCV</v>
      </c>
      <c r="I50" s="760"/>
      <c r="J50" s="760"/>
      <c r="K50" s="760"/>
      <c r="L50" s="760"/>
      <c r="M50" s="760"/>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760"/>
      <c r="AN50" s="760"/>
      <c r="AO50" s="760"/>
      <c r="AP50" s="760"/>
      <c r="AQ50" s="760"/>
      <c r="AR50" s="760"/>
      <c r="AS50" s="760"/>
      <c r="AT50" s="760"/>
      <c r="AU50" s="760"/>
      <c r="AV50" s="760"/>
      <c r="AW50" s="760"/>
      <c r="AX50" s="760"/>
      <c r="AY50" s="760"/>
      <c r="AZ50" s="760"/>
      <c r="BA50" s="760"/>
      <c r="BB50" s="760"/>
      <c r="BC50" s="760"/>
      <c r="BD50" s="760"/>
      <c r="BE50" s="760"/>
      <c r="BF50" s="760"/>
      <c r="BG50" s="760"/>
      <c r="BH50" s="760"/>
      <c r="BI50" s="760"/>
      <c r="BJ50" s="760"/>
      <c r="BK50" s="760"/>
      <c r="BL50" s="760"/>
      <c r="BM50" s="760"/>
      <c r="BN50" s="760"/>
      <c r="BO50" s="760"/>
      <c r="BP50" s="760"/>
    </row>
    <row r="51" spans="1:68" ht="21.75" customHeight="1" x14ac:dyDescent="0.2">
      <c r="A51" s="317" t="str">
        <f>'4. CC D'!A34</f>
        <v>2.1.1</v>
      </c>
      <c r="B51" s="170" t="str">
        <f>'4. CC D'!B34</f>
        <v>Continuación de los servicios de la ECATEF para el Programa PR-L1092</v>
      </c>
      <c r="C51" s="777" t="str">
        <f>'4. CC D'!H34</f>
        <v>60 meses</v>
      </c>
      <c r="D51" s="777" t="s">
        <v>451</v>
      </c>
      <c r="E51" s="777" t="s">
        <v>451</v>
      </c>
      <c r="F51" s="777" t="s">
        <v>450</v>
      </c>
      <c r="G51" s="178">
        <f>'4. CC D'!K34</f>
        <v>3000000</v>
      </c>
      <c r="H51" s="178"/>
      <c r="I51" s="778">
        <v>1</v>
      </c>
      <c r="J51" s="778">
        <v>2</v>
      </c>
      <c r="K51" s="778">
        <v>3</v>
      </c>
      <c r="L51" s="778">
        <v>4</v>
      </c>
      <c r="M51" s="778">
        <v>5</v>
      </c>
      <c r="N51" s="778">
        <v>6</v>
      </c>
      <c r="O51" s="778">
        <v>7</v>
      </c>
      <c r="P51" s="778">
        <v>8</v>
      </c>
      <c r="Q51" s="778">
        <v>9</v>
      </c>
      <c r="R51" s="778">
        <v>10</v>
      </c>
      <c r="S51" s="778">
        <v>11</v>
      </c>
      <c r="T51" s="778">
        <v>12</v>
      </c>
      <c r="U51" s="778">
        <v>13</v>
      </c>
      <c r="V51" s="778">
        <v>14</v>
      </c>
      <c r="W51" s="778">
        <v>15</v>
      </c>
      <c r="X51" s="778">
        <v>16</v>
      </c>
      <c r="Y51" s="778">
        <v>17</v>
      </c>
      <c r="Z51" s="778">
        <v>18</v>
      </c>
      <c r="AA51" s="778">
        <v>19</v>
      </c>
      <c r="AB51" s="778">
        <v>20</v>
      </c>
      <c r="AC51" s="778">
        <v>21</v>
      </c>
      <c r="AD51" s="778">
        <v>22</v>
      </c>
      <c r="AE51" s="778">
        <v>23</v>
      </c>
      <c r="AF51" s="778">
        <v>24</v>
      </c>
      <c r="AG51" s="778">
        <v>25</v>
      </c>
      <c r="AH51" s="778">
        <v>26</v>
      </c>
      <c r="AI51" s="778">
        <v>27</v>
      </c>
      <c r="AJ51" s="778">
        <v>28</v>
      </c>
      <c r="AK51" s="778">
        <v>29</v>
      </c>
      <c r="AL51" s="778">
        <v>30</v>
      </c>
      <c r="AM51" s="778">
        <v>31</v>
      </c>
      <c r="AN51" s="778">
        <v>32</v>
      </c>
      <c r="AO51" s="778">
        <v>33</v>
      </c>
      <c r="AP51" s="778">
        <v>34</v>
      </c>
      <c r="AQ51" s="778">
        <v>35</v>
      </c>
      <c r="AR51" s="778">
        <v>36</v>
      </c>
      <c r="AS51" s="778">
        <v>37</v>
      </c>
      <c r="AT51" s="778">
        <v>38</v>
      </c>
      <c r="AU51" s="778">
        <v>39</v>
      </c>
      <c r="AV51" s="778">
        <v>40</v>
      </c>
      <c r="AW51" s="778">
        <v>41</v>
      </c>
      <c r="AX51" s="778">
        <v>42</v>
      </c>
      <c r="AY51" s="778">
        <v>43</v>
      </c>
      <c r="AZ51" s="778">
        <v>44</v>
      </c>
      <c r="BA51" s="778">
        <v>45</v>
      </c>
      <c r="BB51" s="778">
        <v>46</v>
      </c>
      <c r="BC51" s="778">
        <v>47</v>
      </c>
      <c r="BD51" s="778">
        <v>48</v>
      </c>
      <c r="BE51" s="778">
        <v>49</v>
      </c>
      <c r="BF51" s="778">
        <v>50</v>
      </c>
      <c r="BG51" s="778">
        <v>51</v>
      </c>
      <c r="BH51" s="778">
        <v>52</v>
      </c>
      <c r="BI51" s="778">
        <v>53</v>
      </c>
      <c r="BJ51" s="778">
        <v>54</v>
      </c>
      <c r="BK51" s="778">
        <v>55</v>
      </c>
      <c r="BL51" s="778">
        <v>56</v>
      </c>
      <c r="BM51" s="778">
        <v>57</v>
      </c>
      <c r="BN51" s="778">
        <v>58</v>
      </c>
      <c r="BO51" s="778">
        <v>59</v>
      </c>
      <c r="BP51" s="778">
        <v>60</v>
      </c>
    </row>
    <row r="52" spans="1:68" x14ac:dyDescent="0.2">
      <c r="A52" s="847">
        <v>2.2000000000000002</v>
      </c>
      <c r="B52" s="219" t="str">
        <f>'4. CC D'!B35</f>
        <v>Auditoria, Monitoreo y Evaluación desarrollados</v>
      </c>
      <c r="C52" s="220"/>
      <c r="D52" s="220"/>
      <c r="E52" s="220"/>
      <c r="F52" s="220"/>
      <c r="G52" s="760">
        <f>'4. CC D'!K35</f>
        <v>200000</v>
      </c>
      <c r="H52" s="760" t="str">
        <f>'4. CC D'!G35</f>
        <v>ECATEF/DCV</v>
      </c>
      <c r="I52" s="760"/>
      <c r="J52" s="760"/>
      <c r="K52" s="760"/>
      <c r="L52" s="760"/>
      <c r="M52" s="760"/>
      <c r="N52" s="760"/>
      <c r="O52" s="760"/>
      <c r="P52" s="760"/>
      <c r="Q52" s="760"/>
      <c r="R52" s="760"/>
      <c r="S52" s="760"/>
      <c r="T52" s="760"/>
      <c r="U52" s="760"/>
      <c r="V52" s="760"/>
      <c r="W52" s="760"/>
      <c r="X52" s="760"/>
      <c r="Y52" s="760"/>
      <c r="Z52" s="760"/>
      <c r="AA52" s="760"/>
      <c r="AB52" s="760"/>
      <c r="AC52" s="760"/>
      <c r="AD52" s="760"/>
      <c r="AE52" s="760"/>
      <c r="AF52" s="760"/>
      <c r="AG52" s="760"/>
      <c r="AH52" s="760"/>
      <c r="AI52" s="760"/>
      <c r="AJ52" s="760"/>
      <c r="AK52" s="760"/>
      <c r="AL52" s="760"/>
      <c r="AM52" s="760"/>
      <c r="AN52" s="760"/>
      <c r="AO52" s="760"/>
      <c r="AP52" s="760"/>
      <c r="AQ52" s="760"/>
      <c r="AR52" s="760"/>
      <c r="AS52" s="760"/>
      <c r="AT52" s="760"/>
      <c r="AU52" s="760"/>
      <c r="AV52" s="760"/>
      <c r="AW52" s="760"/>
      <c r="AX52" s="760"/>
      <c r="AY52" s="760"/>
      <c r="AZ52" s="760"/>
      <c r="BA52" s="760"/>
      <c r="BB52" s="760"/>
      <c r="BC52" s="760"/>
      <c r="BD52" s="760"/>
      <c r="BE52" s="760"/>
      <c r="BF52" s="760"/>
      <c r="BG52" s="760"/>
      <c r="BH52" s="760"/>
      <c r="BI52" s="760"/>
      <c r="BJ52" s="760"/>
      <c r="BK52" s="760"/>
      <c r="BL52" s="760"/>
      <c r="BM52" s="760"/>
      <c r="BN52" s="760"/>
      <c r="BO52" s="760"/>
      <c r="BP52" s="760"/>
    </row>
    <row r="53" spans="1:68" ht="25.5" x14ac:dyDescent="0.2">
      <c r="A53" s="317" t="str">
        <f>'4. CC D'!A36</f>
        <v>2.2.1</v>
      </c>
      <c r="B53" s="170" t="str">
        <f>'4. CC D'!B36</f>
        <v>Contratación de Firma Consultora para la Auditoria Externa del Programa PR-L1092</v>
      </c>
      <c r="C53" s="191" t="str">
        <f>'4. CC D'!H36</f>
        <v>50 meses</v>
      </c>
      <c r="D53" s="777" t="s">
        <v>452</v>
      </c>
      <c r="E53" s="777" t="s">
        <v>215</v>
      </c>
      <c r="F53" s="777" t="s">
        <v>450</v>
      </c>
      <c r="G53" s="761">
        <f>'4. CC D'!K36</f>
        <v>100000</v>
      </c>
      <c r="H53" s="761"/>
      <c r="I53" s="761"/>
      <c r="J53" s="761"/>
      <c r="K53" s="761"/>
      <c r="L53" s="761"/>
      <c r="M53" s="776"/>
      <c r="N53" s="776"/>
      <c r="O53" s="776"/>
      <c r="P53" s="773"/>
      <c r="Q53" s="773"/>
      <c r="R53" s="773"/>
      <c r="S53" s="774">
        <v>1</v>
      </c>
      <c r="T53" s="774">
        <v>2</v>
      </c>
      <c r="U53" s="774">
        <v>3</v>
      </c>
      <c r="V53" s="774">
        <v>4</v>
      </c>
      <c r="W53" s="774">
        <v>5</v>
      </c>
      <c r="X53" s="774">
        <v>6</v>
      </c>
      <c r="Y53" s="774">
        <v>7</v>
      </c>
      <c r="Z53" s="774">
        <v>8</v>
      </c>
      <c r="AA53" s="774">
        <v>9</v>
      </c>
      <c r="AB53" s="774">
        <v>10</v>
      </c>
      <c r="AC53" s="774">
        <v>11</v>
      </c>
      <c r="AD53" s="774">
        <v>12</v>
      </c>
      <c r="AE53" s="774">
        <v>13</v>
      </c>
      <c r="AF53" s="774">
        <v>14</v>
      </c>
      <c r="AG53" s="774">
        <v>15</v>
      </c>
      <c r="AH53" s="774">
        <v>16</v>
      </c>
      <c r="AI53" s="774">
        <v>17</v>
      </c>
      <c r="AJ53" s="774">
        <v>18</v>
      </c>
      <c r="AK53" s="774">
        <v>19</v>
      </c>
      <c r="AL53" s="774">
        <v>20</v>
      </c>
      <c r="AM53" s="774">
        <v>21</v>
      </c>
      <c r="AN53" s="774">
        <v>22</v>
      </c>
      <c r="AO53" s="774">
        <v>23</v>
      </c>
      <c r="AP53" s="774">
        <v>24</v>
      </c>
      <c r="AQ53" s="774">
        <v>25</v>
      </c>
      <c r="AR53" s="774">
        <v>26</v>
      </c>
      <c r="AS53" s="774">
        <v>27</v>
      </c>
      <c r="AT53" s="774">
        <v>28</v>
      </c>
      <c r="AU53" s="774">
        <v>29</v>
      </c>
      <c r="AV53" s="774">
        <v>30</v>
      </c>
      <c r="AW53" s="774">
        <v>31</v>
      </c>
      <c r="AX53" s="774">
        <v>32</v>
      </c>
      <c r="AY53" s="774">
        <v>33</v>
      </c>
      <c r="AZ53" s="774">
        <v>34</v>
      </c>
      <c r="BA53" s="774">
        <v>35</v>
      </c>
      <c r="BB53" s="774">
        <v>36</v>
      </c>
      <c r="BC53" s="774">
        <v>37</v>
      </c>
      <c r="BD53" s="774">
        <v>38</v>
      </c>
      <c r="BE53" s="774">
        <v>39</v>
      </c>
      <c r="BF53" s="774">
        <v>40</v>
      </c>
      <c r="BG53" s="774">
        <v>41</v>
      </c>
      <c r="BH53" s="774">
        <v>42</v>
      </c>
      <c r="BI53" s="774">
        <v>43</v>
      </c>
      <c r="BJ53" s="774">
        <v>44</v>
      </c>
      <c r="BK53" s="774">
        <v>45</v>
      </c>
      <c r="BL53" s="774">
        <v>46</v>
      </c>
      <c r="BM53" s="774">
        <v>47</v>
      </c>
      <c r="BN53" s="774">
        <v>48</v>
      </c>
      <c r="BO53" s="774">
        <v>49</v>
      </c>
      <c r="BP53" s="774">
        <v>50</v>
      </c>
    </row>
    <row r="54" spans="1:68" ht="20.25" customHeight="1" x14ac:dyDescent="0.2">
      <c r="A54" s="317" t="str">
        <f>'4. CC D'!A37</f>
        <v>2.2.2</v>
      </c>
      <c r="B54" s="170" t="str">
        <f>'4. CC D'!B37</f>
        <v>Contratación de Firma Consultora para la Evaluación Intermedia del Programa</v>
      </c>
      <c r="C54" s="191" t="str">
        <f>'4. CC D'!H37</f>
        <v>6 meses</v>
      </c>
      <c r="D54" s="777" t="s">
        <v>218</v>
      </c>
      <c r="E54" s="777" t="s">
        <v>217</v>
      </c>
      <c r="F54" s="777" t="s">
        <v>206</v>
      </c>
      <c r="G54" s="761">
        <f>'4. CC D'!K37</f>
        <v>50000</v>
      </c>
      <c r="H54" s="761"/>
      <c r="I54" s="761"/>
      <c r="J54" s="761"/>
      <c r="K54" s="761"/>
      <c r="L54" s="761"/>
      <c r="M54" s="761"/>
      <c r="N54" s="761"/>
      <c r="O54" s="761"/>
      <c r="P54" s="761"/>
      <c r="Q54" s="761"/>
      <c r="R54" s="761"/>
      <c r="S54" s="761"/>
      <c r="T54" s="761"/>
      <c r="U54" s="761"/>
      <c r="V54" s="761"/>
      <c r="W54" s="761"/>
      <c r="X54" s="761"/>
      <c r="Y54" s="776"/>
      <c r="Z54" s="776"/>
      <c r="AA54" s="776"/>
      <c r="AB54" s="773"/>
      <c r="AC54" s="773"/>
      <c r="AD54" s="773"/>
      <c r="AE54" s="773"/>
      <c r="AF54" s="773"/>
      <c r="AG54" s="773"/>
      <c r="AH54" s="773"/>
      <c r="AI54" s="775">
        <v>1</v>
      </c>
      <c r="AJ54" s="775">
        <v>2</v>
      </c>
      <c r="AK54" s="775">
        <v>3</v>
      </c>
      <c r="AL54" s="775">
        <v>4</v>
      </c>
      <c r="AM54" s="775">
        <v>5</v>
      </c>
      <c r="AN54" s="775">
        <v>6</v>
      </c>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61"/>
      <c r="BM54" s="761"/>
      <c r="BN54" s="761"/>
      <c r="BO54" s="761"/>
      <c r="BP54" s="761"/>
    </row>
    <row r="55" spans="1:68" ht="21" customHeight="1" x14ac:dyDescent="0.2">
      <c r="A55" s="317" t="str">
        <f>'4. CC D'!A38</f>
        <v>2.2.3</v>
      </c>
      <c r="B55" s="170" t="str">
        <f>'4. CC D'!B38</f>
        <v>Contratación de Firma Consultora para la Evaluación Final del Programa</v>
      </c>
      <c r="C55" s="191" t="str">
        <f>'4. CC D'!H38</f>
        <v>6 meses</v>
      </c>
      <c r="D55" s="777" t="s">
        <v>207</v>
      </c>
      <c r="E55" s="777" t="s">
        <v>675</v>
      </c>
      <c r="F55" s="777" t="s">
        <v>450</v>
      </c>
      <c r="G55" s="761">
        <f>'4. CC D'!K38</f>
        <v>50000</v>
      </c>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76"/>
      <c r="AZ55" s="776"/>
      <c r="BA55" s="776"/>
      <c r="BB55" s="776"/>
      <c r="BC55" s="773"/>
      <c r="BD55" s="773"/>
      <c r="BE55" s="773"/>
      <c r="BF55" s="773"/>
      <c r="BG55" s="773"/>
      <c r="BH55" s="773"/>
      <c r="BI55" s="775">
        <v>1</v>
      </c>
      <c r="BJ55" s="775">
        <v>2</v>
      </c>
      <c r="BK55" s="775">
        <v>3</v>
      </c>
      <c r="BL55" s="775">
        <v>4</v>
      </c>
      <c r="BM55" s="775">
        <v>5</v>
      </c>
      <c r="BN55" s="775">
        <v>6</v>
      </c>
      <c r="BO55" s="761"/>
      <c r="BP55" s="761"/>
    </row>
    <row r="56" spans="1:68" x14ac:dyDescent="0.2">
      <c r="A56" s="847">
        <v>2.2999999999999998</v>
      </c>
      <c r="B56" s="219" t="str">
        <f>'4. CC D'!B39</f>
        <v>Gestión Socio Ambiental</v>
      </c>
      <c r="C56" s="220"/>
      <c r="D56" s="220"/>
      <c r="E56" s="220"/>
      <c r="F56" s="220"/>
      <c r="G56" s="760">
        <f>'4. CC D'!K39</f>
        <v>580000</v>
      </c>
      <c r="H56" s="760" t="str">
        <f>'4. CC D'!G39</f>
        <v>ECATEF/DCV</v>
      </c>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0"/>
      <c r="AH56" s="760"/>
      <c r="AI56" s="760"/>
      <c r="AJ56" s="760"/>
      <c r="AK56" s="760"/>
      <c r="AL56" s="760"/>
      <c r="AM56" s="760"/>
      <c r="AN56" s="760"/>
      <c r="AO56" s="760"/>
      <c r="AP56" s="760"/>
      <c r="AQ56" s="760"/>
      <c r="AR56" s="760"/>
      <c r="AS56" s="760"/>
      <c r="AT56" s="760"/>
      <c r="AU56" s="760"/>
      <c r="AV56" s="760"/>
      <c r="AW56" s="760"/>
      <c r="AX56" s="760"/>
      <c r="AY56" s="760"/>
      <c r="AZ56" s="760"/>
      <c r="BA56" s="760"/>
      <c r="BB56" s="760"/>
      <c r="BC56" s="760"/>
      <c r="BD56" s="760"/>
      <c r="BE56" s="760"/>
      <c r="BF56" s="760"/>
      <c r="BG56" s="760"/>
      <c r="BH56" s="760"/>
      <c r="BI56" s="760"/>
      <c r="BJ56" s="760"/>
      <c r="BK56" s="760"/>
      <c r="BL56" s="760"/>
      <c r="BM56" s="760"/>
      <c r="BN56" s="760"/>
      <c r="BO56" s="760"/>
      <c r="BP56" s="760"/>
    </row>
    <row r="57" spans="1:68" s="6" customFormat="1" ht="24.75" customHeight="1" x14ac:dyDescent="0.2">
      <c r="A57" s="315" t="str">
        <f>'4. CC D'!A40</f>
        <v>2.3.1</v>
      </c>
      <c r="B57" s="218" t="str">
        <f>'4. CC D'!B40</f>
        <v>Consultoría de Diseño y Capacitación para el Gerenciamiento Ambiental</v>
      </c>
      <c r="C57" s="216" t="str">
        <f>'4. CC D'!H40</f>
        <v>24 meses</v>
      </c>
      <c r="D57" s="216" t="s">
        <v>204</v>
      </c>
      <c r="E57" s="216" t="s">
        <v>214</v>
      </c>
      <c r="F57" s="216" t="s">
        <v>219</v>
      </c>
      <c r="G57" s="759">
        <f>'4. CC D'!K40</f>
        <v>65000</v>
      </c>
      <c r="H57" s="759"/>
      <c r="I57" s="759"/>
      <c r="J57" s="759"/>
      <c r="K57" s="759"/>
      <c r="L57" s="759"/>
      <c r="M57" s="759"/>
      <c r="N57" s="759"/>
      <c r="O57" s="759"/>
      <c r="P57" s="759"/>
      <c r="Q57" s="759"/>
      <c r="R57" s="759"/>
      <c r="S57" s="759"/>
      <c r="T57" s="759"/>
      <c r="U57" s="772"/>
      <c r="V57" s="772"/>
      <c r="W57" s="773"/>
      <c r="X57" s="773"/>
      <c r="Y57" s="773"/>
      <c r="Z57" s="773"/>
      <c r="AA57" s="773"/>
      <c r="AB57" s="773"/>
      <c r="AC57" s="773"/>
      <c r="AD57" s="774">
        <v>1</v>
      </c>
      <c r="AE57" s="774">
        <v>2</v>
      </c>
      <c r="AF57" s="774">
        <v>3</v>
      </c>
      <c r="AG57" s="774">
        <v>4</v>
      </c>
      <c r="AH57" s="774">
        <v>5</v>
      </c>
      <c r="AI57" s="774">
        <v>6</v>
      </c>
      <c r="AJ57" s="774">
        <v>7</v>
      </c>
      <c r="AK57" s="774">
        <v>8</v>
      </c>
      <c r="AL57" s="774">
        <v>9</v>
      </c>
      <c r="AM57" s="774">
        <v>10</v>
      </c>
      <c r="AN57" s="774">
        <v>11</v>
      </c>
      <c r="AO57" s="774">
        <v>12</v>
      </c>
      <c r="AP57" s="774">
        <v>13</v>
      </c>
      <c r="AQ57" s="774">
        <v>14</v>
      </c>
      <c r="AR57" s="774">
        <v>15</v>
      </c>
      <c r="AS57" s="774">
        <v>16</v>
      </c>
      <c r="AT57" s="774">
        <v>17</v>
      </c>
      <c r="AU57" s="774">
        <v>18</v>
      </c>
      <c r="AV57" s="774">
        <v>19</v>
      </c>
      <c r="AW57" s="774">
        <v>20</v>
      </c>
      <c r="AX57" s="774">
        <v>21</v>
      </c>
      <c r="AY57" s="774">
        <v>22</v>
      </c>
      <c r="AZ57" s="774">
        <v>23</v>
      </c>
      <c r="BA57" s="774">
        <v>24</v>
      </c>
      <c r="BB57" s="759"/>
      <c r="BC57" s="759"/>
      <c r="BD57" s="759"/>
      <c r="BE57" s="759"/>
      <c r="BF57" s="759"/>
      <c r="BG57" s="759"/>
      <c r="BH57" s="759"/>
      <c r="BI57" s="759"/>
      <c r="BJ57" s="759"/>
      <c r="BK57" s="759"/>
      <c r="BL57" s="759"/>
      <c r="BM57" s="759"/>
      <c r="BN57" s="759"/>
      <c r="BO57" s="759"/>
      <c r="BP57" s="759"/>
    </row>
    <row r="58" spans="1:68" s="6" customFormat="1" ht="25.5" customHeight="1" x14ac:dyDescent="0.2">
      <c r="A58" s="315" t="str">
        <f>'4. CC D'!A41</f>
        <v>2.3.2</v>
      </c>
      <c r="B58" s="218" t="str">
        <f>'4. CC D'!B41</f>
        <v>Consultoría para desarrollo de apoyo a pueblos indígenas</v>
      </c>
      <c r="C58" s="216" t="str">
        <f>'4. CC D'!H41</f>
        <v>12 meses</v>
      </c>
      <c r="D58" s="216" t="s">
        <v>204</v>
      </c>
      <c r="E58" s="216" t="s">
        <v>218</v>
      </c>
      <c r="F58" s="216" t="s">
        <v>206</v>
      </c>
      <c r="G58" s="759">
        <f>'4. CC D'!K41</f>
        <v>130000</v>
      </c>
      <c r="H58" s="759"/>
      <c r="I58" s="759"/>
      <c r="J58" s="759"/>
      <c r="K58" s="759"/>
      <c r="L58" s="759"/>
      <c r="M58" s="759"/>
      <c r="N58" s="759"/>
      <c r="O58" s="759"/>
      <c r="P58" s="759"/>
      <c r="Q58" s="759"/>
      <c r="R58" s="759"/>
      <c r="S58" s="759"/>
      <c r="T58" s="759"/>
      <c r="U58" s="772"/>
      <c r="V58" s="772"/>
      <c r="W58" s="773"/>
      <c r="X58" s="773"/>
      <c r="Y58" s="773"/>
      <c r="Z58" s="773"/>
      <c r="AA58" s="773"/>
      <c r="AB58" s="773"/>
      <c r="AC58" s="773"/>
      <c r="AD58" s="774">
        <v>1</v>
      </c>
      <c r="AE58" s="774">
        <v>2</v>
      </c>
      <c r="AF58" s="774">
        <v>3</v>
      </c>
      <c r="AG58" s="774">
        <v>4</v>
      </c>
      <c r="AH58" s="774">
        <v>5</v>
      </c>
      <c r="AI58" s="774">
        <v>6</v>
      </c>
      <c r="AJ58" s="774">
        <v>7</v>
      </c>
      <c r="AK58" s="774">
        <v>8</v>
      </c>
      <c r="AL58" s="774">
        <v>9</v>
      </c>
      <c r="AM58" s="774">
        <v>10</v>
      </c>
      <c r="AN58" s="774">
        <v>11</v>
      </c>
      <c r="AO58" s="774">
        <v>12</v>
      </c>
      <c r="AP58" s="830"/>
      <c r="AQ58" s="830"/>
      <c r="AR58" s="830"/>
      <c r="AS58" s="830"/>
      <c r="AT58" s="830"/>
      <c r="AU58" s="830"/>
      <c r="AV58" s="830"/>
      <c r="AW58" s="830"/>
      <c r="AX58" s="830"/>
      <c r="AY58" s="830"/>
      <c r="AZ58" s="830"/>
      <c r="BA58" s="830"/>
      <c r="BB58" s="830"/>
      <c r="BC58" s="830"/>
      <c r="BD58" s="830"/>
      <c r="BE58" s="830"/>
      <c r="BF58" s="830"/>
      <c r="BG58" s="759"/>
      <c r="BH58" s="759"/>
      <c r="BI58" s="759"/>
      <c r="BJ58" s="759"/>
      <c r="BK58" s="759"/>
      <c r="BL58" s="759"/>
      <c r="BM58" s="759"/>
      <c r="BN58" s="759"/>
      <c r="BO58" s="759"/>
      <c r="BP58" s="759"/>
    </row>
    <row r="59" spans="1:68" s="6" customFormat="1" ht="25.5" customHeight="1" x14ac:dyDescent="0.2">
      <c r="A59" s="315" t="str">
        <f>'4. CC D'!A42</f>
        <v>2.3.3</v>
      </c>
      <c r="B59" s="218" t="str">
        <f>'4. CC D'!B42</f>
        <v xml:space="preserve">Convenio con la DINAC para el desarrollo del Programa de Monitoreo Hidrológico </v>
      </c>
      <c r="C59" s="216" t="str">
        <f>'4. CC D'!H42</f>
        <v>12 meses</v>
      </c>
      <c r="D59" s="216" t="s">
        <v>214</v>
      </c>
      <c r="E59" s="216" t="s">
        <v>205</v>
      </c>
      <c r="F59" s="216" t="s">
        <v>449</v>
      </c>
      <c r="G59" s="759">
        <f>'4. CC D'!K42</f>
        <v>185000</v>
      </c>
      <c r="H59" s="759"/>
      <c r="I59" s="759"/>
      <c r="J59" s="759"/>
      <c r="K59" s="759"/>
      <c r="L59" s="759"/>
      <c r="M59" s="759"/>
      <c r="N59" s="759"/>
      <c r="O59" s="759"/>
      <c r="P59" s="759"/>
      <c r="Q59" s="759"/>
      <c r="R59" s="759"/>
      <c r="S59" s="759"/>
      <c r="T59" s="759"/>
      <c r="U59" s="759"/>
      <c r="V59" s="759"/>
      <c r="W59" s="759"/>
      <c r="X59" s="759"/>
      <c r="Y59" s="759"/>
      <c r="Z59" s="759"/>
      <c r="AA59" s="759"/>
      <c r="AB59" s="759"/>
      <c r="AC59" s="759"/>
      <c r="AD59" s="772"/>
      <c r="AE59" s="772"/>
      <c r="AF59" s="772"/>
      <c r="AG59" s="773"/>
      <c r="AH59" s="773"/>
      <c r="AI59" s="773"/>
      <c r="AJ59" s="774">
        <v>1</v>
      </c>
      <c r="AK59" s="774">
        <v>2</v>
      </c>
      <c r="AL59" s="774">
        <v>3</v>
      </c>
      <c r="AM59" s="774">
        <v>4</v>
      </c>
      <c r="AN59" s="774">
        <v>5</v>
      </c>
      <c r="AO59" s="774">
        <v>6</v>
      </c>
      <c r="AP59" s="774">
        <v>7</v>
      </c>
      <c r="AQ59" s="774">
        <v>8</v>
      </c>
      <c r="AR59" s="774">
        <v>9</v>
      </c>
      <c r="AS59" s="774">
        <v>10</v>
      </c>
      <c r="AT59" s="774">
        <v>11</v>
      </c>
      <c r="AU59" s="774">
        <v>12</v>
      </c>
      <c r="AV59" s="830"/>
      <c r="AW59" s="830"/>
      <c r="AX59" s="830"/>
      <c r="AY59" s="830"/>
      <c r="AZ59" s="830"/>
      <c r="BA59" s="830"/>
      <c r="BB59" s="830"/>
      <c r="BC59" s="830"/>
      <c r="BD59" s="759"/>
      <c r="BE59" s="759"/>
      <c r="BF59" s="759"/>
      <c r="BG59" s="759"/>
      <c r="BH59" s="759"/>
      <c r="BI59" s="759"/>
      <c r="BJ59" s="759"/>
      <c r="BK59" s="759"/>
      <c r="BL59" s="759"/>
      <c r="BM59" s="759"/>
      <c r="BN59" s="759"/>
      <c r="BO59" s="759"/>
      <c r="BP59" s="759"/>
    </row>
    <row r="60" spans="1:68" s="6" customFormat="1" ht="25.5" customHeight="1" x14ac:dyDescent="0.2">
      <c r="A60" s="315" t="str">
        <f>'4. CC D'!A43</f>
        <v>2.3.4</v>
      </c>
      <c r="B60" s="218" t="str">
        <f>'4. CC D'!B43</f>
        <v>Consultoría "Monitoreo y Gestión Social Ambiental"</v>
      </c>
      <c r="C60" s="216" t="str">
        <f>'4. CC D'!H43</f>
        <v>36 meses</v>
      </c>
      <c r="D60" s="216" t="s">
        <v>674</v>
      </c>
      <c r="E60" s="216" t="s">
        <v>216</v>
      </c>
      <c r="F60" s="216" t="s">
        <v>715</v>
      </c>
      <c r="G60" s="759">
        <f>'4. CC D'!K43</f>
        <v>150000</v>
      </c>
      <c r="H60" s="759"/>
      <c r="I60" s="759"/>
      <c r="J60" s="759"/>
      <c r="K60" s="759"/>
      <c r="L60" s="759"/>
      <c r="M60" s="759"/>
      <c r="N60" s="759"/>
      <c r="O60" s="772"/>
      <c r="P60" s="772"/>
      <c r="Q60" s="772"/>
      <c r="R60" s="773"/>
      <c r="S60" s="773"/>
      <c r="T60" s="773"/>
      <c r="U60" s="773"/>
      <c r="V60" s="773"/>
      <c r="W60" s="773"/>
      <c r="X60" s="773"/>
      <c r="Y60" s="774">
        <v>1</v>
      </c>
      <c r="Z60" s="774">
        <v>2</v>
      </c>
      <c r="AA60" s="774">
        <v>3</v>
      </c>
      <c r="AB60" s="774">
        <v>4</v>
      </c>
      <c r="AC60" s="774">
        <v>5</v>
      </c>
      <c r="AD60" s="774">
        <v>6</v>
      </c>
      <c r="AE60" s="774">
        <v>7</v>
      </c>
      <c r="AF60" s="774">
        <v>8</v>
      </c>
      <c r="AG60" s="774">
        <v>9</v>
      </c>
      <c r="AH60" s="774">
        <v>10</v>
      </c>
      <c r="AI60" s="774">
        <v>11</v>
      </c>
      <c r="AJ60" s="774">
        <v>12</v>
      </c>
      <c r="AK60" s="774">
        <v>13</v>
      </c>
      <c r="AL60" s="774">
        <v>14</v>
      </c>
      <c r="AM60" s="774">
        <v>15</v>
      </c>
      <c r="AN60" s="774">
        <v>16</v>
      </c>
      <c r="AO60" s="774">
        <v>17</v>
      </c>
      <c r="AP60" s="774">
        <v>18</v>
      </c>
      <c r="AQ60" s="774">
        <v>19</v>
      </c>
      <c r="AR60" s="774">
        <v>20</v>
      </c>
      <c r="AS60" s="774">
        <v>21</v>
      </c>
      <c r="AT60" s="774">
        <v>22</v>
      </c>
      <c r="AU60" s="774">
        <v>23</v>
      </c>
      <c r="AV60" s="774">
        <v>24</v>
      </c>
      <c r="AW60" s="774">
        <v>25</v>
      </c>
      <c r="AX60" s="774">
        <v>26</v>
      </c>
      <c r="AY60" s="774">
        <v>27</v>
      </c>
      <c r="AZ60" s="774">
        <v>28</v>
      </c>
      <c r="BA60" s="774">
        <v>29</v>
      </c>
      <c r="BB60" s="774">
        <v>30</v>
      </c>
      <c r="BC60" s="774">
        <v>31</v>
      </c>
      <c r="BD60" s="774">
        <v>32</v>
      </c>
      <c r="BE60" s="774">
        <v>33</v>
      </c>
      <c r="BF60" s="774">
        <v>34</v>
      </c>
      <c r="BG60" s="774">
        <v>35</v>
      </c>
      <c r="BH60" s="774">
        <v>36</v>
      </c>
      <c r="BI60" s="830"/>
      <c r="BJ60" s="830"/>
      <c r="BK60" s="830"/>
      <c r="BL60" s="830"/>
      <c r="BM60" s="830"/>
      <c r="BN60" s="830"/>
      <c r="BO60" s="830"/>
      <c r="BP60" s="759"/>
    </row>
    <row r="61" spans="1:68" s="6" customFormat="1" ht="24" customHeight="1" x14ac:dyDescent="0.2">
      <c r="A61" s="315" t="str">
        <f>'4. CC D'!A44</f>
        <v>2.3.5</v>
      </c>
      <c r="B61" s="218" t="str">
        <f>'4. CC D'!B44</f>
        <v>Consultoría de Apoyo a la Supervisión Ambiental</v>
      </c>
      <c r="C61" s="216" t="str">
        <f>'4. CC D'!H44</f>
        <v>30 meses</v>
      </c>
      <c r="D61" s="216" t="s">
        <v>452</v>
      </c>
      <c r="E61" s="216" t="s">
        <v>215</v>
      </c>
      <c r="F61" s="216" t="s">
        <v>449</v>
      </c>
      <c r="G61" s="759">
        <f>'4. CC D'!K44</f>
        <v>50000</v>
      </c>
      <c r="H61" s="759"/>
      <c r="I61" s="759"/>
      <c r="J61" s="759"/>
      <c r="K61" s="759"/>
      <c r="L61" s="772"/>
      <c r="M61" s="772"/>
      <c r="N61" s="773"/>
      <c r="O61" s="773"/>
      <c r="P61" s="773"/>
      <c r="Q61" s="773"/>
      <c r="R61" s="773"/>
      <c r="S61" s="774">
        <v>1</v>
      </c>
      <c r="T61" s="774">
        <v>2</v>
      </c>
      <c r="U61" s="774">
        <v>3</v>
      </c>
      <c r="V61" s="774">
        <v>4</v>
      </c>
      <c r="W61" s="774">
        <v>5</v>
      </c>
      <c r="X61" s="774">
        <v>6</v>
      </c>
      <c r="Y61" s="774">
        <v>7</v>
      </c>
      <c r="Z61" s="774">
        <v>8</v>
      </c>
      <c r="AA61" s="774">
        <v>9</v>
      </c>
      <c r="AB61" s="774">
        <v>10</v>
      </c>
      <c r="AC61" s="774">
        <v>11</v>
      </c>
      <c r="AD61" s="774">
        <v>12</v>
      </c>
      <c r="AE61" s="774">
        <v>13</v>
      </c>
      <c r="AF61" s="774">
        <v>14</v>
      </c>
      <c r="AG61" s="774">
        <v>15</v>
      </c>
      <c r="AH61" s="774">
        <v>16</v>
      </c>
      <c r="AI61" s="774">
        <v>17</v>
      </c>
      <c r="AJ61" s="774">
        <v>18</v>
      </c>
      <c r="AK61" s="774">
        <v>19</v>
      </c>
      <c r="AL61" s="774">
        <v>20</v>
      </c>
      <c r="AM61" s="774">
        <v>21</v>
      </c>
      <c r="AN61" s="774">
        <v>22</v>
      </c>
      <c r="AO61" s="774">
        <v>23</v>
      </c>
      <c r="AP61" s="774">
        <v>24</v>
      </c>
      <c r="AQ61" s="774">
        <v>25</v>
      </c>
      <c r="AR61" s="774">
        <v>26</v>
      </c>
      <c r="AS61" s="774">
        <v>27</v>
      </c>
      <c r="AT61" s="774">
        <v>28</v>
      </c>
      <c r="AU61" s="774">
        <v>29</v>
      </c>
      <c r="AV61" s="774">
        <v>30</v>
      </c>
      <c r="AW61" s="830"/>
      <c r="AX61" s="830"/>
      <c r="AY61" s="830"/>
      <c r="AZ61" s="830"/>
      <c r="BA61" s="830"/>
      <c r="BB61" s="830"/>
      <c r="BC61" s="830"/>
      <c r="BD61" s="830"/>
      <c r="BE61" s="830"/>
      <c r="BF61" s="830"/>
      <c r="BG61" s="830"/>
      <c r="BH61" s="830"/>
      <c r="BI61" s="830"/>
      <c r="BJ61" s="830"/>
      <c r="BK61" s="830"/>
      <c r="BL61" s="830"/>
      <c r="BM61" s="830"/>
      <c r="BN61" s="830"/>
      <c r="BO61" s="830"/>
      <c r="BP61" s="830"/>
    </row>
  </sheetData>
  <mergeCells count="35">
    <mergeCell ref="A1:B1"/>
    <mergeCell ref="A2:B2"/>
    <mergeCell ref="A4:B4"/>
    <mergeCell ref="A6:B6"/>
    <mergeCell ref="BN8:BP8"/>
    <mergeCell ref="AY8:BA8"/>
    <mergeCell ref="BB8:BD8"/>
    <mergeCell ref="BE8:BG8"/>
    <mergeCell ref="BH8:BJ8"/>
    <mergeCell ref="BK8:BM8"/>
    <mergeCell ref="AS7:BD7"/>
    <mergeCell ref="BE7:BP7"/>
    <mergeCell ref="I8:K8"/>
    <mergeCell ref="L8:N8"/>
    <mergeCell ref="O8:Q8"/>
    <mergeCell ref="R8:T8"/>
    <mergeCell ref="AS8:AU8"/>
    <mergeCell ref="AV8:AX8"/>
    <mergeCell ref="U8:W8"/>
    <mergeCell ref="X8:Z8"/>
    <mergeCell ref="AA8:AC8"/>
    <mergeCell ref="AD8:AF8"/>
    <mergeCell ref="AG8:AI8"/>
    <mergeCell ref="A8:A9"/>
    <mergeCell ref="I7:T7"/>
    <mergeCell ref="U7:AF7"/>
    <mergeCell ref="AG7:AR7"/>
    <mergeCell ref="B8:B9"/>
    <mergeCell ref="C8:C9"/>
    <mergeCell ref="D8:D9"/>
    <mergeCell ref="E8:E9"/>
    <mergeCell ref="F8:F9"/>
    <mergeCell ref="AJ8:AL8"/>
    <mergeCell ref="AM8:AO8"/>
    <mergeCell ref="AP8:AR8"/>
  </mergeCells>
  <printOptions horizontalCentered="1"/>
  <pageMargins left="0.70866141732283472" right="0.70866141732283472" top="0.74803149606299213" bottom="0.74803149606299213" header="0.31496062992125984" footer="0.31496062992125984"/>
  <pageSetup paperSize="9" scale="3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4"/>
  <sheetViews>
    <sheetView showGridLines="0" topLeftCell="A22" zoomScale="80" zoomScaleNormal="80" zoomScaleSheetLayoutView="70" workbookViewId="0">
      <selection activeCell="A17" sqref="A17"/>
    </sheetView>
  </sheetViews>
  <sheetFormatPr defaultColWidth="11.42578125" defaultRowHeight="12.75" x14ac:dyDescent="0.2"/>
  <cols>
    <col min="1" max="1" width="10.140625" style="183" customWidth="1"/>
    <col min="2" max="2" width="47" style="8" customWidth="1"/>
    <col min="3" max="3" width="26.85546875" style="8" customWidth="1"/>
    <col min="4" max="4" width="12.140625" style="9" customWidth="1"/>
    <col min="5" max="5" width="12.5703125" style="9" customWidth="1"/>
    <col min="6" max="7" width="12.28515625" style="171" customWidth="1"/>
    <col min="8" max="8" width="12.28515625" style="169" customWidth="1"/>
    <col min="9" max="9" width="12.28515625" style="58" customWidth="1"/>
    <col min="10" max="10" width="12.42578125" style="227" customWidth="1"/>
    <col min="11" max="11" width="16" style="189" bestFit="1" customWidth="1"/>
    <col min="12" max="12" width="14.7109375" style="291" customWidth="1"/>
    <col min="13" max="13" width="18.28515625" style="7" bestFit="1" customWidth="1"/>
    <col min="14" max="15" width="11.42578125" style="7"/>
    <col min="16" max="16" width="0" style="7" hidden="1" customWidth="1"/>
    <col min="17" max="17" width="11.42578125" style="7"/>
    <col min="18" max="18" width="12.42578125" style="7" bestFit="1" customWidth="1"/>
    <col min="19" max="226" width="11.42578125" style="7"/>
    <col min="227" max="227" width="44.42578125" style="7" customWidth="1"/>
    <col min="228" max="228" width="13" style="7" customWidth="1"/>
    <col min="229" max="234" width="2" style="7" customWidth="1"/>
    <col min="235" max="235" width="2.42578125" style="7" customWidth="1"/>
    <col min="236" max="236" width="3" style="7" customWidth="1"/>
    <col min="237" max="239" width="2" style="7" customWidth="1"/>
    <col min="240" max="240" width="2.85546875" style="7" customWidth="1"/>
    <col min="241" max="241" width="3" style="7" customWidth="1"/>
    <col min="242" max="242" width="2.7109375" style="7" customWidth="1"/>
    <col min="243" max="243" width="2.42578125" style="7" customWidth="1"/>
    <col min="244" max="244" width="3.28515625" style="7" customWidth="1"/>
    <col min="245" max="245" width="3.5703125" style="7" customWidth="1"/>
    <col min="246" max="246" width="4" style="7" customWidth="1"/>
    <col min="247" max="247" width="3.42578125" style="7" customWidth="1"/>
    <col min="248" max="248" width="3" style="7" customWidth="1"/>
    <col min="249" max="482" width="11.42578125" style="7"/>
    <col min="483" max="483" width="44.42578125" style="7" customWidth="1"/>
    <col min="484" max="484" width="13" style="7" customWidth="1"/>
    <col min="485" max="490" width="2" style="7" customWidth="1"/>
    <col min="491" max="491" width="2.42578125" style="7" customWidth="1"/>
    <col min="492" max="492" width="3" style="7" customWidth="1"/>
    <col min="493" max="495" width="2" style="7" customWidth="1"/>
    <col min="496" max="496" width="2.85546875" style="7" customWidth="1"/>
    <col min="497" max="497" width="3" style="7" customWidth="1"/>
    <col min="498" max="498" width="2.7109375" style="7" customWidth="1"/>
    <col min="499" max="499" width="2.42578125" style="7" customWidth="1"/>
    <col min="500" max="500" width="3.28515625" style="7" customWidth="1"/>
    <col min="501" max="501" width="3.5703125" style="7" customWidth="1"/>
    <col min="502" max="502" width="4" style="7" customWidth="1"/>
    <col min="503" max="503" width="3.42578125" style="7" customWidth="1"/>
    <col min="504" max="504" width="3" style="7" customWidth="1"/>
    <col min="505" max="738" width="11.42578125" style="7"/>
    <col min="739" max="739" width="44.42578125" style="7" customWidth="1"/>
    <col min="740" max="740" width="13" style="7" customWidth="1"/>
    <col min="741" max="746" width="2" style="7" customWidth="1"/>
    <col min="747" max="747" width="2.42578125" style="7" customWidth="1"/>
    <col min="748" max="748" width="3" style="7" customWidth="1"/>
    <col min="749" max="751" width="2" style="7" customWidth="1"/>
    <col min="752" max="752" width="2.85546875" style="7" customWidth="1"/>
    <col min="753" max="753" width="3" style="7" customWidth="1"/>
    <col min="754" max="754" width="2.7109375" style="7" customWidth="1"/>
    <col min="755" max="755" width="2.42578125" style="7" customWidth="1"/>
    <col min="756" max="756" width="3.28515625" style="7" customWidth="1"/>
    <col min="757" max="757" width="3.5703125" style="7" customWidth="1"/>
    <col min="758" max="758" width="4" style="7" customWidth="1"/>
    <col min="759" max="759" width="3.42578125" style="7" customWidth="1"/>
    <col min="760" max="760" width="3" style="7" customWidth="1"/>
    <col min="761" max="994" width="11.42578125" style="7"/>
    <col min="995" max="995" width="44.42578125" style="7" customWidth="1"/>
    <col min="996" max="996" width="13" style="7" customWidth="1"/>
    <col min="997" max="1002" width="2" style="7" customWidth="1"/>
    <col min="1003" max="1003" width="2.42578125" style="7" customWidth="1"/>
    <col min="1004" max="1004" width="3" style="7" customWidth="1"/>
    <col min="1005" max="1007" width="2" style="7" customWidth="1"/>
    <col min="1008" max="1008" width="2.85546875" style="7" customWidth="1"/>
    <col min="1009" max="1009" width="3" style="7" customWidth="1"/>
    <col min="1010" max="1010" width="2.7109375" style="7" customWidth="1"/>
    <col min="1011" max="1011" width="2.42578125" style="7" customWidth="1"/>
    <col min="1012" max="1012" width="3.28515625" style="7" customWidth="1"/>
    <col min="1013" max="1013" width="3.5703125" style="7" customWidth="1"/>
    <col min="1014" max="1014" width="4" style="7" customWidth="1"/>
    <col min="1015" max="1015" width="3.42578125" style="7" customWidth="1"/>
    <col min="1016" max="1016" width="3" style="7" customWidth="1"/>
    <col min="1017" max="1250" width="11.42578125" style="7"/>
    <col min="1251" max="1251" width="44.42578125" style="7" customWidth="1"/>
    <col min="1252" max="1252" width="13" style="7" customWidth="1"/>
    <col min="1253" max="1258" width="2" style="7" customWidth="1"/>
    <col min="1259" max="1259" width="2.42578125" style="7" customWidth="1"/>
    <col min="1260" max="1260" width="3" style="7" customWidth="1"/>
    <col min="1261" max="1263" width="2" style="7" customWidth="1"/>
    <col min="1264" max="1264" width="2.85546875" style="7" customWidth="1"/>
    <col min="1265" max="1265" width="3" style="7" customWidth="1"/>
    <col min="1266" max="1266" width="2.7109375" style="7" customWidth="1"/>
    <col min="1267" max="1267" width="2.42578125" style="7" customWidth="1"/>
    <col min="1268" max="1268" width="3.28515625" style="7" customWidth="1"/>
    <col min="1269" max="1269" width="3.5703125" style="7" customWidth="1"/>
    <col min="1270" max="1270" width="4" style="7" customWidth="1"/>
    <col min="1271" max="1271" width="3.42578125" style="7" customWidth="1"/>
    <col min="1272" max="1272" width="3" style="7" customWidth="1"/>
    <col min="1273" max="1506" width="11.42578125" style="7"/>
    <col min="1507" max="1507" width="44.42578125" style="7" customWidth="1"/>
    <col min="1508" max="1508" width="13" style="7" customWidth="1"/>
    <col min="1509" max="1514" width="2" style="7" customWidth="1"/>
    <col min="1515" max="1515" width="2.42578125" style="7" customWidth="1"/>
    <col min="1516" max="1516" width="3" style="7" customWidth="1"/>
    <col min="1517" max="1519" width="2" style="7" customWidth="1"/>
    <col min="1520" max="1520" width="2.85546875" style="7" customWidth="1"/>
    <col min="1521" max="1521" width="3" style="7" customWidth="1"/>
    <col min="1522" max="1522" width="2.7109375" style="7" customWidth="1"/>
    <col min="1523" max="1523" width="2.42578125" style="7" customWidth="1"/>
    <col min="1524" max="1524" width="3.28515625" style="7" customWidth="1"/>
    <col min="1525" max="1525" width="3.5703125" style="7" customWidth="1"/>
    <col min="1526" max="1526" width="4" style="7" customWidth="1"/>
    <col min="1527" max="1527" width="3.42578125" style="7" customWidth="1"/>
    <col min="1528" max="1528" width="3" style="7" customWidth="1"/>
    <col min="1529" max="1762" width="11.42578125" style="7"/>
    <col min="1763" max="1763" width="44.42578125" style="7" customWidth="1"/>
    <col min="1764" max="1764" width="13" style="7" customWidth="1"/>
    <col min="1765" max="1770" width="2" style="7" customWidth="1"/>
    <col min="1771" max="1771" width="2.42578125" style="7" customWidth="1"/>
    <col min="1772" max="1772" width="3" style="7" customWidth="1"/>
    <col min="1773" max="1775" width="2" style="7" customWidth="1"/>
    <col min="1776" max="1776" width="2.85546875" style="7" customWidth="1"/>
    <col min="1777" max="1777" width="3" style="7" customWidth="1"/>
    <col min="1778" max="1778" width="2.7109375" style="7" customWidth="1"/>
    <col min="1779" max="1779" width="2.42578125" style="7" customWidth="1"/>
    <col min="1780" max="1780" width="3.28515625" style="7" customWidth="1"/>
    <col min="1781" max="1781" width="3.5703125" style="7" customWidth="1"/>
    <col min="1782" max="1782" width="4" style="7" customWidth="1"/>
    <col min="1783" max="1783" width="3.42578125" style="7" customWidth="1"/>
    <col min="1784" max="1784" width="3" style="7" customWidth="1"/>
    <col min="1785" max="2018" width="11.42578125" style="7"/>
    <col min="2019" max="2019" width="44.42578125" style="7" customWidth="1"/>
    <col min="2020" max="2020" width="13" style="7" customWidth="1"/>
    <col min="2021" max="2026" width="2" style="7" customWidth="1"/>
    <col min="2027" max="2027" width="2.42578125" style="7" customWidth="1"/>
    <col min="2028" max="2028" width="3" style="7" customWidth="1"/>
    <col min="2029" max="2031" width="2" style="7" customWidth="1"/>
    <col min="2032" max="2032" width="2.85546875" style="7" customWidth="1"/>
    <col min="2033" max="2033" width="3" style="7" customWidth="1"/>
    <col min="2034" max="2034" width="2.7109375" style="7" customWidth="1"/>
    <col min="2035" max="2035" width="2.42578125" style="7" customWidth="1"/>
    <col min="2036" max="2036" width="3.28515625" style="7" customWidth="1"/>
    <col min="2037" max="2037" width="3.5703125" style="7" customWidth="1"/>
    <col min="2038" max="2038" width="4" style="7" customWidth="1"/>
    <col min="2039" max="2039" width="3.42578125" style="7" customWidth="1"/>
    <col min="2040" max="2040" width="3" style="7" customWidth="1"/>
    <col min="2041" max="2274" width="11.42578125" style="7"/>
    <col min="2275" max="2275" width="44.42578125" style="7" customWidth="1"/>
    <col min="2276" max="2276" width="13" style="7" customWidth="1"/>
    <col min="2277" max="2282" width="2" style="7" customWidth="1"/>
    <col min="2283" max="2283" width="2.42578125" style="7" customWidth="1"/>
    <col min="2284" max="2284" width="3" style="7" customWidth="1"/>
    <col min="2285" max="2287" width="2" style="7" customWidth="1"/>
    <col min="2288" max="2288" width="2.85546875" style="7" customWidth="1"/>
    <col min="2289" max="2289" width="3" style="7" customWidth="1"/>
    <col min="2290" max="2290" width="2.7109375" style="7" customWidth="1"/>
    <col min="2291" max="2291" width="2.42578125" style="7" customWidth="1"/>
    <col min="2292" max="2292" width="3.28515625" style="7" customWidth="1"/>
    <col min="2293" max="2293" width="3.5703125" style="7" customWidth="1"/>
    <col min="2294" max="2294" width="4" style="7" customWidth="1"/>
    <col min="2295" max="2295" width="3.42578125" style="7" customWidth="1"/>
    <col min="2296" max="2296" width="3" style="7" customWidth="1"/>
    <col min="2297" max="2530" width="11.42578125" style="7"/>
    <col min="2531" max="2531" width="44.42578125" style="7" customWidth="1"/>
    <col min="2532" max="2532" width="13" style="7" customWidth="1"/>
    <col min="2533" max="2538" width="2" style="7" customWidth="1"/>
    <col min="2539" max="2539" width="2.42578125" style="7" customWidth="1"/>
    <col min="2540" max="2540" width="3" style="7" customWidth="1"/>
    <col min="2541" max="2543" width="2" style="7" customWidth="1"/>
    <col min="2544" max="2544" width="2.85546875" style="7" customWidth="1"/>
    <col min="2545" max="2545" width="3" style="7" customWidth="1"/>
    <col min="2546" max="2546" width="2.7109375" style="7" customWidth="1"/>
    <col min="2547" max="2547" width="2.42578125" style="7" customWidth="1"/>
    <col min="2548" max="2548" width="3.28515625" style="7" customWidth="1"/>
    <col min="2549" max="2549" width="3.5703125" style="7" customWidth="1"/>
    <col min="2550" max="2550" width="4" style="7" customWidth="1"/>
    <col min="2551" max="2551" width="3.42578125" style="7" customWidth="1"/>
    <col min="2552" max="2552" width="3" style="7" customWidth="1"/>
    <col min="2553" max="2786" width="11.42578125" style="7"/>
    <col min="2787" max="2787" width="44.42578125" style="7" customWidth="1"/>
    <col min="2788" max="2788" width="13" style="7" customWidth="1"/>
    <col min="2789" max="2794" width="2" style="7" customWidth="1"/>
    <col min="2795" max="2795" width="2.42578125" style="7" customWidth="1"/>
    <col min="2796" max="2796" width="3" style="7" customWidth="1"/>
    <col min="2797" max="2799" width="2" style="7" customWidth="1"/>
    <col min="2800" max="2800" width="2.85546875" style="7" customWidth="1"/>
    <col min="2801" max="2801" width="3" style="7" customWidth="1"/>
    <col min="2802" max="2802" width="2.7109375" style="7" customWidth="1"/>
    <col min="2803" max="2803" width="2.42578125" style="7" customWidth="1"/>
    <col min="2804" max="2804" width="3.28515625" style="7" customWidth="1"/>
    <col min="2805" max="2805" width="3.5703125" style="7" customWidth="1"/>
    <col min="2806" max="2806" width="4" style="7" customWidth="1"/>
    <col min="2807" max="2807" width="3.42578125" style="7" customWidth="1"/>
    <col min="2808" max="2808" width="3" style="7" customWidth="1"/>
    <col min="2809" max="3042" width="11.42578125" style="7"/>
    <col min="3043" max="3043" width="44.42578125" style="7" customWidth="1"/>
    <col min="3044" max="3044" width="13" style="7" customWidth="1"/>
    <col min="3045" max="3050" width="2" style="7" customWidth="1"/>
    <col min="3051" max="3051" width="2.42578125" style="7" customWidth="1"/>
    <col min="3052" max="3052" width="3" style="7" customWidth="1"/>
    <col min="3053" max="3055" width="2" style="7" customWidth="1"/>
    <col min="3056" max="3056" width="2.85546875" style="7" customWidth="1"/>
    <col min="3057" max="3057" width="3" style="7" customWidth="1"/>
    <col min="3058" max="3058" width="2.7109375" style="7" customWidth="1"/>
    <col min="3059" max="3059" width="2.42578125" style="7" customWidth="1"/>
    <col min="3060" max="3060" width="3.28515625" style="7" customWidth="1"/>
    <col min="3061" max="3061" width="3.5703125" style="7" customWidth="1"/>
    <col min="3062" max="3062" width="4" style="7" customWidth="1"/>
    <col min="3063" max="3063" width="3.42578125" style="7" customWidth="1"/>
    <col min="3064" max="3064" width="3" style="7" customWidth="1"/>
    <col min="3065" max="3298" width="11.42578125" style="7"/>
    <col min="3299" max="3299" width="44.42578125" style="7" customWidth="1"/>
    <col min="3300" max="3300" width="13" style="7" customWidth="1"/>
    <col min="3301" max="3306" width="2" style="7" customWidth="1"/>
    <col min="3307" max="3307" width="2.42578125" style="7" customWidth="1"/>
    <col min="3308" max="3308" width="3" style="7" customWidth="1"/>
    <col min="3309" max="3311" width="2" style="7" customWidth="1"/>
    <col min="3312" max="3312" width="2.85546875" style="7" customWidth="1"/>
    <col min="3313" max="3313" width="3" style="7" customWidth="1"/>
    <col min="3314" max="3314" width="2.7109375" style="7" customWidth="1"/>
    <col min="3315" max="3315" width="2.42578125" style="7" customWidth="1"/>
    <col min="3316" max="3316" width="3.28515625" style="7" customWidth="1"/>
    <col min="3317" max="3317" width="3.5703125" style="7" customWidth="1"/>
    <col min="3318" max="3318" width="4" style="7" customWidth="1"/>
    <col min="3319" max="3319" width="3.42578125" style="7" customWidth="1"/>
    <col min="3320" max="3320" width="3" style="7" customWidth="1"/>
    <col min="3321" max="3554" width="11.42578125" style="7"/>
    <col min="3555" max="3555" width="44.42578125" style="7" customWidth="1"/>
    <col min="3556" max="3556" width="13" style="7" customWidth="1"/>
    <col min="3557" max="3562" width="2" style="7" customWidth="1"/>
    <col min="3563" max="3563" width="2.42578125" style="7" customWidth="1"/>
    <col min="3564" max="3564" width="3" style="7" customWidth="1"/>
    <col min="3565" max="3567" width="2" style="7" customWidth="1"/>
    <col min="3568" max="3568" width="2.85546875" style="7" customWidth="1"/>
    <col min="3569" max="3569" width="3" style="7" customWidth="1"/>
    <col min="3570" max="3570" width="2.7109375" style="7" customWidth="1"/>
    <col min="3571" max="3571" width="2.42578125" style="7" customWidth="1"/>
    <col min="3572" max="3572" width="3.28515625" style="7" customWidth="1"/>
    <col min="3573" max="3573" width="3.5703125" style="7" customWidth="1"/>
    <col min="3574" max="3574" width="4" style="7" customWidth="1"/>
    <col min="3575" max="3575" width="3.42578125" style="7" customWidth="1"/>
    <col min="3576" max="3576" width="3" style="7" customWidth="1"/>
    <col min="3577" max="3810" width="11.42578125" style="7"/>
    <col min="3811" max="3811" width="44.42578125" style="7" customWidth="1"/>
    <col min="3812" max="3812" width="13" style="7" customWidth="1"/>
    <col min="3813" max="3818" width="2" style="7" customWidth="1"/>
    <col min="3819" max="3819" width="2.42578125" style="7" customWidth="1"/>
    <col min="3820" max="3820" width="3" style="7" customWidth="1"/>
    <col min="3821" max="3823" width="2" style="7" customWidth="1"/>
    <col min="3824" max="3824" width="2.85546875" style="7" customWidth="1"/>
    <col min="3825" max="3825" width="3" style="7" customWidth="1"/>
    <col min="3826" max="3826" width="2.7109375" style="7" customWidth="1"/>
    <col min="3827" max="3827" width="2.42578125" style="7" customWidth="1"/>
    <col min="3828" max="3828" width="3.28515625" style="7" customWidth="1"/>
    <col min="3829" max="3829" width="3.5703125" style="7" customWidth="1"/>
    <col min="3830" max="3830" width="4" style="7" customWidth="1"/>
    <col min="3831" max="3831" width="3.42578125" style="7" customWidth="1"/>
    <col min="3832" max="3832" width="3" style="7" customWidth="1"/>
    <col min="3833" max="4066" width="11.42578125" style="7"/>
    <col min="4067" max="4067" width="44.42578125" style="7" customWidth="1"/>
    <col min="4068" max="4068" width="13" style="7" customWidth="1"/>
    <col min="4069" max="4074" width="2" style="7" customWidth="1"/>
    <col min="4075" max="4075" width="2.42578125" style="7" customWidth="1"/>
    <col min="4076" max="4076" width="3" style="7" customWidth="1"/>
    <col min="4077" max="4079" width="2" style="7" customWidth="1"/>
    <col min="4080" max="4080" width="2.85546875" style="7" customWidth="1"/>
    <col min="4081" max="4081" width="3" style="7" customWidth="1"/>
    <col min="4082" max="4082" width="2.7109375" style="7" customWidth="1"/>
    <col min="4083" max="4083" width="2.42578125" style="7" customWidth="1"/>
    <col min="4084" max="4084" width="3.28515625" style="7" customWidth="1"/>
    <col min="4085" max="4085" width="3.5703125" style="7" customWidth="1"/>
    <col min="4086" max="4086" width="4" style="7" customWidth="1"/>
    <col min="4087" max="4087" width="3.42578125" style="7" customWidth="1"/>
    <col min="4088" max="4088" width="3" style="7" customWidth="1"/>
    <col min="4089" max="4322" width="11.42578125" style="7"/>
    <col min="4323" max="4323" width="44.42578125" style="7" customWidth="1"/>
    <col min="4324" max="4324" width="13" style="7" customWidth="1"/>
    <col min="4325" max="4330" width="2" style="7" customWidth="1"/>
    <col min="4331" max="4331" width="2.42578125" style="7" customWidth="1"/>
    <col min="4332" max="4332" width="3" style="7" customWidth="1"/>
    <col min="4333" max="4335" width="2" style="7" customWidth="1"/>
    <col min="4336" max="4336" width="2.85546875" style="7" customWidth="1"/>
    <col min="4337" max="4337" width="3" style="7" customWidth="1"/>
    <col min="4338" max="4338" width="2.7109375" style="7" customWidth="1"/>
    <col min="4339" max="4339" width="2.42578125" style="7" customWidth="1"/>
    <col min="4340" max="4340" width="3.28515625" style="7" customWidth="1"/>
    <col min="4341" max="4341" width="3.5703125" style="7" customWidth="1"/>
    <col min="4342" max="4342" width="4" style="7" customWidth="1"/>
    <col min="4343" max="4343" width="3.42578125" style="7" customWidth="1"/>
    <col min="4344" max="4344" width="3" style="7" customWidth="1"/>
    <col min="4345" max="4578" width="11.42578125" style="7"/>
    <col min="4579" max="4579" width="44.42578125" style="7" customWidth="1"/>
    <col min="4580" max="4580" width="13" style="7" customWidth="1"/>
    <col min="4581" max="4586" width="2" style="7" customWidth="1"/>
    <col min="4587" max="4587" width="2.42578125" style="7" customWidth="1"/>
    <col min="4588" max="4588" width="3" style="7" customWidth="1"/>
    <col min="4589" max="4591" width="2" style="7" customWidth="1"/>
    <col min="4592" max="4592" width="2.85546875" style="7" customWidth="1"/>
    <col min="4593" max="4593" width="3" style="7" customWidth="1"/>
    <col min="4594" max="4594" width="2.7109375" style="7" customWidth="1"/>
    <col min="4595" max="4595" width="2.42578125" style="7" customWidth="1"/>
    <col min="4596" max="4596" width="3.28515625" style="7" customWidth="1"/>
    <col min="4597" max="4597" width="3.5703125" style="7" customWidth="1"/>
    <col min="4598" max="4598" width="4" style="7" customWidth="1"/>
    <col min="4599" max="4599" width="3.42578125" style="7" customWidth="1"/>
    <col min="4600" max="4600" width="3" style="7" customWidth="1"/>
    <col min="4601" max="4834" width="11.42578125" style="7"/>
    <col min="4835" max="4835" width="44.42578125" style="7" customWidth="1"/>
    <col min="4836" max="4836" width="13" style="7" customWidth="1"/>
    <col min="4837" max="4842" width="2" style="7" customWidth="1"/>
    <col min="4843" max="4843" width="2.42578125" style="7" customWidth="1"/>
    <col min="4844" max="4844" width="3" style="7" customWidth="1"/>
    <col min="4845" max="4847" width="2" style="7" customWidth="1"/>
    <col min="4848" max="4848" width="2.85546875" style="7" customWidth="1"/>
    <col min="4849" max="4849" width="3" style="7" customWidth="1"/>
    <col min="4850" max="4850" width="2.7109375" style="7" customWidth="1"/>
    <col min="4851" max="4851" width="2.42578125" style="7" customWidth="1"/>
    <col min="4852" max="4852" width="3.28515625" style="7" customWidth="1"/>
    <col min="4853" max="4853" width="3.5703125" style="7" customWidth="1"/>
    <col min="4854" max="4854" width="4" style="7" customWidth="1"/>
    <col min="4855" max="4855" width="3.42578125" style="7" customWidth="1"/>
    <col min="4856" max="4856" width="3" style="7" customWidth="1"/>
    <col min="4857" max="5090" width="11.42578125" style="7"/>
    <col min="5091" max="5091" width="44.42578125" style="7" customWidth="1"/>
    <col min="5092" max="5092" width="13" style="7" customWidth="1"/>
    <col min="5093" max="5098" width="2" style="7" customWidth="1"/>
    <col min="5099" max="5099" width="2.42578125" style="7" customWidth="1"/>
    <col min="5100" max="5100" width="3" style="7" customWidth="1"/>
    <col min="5101" max="5103" width="2" style="7" customWidth="1"/>
    <col min="5104" max="5104" width="2.85546875" style="7" customWidth="1"/>
    <col min="5105" max="5105" width="3" style="7" customWidth="1"/>
    <col min="5106" max="5106" width="2.7109375" style="7" customWidth="1"/>
    <col min="5107" max="5107" width="2.42578125" style="7" customWidth="1"/>
    <col min="5108" max="5108" width="3.28515625" style="7" customWidth="1"/>
    <col min="5109" max="5109" width="3.5703125" style="7" customWidth="1"/>
    <col min="5110" max="5110" width="4" style="7" customWidth="1"/>
    <col min="5111" max="5111" width="3.42578125" style="7" customWidth="1"/>
    <col min="5112" max="5112" width="3" style="7" customWidth="1"/>
    <col min="5113" max="5346" width="11.42578125" style="7"/>
    <col min="5347" max="5347" width="44.42578125" style="7" customWidth="1"/>
    <col min="5348" max="5348" width="13" style="7" customWidth="1"/>
    <col min="5349" max="5354" width="2" style="7" customWidth="1"/>
    <col min="5355" max="5355" width="2.42578125" style="7" customWidth="1"/>
    <col min="5356" max="5356" width="3" style="7" customWidth="1"/>
    <col min="5357" max="5359" width="2" style="7" customWidth="1"/>
    <col min="5360" max="5360" width="2.85546875" style="7" customWidth="1"/>
    <col min="5361" max="5361" width="3" style="7" customWidth="1"/>
    <col min="5362" max="5362" width="2.7109375" style="7" customWidth="1"/>
    <col min="5363" max="5363" width="2.42578125" style="7" customWidth="1"/>
    <col min="5364" max="5364" width="3.28515625" style="7" customWidth="1"/>
    <col min="5365" max="5365" width="3.5703125" style="7" customWidth="1"/>
    <col min="5366" max="5366" width="4" style="7" customWidth="1"/>
    <col min="5367" max="5367" width="3.42578125" style="7" customWidth="1"/>
    <col min="5368" max="5368" width="3" style="7" customWidth="1"/>
    <col min="5369" max="5602" width="11.42578125" style="7"/>
    <col min="5603" max="5603" width="44.42578125" style="7" customWidth="1"/>
    <col min="5604" max="5604" width="13" style="7" customWidth="1"/>
    <col min="5605" max="5610" width="2" style="7" customWidth="1"/>
    <col min="5611" max="5611" width="2.42578125" style="7" customWidth="1"/>
    <col min="5612" max="5612" width="3" style="7" customWidth="1"/>
    <col min="5613" max="5615" width="2" style="7" customWidth="1"/>
    <col min="5616" max="5616" width="2.85546875" style="7" customWidth="1"/>
    <col min="5617" max="5617" width="3" style="7" customWidth="1"/>
    <col min="5618" max="5618" width="2.7109375" style="7" customWidth="1"/>
    <col min="5619" max="5619" width="2.42578125" style="7" customWidth="1"/>
    <col min="5620" max="5620" width="3.28515625" style="7" customWidth="1"/>
    <col min="5621" max="5621" width="3.5703125" style="7" customWidth="1"/>
    <col min="5622" max="5622" width="4" style="7" customWidth="1"/>
    <col min="5623" max="5623" width="3.42578125" style="7" customWidth="1"/>
    <col min="5624" max="5624" width="3" style="7" customWidth="1"/>
    <col min="5625" max="5858" width="11.42578125" style="7"/>
    <col min="5859" max="5859" width="44.42578125" style="7" customWidth="1"/>
    <col min="5860" max="5860" width="13" style="7" customWidth="1"/>
    <col min="5861" max="5866" width="2" style="7" customWidth="1"/>
    <col min="5867" max="5867" width="2.42578125" style="7" customWidth="1"/>
    <col min="5868" max="5868" width="3" style="7" customWidth="1"/>
    <col min="5869" max="5871" width="2" style="7" customWidth="1"/>
    <col min="5872" max="5872" width="2.85546875" style="7" customWidth="1"/>
    <col min="5873" max="5873" width="3" style="7" customWidth="1"/>
    <col min="5874" max="5874" width="2.7109375" style="7" customWidth="1"/>
    <col min="5875" max="5875" width="2.42578125" style="7" customWidth="1"/>
    <col min="5876" max="5876" width="3.28515625" style="7" customWidth="1"/>
    <col min="5877" max="5877" width="3.5703125" style="7" customWidth="1"/>
    <col min="5878" max="5878" width="4" style="7" customWidth="1"/>
    <col min="5879" max="5879" width="3.42578125" style="7" customWidth="1"/>
    <col min="5880" max="5880" width="3" style="7" customWidth="1"/>
    <col min="5881" max="6114" width="11.42578125" style="7"/>
    <col min="6115" max="6115" width="44.42578125" style="7" customWidth="1"/>
    <col min="6116" max="6116" width="13" style="7" customWidth="1"/>
    <col min="6117" max="6122" width="2" style="7" customWidth="1"/>
    <col min="6123" max="6123" width="2.42578125" style="7" customWidth="1"/>
    <col min="6124" max="6124" width="3" style="7" customWidth="1"/>
    <col min="6125" max="6127" width="2" style="7" customWidth="1"/>
    <col min="6128" max="6128" width="2.85546875" style="7" customWidth="1"/>
    <col min="6129" max="6129" width="3" style="7" customWidth="1"/>
    <col min="6130" max="6130" width="2.7109375" style="7" customWidth="1"/>
    <col min="6131" max="6131" width="2.42578125" style="7" customWidth="1"/>
    <col min="6132" max="6132" width="3.28515625" style="7" customWidth="1"/>
    <col min="6133" max="6133" width="3.5703125" style="7" customWidth="1"/>
    <col min="6134" max="6134" width="4" style="7" customWidth="1"/>
    <col min="6135" max="6135" width="3.42578125" style="7" customWidth="1"/>
    <col min="6136" max="6136" width="3" style="7" customWidth="1"/>
    <col min="6137" max="6370" width="11.42578125" style="7"/>
    <col min="6371" max="6371" width="44.42578125" style="7" customWidth="1"/>
    <col min="6372" max="6372" width="13" style="7" customWidth="1"/>
    <col min="6373" max="6378" width="2" style="7" customWidth="1"/>
    <col min="6379" max="6379" width="2.42578125" style="7" customWidth="1"/>
    <col min="6380" max="6380" width="3" style="7" customWidth="1"/>
    <col min="6381" max="6383" width="2" style="7" customWidth="1"/>
    <col min="6384" max="6384" width="2.85546875" style="7" customWidth="1"/>
    <col min="6385" max="6385" width="3" style="7" customWidth="1"/>
    <col min="6386" max="6386" width="2.7109375" style="7" customWidth="1"/>
    <col min="6387" max="6387" width="2.42578125" style="7" customWidth="1"/>
    <col min="6388" max="6388" width="3.28515625" style="7" customWidth="1"/>
    <col min="6389" max="6389" width="3.5703125" style="7" customWidth="1"/>
    <col min="6390" max="6390" width="4" style="7" customWidth="1"/>
    <col min="6391" max="6391" width="3.42578125" style="7" customWidth="1"/>
    <col min="6392" max="6392" width="3" style="7" customWidth="1"/>
    <col min="6393" max="6626" width="11.42578125" style="7"/>
    <col min="6627" max="6627" width="44.42578125" style="7" customWidth="1"/>
    <col min="6628" max="6628" width="13" style="7" customWidth="1"/>
    <col min="6629" max="6634" width="2" style="7" customWidth="1"/>
    <col min="6635" max="6635" width="2.42578125" style="7" customWidth="1"/>
    <col min="6636" max="6636" width="3" style="7" customWidth="1"/>
    <col min="6637" max="6639" width="2" style="7" customWidth="1"/>
    <col min="6640" max="6640" width="2.85546875" style="7" customWidth="1"/>
    <col min="6641" max="6641" width="3" style="7" customWidth="1"/>
    <col min="6642" max="6642" width="2.7109375" style="7" customWidth="1"/>
    <col min="6643" max="6643" width="2.42578125" style="7" customWidth="1"/>
    <col min="6644" max="6644" width="3.28515625" style="7" customWidth="1"/>
    <col min="6645" max="6645" width="3.5703125" style="7" customWidth="1"/>
    <col min="6646" max="6646" width="4" style="7" customWidth="1"/>
    <col min="6647" max="6647" width="3.42578125" style="7" customWidth="1"/>
    <col min="6648" max="6648" width="3" style="7" customWidth="1"/>
    <col min="6649" max="6882" width="11.42578125" style="7"/>
    <col min="6883" max="6883" width="44.42578125" style="7" customWidth="1"/>
    <col min="6884" max="6884" width="13" style="7" customWidth="1"/>
    <col min="6885" max="6890" width="2" style="7" customWidth="1"/>
    <col min="6891" max="6891" width="2.42578125" style="7" customWidth="1"/>
    <col min="6892" max="6892" width="3" style="7" customWidth="1"/>
    <col min="6893" max="6895" width="2" style="7" customWidth="1"/>
    <col min="6896" max="6896" width="2.85546875" style="7" customWidth="1"/>
    <col min="6897" max="6897" width="3" style="7" customWidth="1"/>
    <col min="6898" max="6898" width="2.7109375" style="7" customWidth="1"/>
    <col min="6899" max="6899" width="2.42578125" style="7" customWidth="1"/>
    <col min="6900" max="6900" width="3.28515625" style="7" customWidth="1"/>
    <col min="6901" max="6901" width="3.5703125" style="7" customWidth="1"/>
    <col min="6902" max="6902" width="4" style="7" customWidth="1"/>
    <col min="6903" max="6903" width="3.42578125" style="7" customWidth="1"/>
    <col min="6904" max="6904" width="3" style="7" customWidth="1"/>
    <col min="6905" max="7138" width="11.42578125" style="7"/>
    <col min="7139" max="7139" width="44.42578125" style="7" customWidth="1"/>
    <col min="7140" max="7140" width="13" style="7" customWidth="1"/>
    <col min="7141" max="7146" width="2" style="7" customWidth="1"/>
    <col min="7147" max="7147" width="2.42578125" style="7" customWidth="1"/>
    <col min="7148" max="7148" width="3" style="7" customWidth="1"/>
    <col min="7149" max="7151" width="2" style="7" customWidth="1"/>
    <col min="7152" max="7152" width="2.85546875" style="7" customWidth="1"/>
    <col min="7153" max="7153" width="3" style="7" customWidth="1"/>
    <col min="7154" max="7154" width="2.7109375" style="7" customWidth="1"/>
    <col min="7155" max="7155" width="2.42578125" style="7" customWidth="1"/>
    <col min="7156" max="7156" width="3.28515625" style="7" customWidth="1"/>
    <col min="7157" max="7157" width="3.5703125" style="7" customWidth="1"/>
    <col min="7158" max="7158" width="4" style="7" customWidth="1"/>
    <col min="7159" max="7159" width="3.42578125" style="7" customWidth="1"/>
    <col min="7160" max="7160" width="3" style="7" customWidth="1"/>
    <col min="7161" max="7394" width="11.42578125" style="7"/>
    <col min="7395" max="7395" width="44.42578125" style="7" customWidth="1"/>
    <col min="7396" max="7396" width="13" style="7" customWidth="1"/>
    <col min="7397" max="7402" width="2" style="7" customWidth="1"/>
    <col min="7403" max="7403" width="2.42578125" style="7" customWidth="1"/>
    <col min="7404" max="7404" width="3" style="7" customWidth="1"/>
    <col min="7405" max="7407" width="2" style="7" customWidth="1"/>
    <col min="7408" max="7408" width="2.85546875" style="7" customWidth="1"/>
    <col min="7409" max="7409" width="3" style="7" customWidth="1"/>
    <col min="7410" max="7410" width="2.7109375" style="7" customWidth="1"/>
    <col min="7411" max="7411" width="2.42578125" style="7" customWidth="1"/>
    <col min="7412" max="7412" width="3.28515625" style="7" customWidth="1"/>
    <col min="7413" max="7413" width="3.5703125" style="7" customWidth="1"/>
    <col min="7414" max="7414" width="4" style="7" customWidth="1"/>
    <col min="7415" max="7415" width="3.42578125" style="7" customWidth="1"/>
    <col min="7416" max="7416" width="3" style="7" customWidth="1"/>
    <col min="7417" max="7650" width="11.42578125" style="7"/>
    <col min="7651" max="7651" width="44.42578125" style="7" customWidth="1"/>
    <col min="7652" max="7652" width="13" style="7" customWidth="1"/>
    <col min="7653" max="7658" width="2" style="7" customWidth="1"/>
    <col min="7659" max="7659" width="2.42578125" style="7" customWidth="1"/>
    <col min="7660" max="7660" width="3" style="7" customWidth="1"/>
    <col min="7661" max="7663" width="2" style="7" customWidth="1"/>
    <col min="7664" max="7664" width="2.85546875" style="7" customWidth="1"/>
    <col min="7665" max="7665" width="3" style="7" customWidth="1"/>
    <col min="7666" max="7666" width="2.7109375" style="7" customWidth="1"/>
    <col min="7667" max="7667" width="2.42578125" style="7" customWidth="1"/>
    <col min="7668" max="7668" width="3.28515625" style="7" customWidth="1"/>
    <col min="7669" max="7669" width="3.5703125" style="7" customWidth="1"/>
    <col min="7670" max="7670" width="4" style="7" customWidth="1"/>
    <col min="7671" max="7671" width="3.42578125" style="7" customWidth="1"/>
    <col min="7672" max="7672" width="3" style="7" customWidth="1"/>
    <col min="7673" max="7906" width="11.42578125" style="7"/>
    <col min="7907" max="7907" width="44.42578125" style="7" customWidth="1"/>
    <col min="7908" max="7908" width="13" style="7" customWidth="1"/>
    <col min="7909" max="7914" width="2" style="7" customWidth="1"/>
    <col min="7915" max="7915" width="2.42578125" style="7" customWidth="1"/>
    <col min="7916" max="7916" width="3" style="7" customWidth="1"/>
    <col min="7917" max="7919" width="2" style="7" customWidth="1"/>
    <col min="7920" max="7920" width="2.85546875" style="7" customWidth="1"/>
    <col min="7921" max="7921" width="3" style="7" customWidth="1"/>
    <col min="7922" max="7922" width="2.7109375" style="7" customWidth="1"/>
    <col min="7923" max="7923" width="2.42578125" style="7" customWidth="1"/>
    <col min="7924" max="7924" width="3.28515625" style="7" customWidth="1"/>
    <col min="7925" max="7925" width="3.5703125" style="7" customWidth="1"/>
    <col min="7926" max="7926" width="4" style="7" customWidth="1"/>
    <col min="7927" max="7927" width="3.42578125" style="7" customWidth="1"/>
    <col min="7928" max="7928" width="3" style="7" customWidth="1"/>
    <col min="7929" max="8162" width="11.42578125" style="7"/>
    <col min="8163" max="8163" width="44.42578125" style="7" customWidth="1"/>
    <col min="8164" max="8164" width="13" style="7" customWidth="1"/>
    <col min="8165" max="8170" width="2" style="7" customWidth="1"/>
    <col min="8171" max="8171" width="2.42578125" style="7" customWidth="1"/>
    <col min="8172" max="8172" width="3" style="7" customWidth="1"/>
    <col min="8173" max="8175" width="2" style="7" customWidth="1"/>
    <col min="8176" max="8176" width="2.85546875" style="7" customWidth="1"/>
    <col min="8177" max="8177" width="3" style="7" customWidth="1"/>
    <col min="8178" max="8178" width="2.7109375" style="7" customWidth="1"/>
    <col min="8179" max="8179" width="2.42578125" style="7" customWidth="1"/>
    <col min="8180" max="8180" width="3.28515625" style="7" customWidth="1"/>
    <col min="8181" max="8181" width="3.5703125" style="7" customWidth="1"/>
    <col min="8182" max="8182" width="4" style="7" customWidth="1"/>
    <col min="8183" max="8183" width="3.42578125" style="7" customWidth="1"/>
    <col min="8184" max="8184" width="3" style="7" customWidth="1"/>
    <col min="8185" max="8418" width="11.42578125" style="7"/>
    <col min="8419" max="8419" width="44.42578125" style="7" customWidth="1"/>
    <col min="8420" max="8420" width="13" style="7" customWidth="1"/>
    <col min="8421" max="8426" width="2" style="7" customWidth="1"/>
    <col min="8427" max="8427" width="2.42578125" style="7" customWidth="1"/>
    <col min="8428" max="8428" width="3" style="7" customWidth="1"/>
    <col min="8429" max="8431" width="2" style="7" customWidth="1"/>
    <col min="8432" max="8432" width="2.85546875" style="7" customWidth="1"/>
    <col min="8433" max="8433" width="3" style="7" customWidth="1"/>
    <col min="8434" max="8434" width="2.7109375" style="7" customWidth="1"/>
    <col min="8435" max="8435" width="2.42578125" style="7" customWidth="1"/>
    <col min="8436" max="8436" width="3.28515625" style="7" customWidth="1"/>
    <col min="8437" max="8437" width="3.5703125" style="7" customWidth="1"/>
    <col min="8438" max="8438" width="4" style="7" customWidth="1"/>
    <col min="8439" max="8439" width="3.42578125" style="7" customWidth="1"/>
    <col min="8440" max="8440" width="3" style="7" customWidth="1"/>
    <col min="8441" max="8674" width="11.42578125" style="7"/>
    <col min="8675" max="8675" width="44.42578125" style="7" customWidth="1"/>
    <col min="8676" max="8676" width="13" style="7" customWidth="1"/>
    <col min="8677" max="8682" width="2" style="7" customWidth="1"/>
    <col min="8683" max="8683" width="2.42578125" style="7" customWidth="1"/>
    <col min="8684" max="8684" width="3" style="7" customWidth="1"/>
    <col min="8685" max="8687" width="2" style="7" customWidth="1"/>
    <col min="8688" max="8688" width="2.85546875" style="7" customWidth="1"/>
    <col min="8689" max="8689" width="3" style="7" customWidth="1"/>
    <col min="8690" max="8690" width="2.7109375" style="7" customWidth="1"/>
    <col min="8691" max="8691" width="2.42578125" style="7" customWidth="1"/>
    <col min="8692" max="8692" width="3.28515625" style="7" customWidth="1"/>
    <col min="8693" max="8693" width="3.5703125" style="7" customWidth="1"/>
    <col min="8694" max="8694" width="4" style="7" customWidth="1"/>
    <col min="8695" max="8695" width="3.42578125" style="7" customWidth="1"/>
    <col min="8696" max="8696" width="3" style="7" customWidth="1"/>
    <col min="8697" max="8930" width="11.42578125" style="7"/>
    <col min="8931" max="8931" width="44.42578125" style="7" customWidth="1"/>
    <col min="8932" max="8932" width="13" style="7" customWidth="1"/>
    <col min="8933" max="8938" width="2" style="7" customWidth="1"/>
    <col min="8939" max="8939" width="2.42578125" style="7" customWidth="1"/>
    <col min="8940" max="8940" width="3" style="7" customWidth="1"/>
    <col min="8941" max="8943" width="2" style="7" customWidth="1"/>
    <col min="8944" max="8944" width="2.85546875" style="7" customWidth="1"/>
    <col min="8945" max="8945" width="3" style="7" customWidth="1"/>
    <col min="8946" max="8946" width="2.7109375" style="7" customWidth="1"/>
    <col min="8947" max="8947" width="2.42578125" style="7" customWidth="1"/>
    <col min="8948" max="8948" width="3.28515625" style="7" customWidth="1"/>
    <col min="8949" max="8949" width="3.5703125" style="7" customWidth="1"/>
    <col min="8950" max="8950" width="4" style="7" customWidth="1"/>
    <col min="8951" max="8951" width="3.42578125" style="7" customWidth="1"/>
    <col min="8952" max="8952" width="3" style="7" customWidth="1"/>
    <col min="8953" max="9186" width="11.42578125" style="7"/>
    <col min="9187" max="9187" width="44.42578125" style="7" customWidth="1"/>
    <col min="9188" max="9188" width="13" style="7" customWidth="1"/>
    <col min="9189" max="9194" width="2" style="7" customWidth="1"/>
    <col min="9195" max="9195" width="2.42578125" style="7" customWidth="1"/>
    <col min="9196" max="9196" width="3" style="7" customWidth="1"/>
    <col min="9197" max="9199" width="2" style="7" customWidth="1"/>
    <col min="9200" max="9200" width="2.85546875" style="7" customWidth="1"/>
    <col min="9201" max="9201" width="3" style="7" customWidth="1"/>
    <col min="9202" max="9202" width="2.7109375" style="7" customWidth="1"/>
    <col min="9203" max="9203" width="2.42578125" style="7" customWidth="1"/>
    <col min="9204" max="9204" width="3.28515625" style="7" customWidth="1"/>
    <col min="9205" max="9205" width="3.5703125" style="7" customWidth="1"/>
    <col min="9206" max="9206" width="4" style="7" customWidth="1"/>
    <col min="9207" max="9207" width="3.42578125" style="7" customWidth="1"/>
    <col min="9208" max="9208" width="3" style="7" customWidth="1"/>
    <col min="9209" max="9442" width="11.42578125" style="7"/>
    <col min="9443" max="9443" width="44.42578125" style="7" customWidth="1"/>
    <col min="9444" max="9444" width="13" style="7" customWidth="1"/>
    <col min="9445" max="9450" width="2" style="7" customWidth="1"/>
    <col min="9451" max="9451" width="2.42578125" style="7" customWidth="1"/>
    <col min="9452" max="9452" width="3" style="7" customWidth="1"/>
    <col min="9453" max="9455" width="2" style="7" customWidth="1"/>
    <col min="9456" max="9456" width="2.85546875" style="7" customWidth="1"/>
    <col min="9457" max="9457" width="3" style="7" customWidth="1"/>
    <col min="9458" max="9458" width="2.7109375" style="7" customWidth="1"/>
    <col min="9459" max="9459" width="2.42578125" style="7" customWidth="1"/>
    <col min="9460" max="9460" width="3.28515625" style="7" customWidth="1"/>
    <col min="9461" max="9461" width="3.5703125" style="7" customWidth="1"/>
    <col min="9462" max="9462" width="4" style="7" customWidth="1"/>
    <col min="9463" max="9463" width="3.42578125" style="7" customWidth="1"/>
    <col min="9464" max="9464" width="3" style="7" customWidth="1"/>
    <col min="9465" max="9698" width="11.42578125" style="7"/>
    <col min="9699" max="9699" width="44.42578125" style="7" customWidth="1"/>
    <col min="9700" max="9700" width="13" style="7" customWidth="1"/>
    <col min="9701" max="9706" width="2" style="7" customWidth="1"/>
    <col min="9707" max="9707" width="2.42578125" style="7" customWidth="1"/>
    <col min="9708" max="9708" width="3" style="7" customWidth="1"/>
    <col min="9709" max="9711" width="2" style="7" customWidth="1"/>
    <col min="9712" max="9712" width="2.85546875" style="7" customWidth="1"/>
    <col min="9713" max="9713" width="3" style="7" customWidth="1"/>
    <col min="9714" max="9714" width="2.7109375" style="7" customWidth="1"/>
    <col min="9715" max="9715" width="2.42578125" style="7" customWidth="1"/>
    <col min="9716" max="9716" width="3.28515625" style="7" customWidth="1"/>
    <col min="9717" max="9717" width="3.5703125" style="7" customWidth="1"/>
    <col min="9718" max="9718" width="4" style="7" customWidth="1"/>
    <col min="9719" max="9719" width="3.42578125" style="7" customWidth="1"/>
    <col min="9720" max="9720" width="3" style="7" customWidth="1"/>
    <col min="9721" max="9954" width="11.42578125" style="7"/>
    <col min="9955" max="9955" width="44.42578125" style="7" customWidth="1"/>
    <col min="9956" max="9956" width="13" style="7" customWidth="1"/>
    <col min="9957" max="9962" width="2" style="7" customWidth="1"/>
    <col min="9963" max="9963" width="2.42578125" style="7" customWidth="1"/>
    <col min="9964" max="9964" width="3" style="7" customWidth="1"/>
    <col min="9965" max="9967" width="2" style="7" customWidth="1"/>
    <col min="9968" max="9968" width="2.85546875" style="7" customWidth="1"/>
    <col min="9969" max="9969" width="3" style="7" customWidth="1"/>
    <col min="9970" max="9970" width="2.7109375" style="7" customWidth="1"/>
    <col min="9971" max="9971" width="2.42578125" style="7" customWidth="1"/>
    <col min="9972" max="9972" width="3.28515625" style="7" customWidth="1"/>
    <col min="9973" max="9973" width="3.5703125" style="7" customWidth="1"/>
    <col min="9974" max="9974" width="4" style="7" customWidth="1"/>
    <col min="9975" max="9975" width="3.42578125" style="7" customWidth="1"/>
    <col min="9976" max="9976" width="3" style="7" customWidth="1"/>
    <col min="9977" max="10210" width="11.42578125" style="7"/>
    <col min="10211" max="10211" width="44.42578125" style="7" customWidth="1"/>
    <col min="10212" max="10212" width="13" style="7" customWidth="1"/>
    <col min="10213" max="10218" width="2" style="7" customWidth="1"/>
    <col min="10219" max="10219" width="2.42578125" style="7" customWidth="1"/>
    <col min="10220" max="10220" width="3" style="7" customWidth="1"/>
    <col min="10221" max="10223" width="2" style="7" customWidth="1"/>
    <col min="10224" max="10224" width="2.85546875" style="7" customWidth="1"/>
    <col min="10225" max="10225" width="3" style="7" customWidth="1"/>
    <col min="10226" max="10226" width="2.7109375" style="7" customWidth="1"/>
    <col min="10227" max="10227" width="2.42578125" style="7" customWidth="1"/>
    <col min="10228" max="10228" width="3.28515625" style="7" customWidth="1"/>
    <col min="10229" max="10229" width="3.5703125" style="7" customWidth="1"/>
    <col min="10230" max="10230" width="4" style="7" customWidth="1"/>
    <col min="10231" max="10231" width="3.42578125" style="7" customWidth="1"/>
    <col min="10232" max="10232" width="3" style="7" customWidth="1"/>
    <col min="10233" max="10466" width="11.42578125" style="7"/>
    <col min="10467" max="10467" width="44.42578125" style="7" customWidth="1"/>
    <col min="10468" max="10468" width="13" style="7" customWidth="1"/>
    <col min="10469" max="10474" width="2" style="7" customWidth="1"/>
    <col min="10475" max="10475" width="2.42578125" style="7" customWidth="1"/>
    <col min="10476" max="10476" width="3" style="7" customWidth="1"/>
    <col min="10477" max="10479" width="2" style="7" customWidth="1"/>
    <col min="10480" max="10480" width="2.85546875" style="7" customWidth="1"/>
    <col min="10481" max="10481" width="3" style="7" customWidth="1"/>
    <col min="10482" max="10482" width="2.7109375" style="7" customWidth="1"/>
    <col min="10483" max="10483" width="2.42578125" style="7" customWidth="1"/>
    <col min="10484" max="10484" width="3.28515625" style="7" customWidth="1"/>
    <col min="10485" max="10485" width="3.5703125" style="7" customWidth="1"/>
    <col min="10486" max="10486" width="4" style="7" customWidth="1"/>
    <col min="10487" max="10487" width="3.42578125" style="7" customWidth="1"/>
    <col min="10488" max="10488" width="3" style="7" customWidth="1"/>
    <col min="10489" max="10722" width="11.42578125" style="7"/>
    <col min="10723" max="10723" width="44.42578125" style="7" customWidth="1"/>
    <col min="10724" max="10724" width="13" style="7" customWidth="1"/>
    <col min="10725" max="10730" width="2" style="7" customWidth="1"/>
    <col min="10731" max="10731" width="2.42578125" style="7" customWidth="1"/>
    <col min="10732" max="10732" width="3" style="7" customWidth="1"/>
    <col min="10733" max="10735" width="2" style="7" customWidth="1"/>
    <col min="10736" max="10736" width="2.85546875" style="7" customWidth="1"/>
    <col min="10737" max="10737" width="3" style="7" customWidth="1"/>
    <col min="10738" max="10738" width="2.7109375" style="7" customWidth="1"/>
    <col min="10739" max="10739" width="2.42578125" style="7" customWidth="1"/>
    <col min="10740" max="10740" width="3.28515625" style="7" customWidth="1"/>
    <col min="10741" max="10741" width="3.5703125" style="7" customWidth="1"/>
    <col min="10742" max="10742" width="4" style="7" customWidth="1"/>
    <col min="10743" max="10743" width="3.42578125" style="7" customWidth="1"/>
    <col min="10744" max="10744" width="3" style="7" customWidth="1"/>
    <col min="10745" max="10978" width="11.42578125" style="7"/>
    <col min="10979" max="10979" width="44.42578125" style="7" customWidth="1"/>
    <col min="10980" max="10980" width="13" style="7" customWidth="1"/>
    <col min="10981" max="10986" width="2" style="7" customWidth="1"/>
    <col min="10987" max="10987" width="2.42578125" style="7" customWidth="1"/>
    <col min="10988" max="10988" width="3" style="7" customWidth="1"/>
    <col min="10989" max="10991" width="2" style="7" customWidth="1"/>
    <col min="10992" max="10992" width="2.85546875" style="7" customWidth="1"/>
    <col min="10993" max="10993" width="3" style="7" customWidth="1"/>
    <col min="10994" max="10994" width="2.7109375" style="7" customWidth="1"/>
    <col min="10995" max="10995" width="2.42578125" style="7" customWidth="1"/>
    <col min="10996" max="10996" width="3.28515625" style="7" customWidth="1"/>
    <col min="10997" max="10997" width="3.5703125" style="7" customWidth="1"/>
    <col min="10998" max="10998" width="4" style="7" customWidth="1"/>
    <col min="10999" max="10999" width="3.42578125" style="7" customWidth="1"/>
    <col min="11000" max="11000" width="3" style="7" customWidth="1"/>
    <col min="11001" max="11234" width="11.42578125" style="7"/>
    <col min="11235" max="11235" width="44.42578125" style="7" customWidth="1"/>
    <col min="11236" max="11236" width="13" style="7" customWidth="1"/>
    <col min="11237" max="11242" width="2" style="7" customWidth="1"/>
    <col min="11243" max="11243" width="2.42578125" style="7" customWidth="1"/>
    <col min="11244" max="11244" width="3" style="7" customWidth="1"/>
    <col min="11245" max="11247" width="2" style="7" customWidth="1"/>
    <col min="11248" max="11248" width="2.85546875" style="7" customWidth="1"/>
    <col min="11249" max="11249" width="3" style="7" customWidth="1"/>
    <col min="11250" max="11250" width="2.7109375" style="7" customWidth="1"/>
    <col min="11251" max="11251" width="2.42578125" style="7" customWidth="1"/>
    <col min="11252" max="11252" width="3.28515625" style="7" customWidth="1"/>
    <col min="11253" max="11253" width="3.5703125" style="7" customWidth="1"/>
    <col min="11254" max="11254" width="4" style="7" customWidth="1"/>
    <col min="11255" max="11255" width="3.42578125" style="7" customWidth="1"/>
    <col min="11256" max="11256" width="3" style="7" customWidth="1"/>
    <col min="11257" max="11490" width="11.42578125" style="7"/>
    <col min="11491" max="11491" width="44.42578125" style="7" customWidth="1"/>
    <col min="11492" max="11492" width="13" style="7" customWidth="1"/>
    <col min="11493" max="11498" width="2" style="7" customWidth="1"/>
    <col min="11499" max="11499" width="2.42578125" style="7" customWidth="1"/>
    <col min="11500" max="11500" width="3" style="7" customWidth="1"/>
    <col min="11501" max="11503" width="2" style="7" customWidth="1"/>
    <col min="11504" max="11504" width="2.85546875" style="7" customWidth="1"/>
    <col min="11505" max="11505" width="3" style="7" customWidth="1"/>
    <col min="11506" max="11506" width="2.7109375" style="7" customWidth="1"/>
    <col min="11507" max="11507" width="2.42578125" style="7" customWidth="1"/>
    <col min="11508" max="11508" width="3.28515625" style="7" customWidth="1"/>
    <col min="11509" max="11509" width="3.5703125" style="7" customWidth="1"/>
    <col min="11510" max="11510" width="4" style="7" customWidth="1"/>
    <col min="11511" max="11511" width="3.42578125" style="7" customWidth="1"/>
    <col min="11512" max="11512" width="3" style="7" customWidth="1"/>
    <col min="11513" max="11746" width="11.42578125" style="7"/>
    <col min="11747" max="11747" width="44.42578125" style="7" customWidth="1"/>
    <col min="11748" max="11748" width="13" style="7" customWidth="1"/>
    <col min="11749" max="11754" width="2" style="7" customWidth="1"/>
    <col min="11755" max="11755" width="2.42578125" style="7" customWidth="1"/>
    <col min="11756" max="11756" width="3" style="7" customWidth="1"/>
    <col min="11757" max="11759" width="2" style="7" customWidth="1"/>
    <col min="11760" max="11760" width="2.85546875" style="7" customWidth="1"/>
    <col min="11761" max="11761" width="3" style="7" customWidth="1"/>
    <col min="11762" max="11762" width="2.7109375" style="7" customWidth="1"/>
    <col min="11763" max="11763" width="2.42578125" style="7" customWidth="1"/>
    <col min="11764" max="11764" width="3.28515625" style="7" customWidth="1"/>
    <col min="11765" max="11765" width="3.5703125" style="7" customWidth="1"/>
    <col min="11766" max="11766" width="4" style="7" customWidth="1"/>
    <col min="11767" max="11767" width="3.42578125" style="7" customWidth="1"/>
    <col min="11768" max="11768" width="3" style="7" customWidth="1"/>
    <col min="11769" max="12002" width="11.42578125" style="7"/>
    <col min="12003" max="12003" width="44.42578125" style="7" customWidth="1"/>
    <col min="12004" max="12004" width="13" style="7" customWidth="1"/>
    <col min="12005" max="12010" width="2" style="7" customWidth="1"/>
    <col min="12011" max="12011" width="2.42578125" style="7" customWidth="1"/>
    <col min="12012" max="12012" width="3" style="7" customWidth="1"/>
    <col min="12013" max="12015" width="2" style="7" customWidth="1"/>
    <col min="12016" max="12016" width="2.85546875" style="7" customWidth="1"/>
    <col min="12017" max="12017" width="3" style="7" customWidth="1"/>
    <col min="12018" max="12018" width="2.7109375" style="7" customWidth="1"/>
    <col min="12019" max="12019" width="2.42578125" style="7" customWidth="1"/>
    <col min="12020" max="12020" width="3.28515625" style="7" customWidth="1"/>
    <col min="12021" max="12021" width="3.5703125" style="7" customWidth="1"/>
    <col min="12022" max="12022" width="4" style="7" customWidth="1"/>
    <col min="12023" max="12023" width="3.42578125" style="7" customWidth="1"/>
    <col min="12024" max="12024" width="3" style="7" customWidth="1"/>
    <col min="12025" max="12258" width="11.42578125" style="7"/>
    <col min="12259" max="12259" width="44.42578125" style="7" customWidth="1"/>
    <col min="12260" max="12260" width="13" style="7" customWidth="1"/>
    <col min="12261" max="12266" width="2" style="7" customWidth="1"/>
    <col min="12267" max="12267" width="2.42578125" style="7" customWidth="1"/>
    <col min="12268" max="12268" width="3" style="7" customWidth="1"/>
    <col min="12269" max="12271" width="2" style="7" customWidth="1"/>
    <col min="12272" max="12272" width="2.85546875" style="7" customWidth="1"/>
    <col min="12273" max="12273" width="3" style="7" customWidth="1"/>
    <col min="12274" max="12274" width="2.7109375" style="7" customWidth="1"/>
    <col min="12275" max="12275" width="2.42578125" style="7" customWidth="1"/>
    <col min="12276" max="12276" width="3.28515625" style="7" customWidth="1"/>
    <col min="12277" max="12277" width="3.5703125" style="7" customWidth="1"/>
    <col min="12278" max="12278" width="4" style="7" customWidth="1"/>
    <col min="12279" max="12279" width="3.42578125" style="7" customWidth="1"/>
    <col min="12280" max="12280" width="3" style="7" customWidth="1"/>
    <col min="12281" max="12514" width="11.42578125" style="7"/>
    <col min="12515" max="12515" width="44.42578125" style="7" customWidth="1"/>
    <col min="12516" max="12516" width="13" style="7" customWidth="1"/>
    <col min="12517" max="12522" width="2" style="7" customWidth="1"/>
    <col min="12523" max="12523" width="2.42578125" style="7" customWidth="1"/>
    <col min="12524" max="12524" width="3" style="7" customWidth="1"/>
    <col min="12525" max="12527" width="2" style="7" customWidth="1"/>
    <col min="12528" max="12528" width="2.85546875" style="7" customWidth="1"/>
    <col min="12529" max="12529" width="3" style="7" customWidth="1"/>
    <col min="12530" max="12530" width="2.7109375" style="7" customWidth="1"/>
    <col min="12531" max="12531" width="2.42578125" style="7" customWidth="1"/>
    <col min="12532" max="12532" width="3.28515625" style="7" customWidth="1"/>
    <col min="12533" max="12533" width="3.5703125" style="7" customWidth="1"/>
    <col min="12534" max="12534" width="4" style="7" customWidth="1"/>
    <col min="12535" max="12535" width="3.42578125" style="7" customWidth="1"/>
    <col min="12536" max="12536" width="3" style="7" customWidth="1"/>
    <col min="12537" max="12770" width="11.42578125" style="7"/>
    <col min="12771" max="12771" width="44.42578125" style="7" customWidth="1"/>
    <col min="12772" max="12772" width="13" style="7" customWidth="1"/>
    <col min="12773" max="12778" width="2" style="7" customWidth="1"/>
    <col min="12779" max="12779" width="2.42578125" style="7" customWidth="1"/>
    <col min="12780" max="12780" width="3" style="7" customWidth="1"/>
    <col min="12781" max="12783" width="2" style="7" customWidth="1"/>
    <col min="12784" max="12784" width="2.85546875" style="7" customWidth="1"/>
    <col min="12785" max="12785" width="3" style="7" customWidth="1"/>
    <col min="12786" max="12786" width="2.7109375" style="7" customWidth="1"/>
    <col min="12787" max="12787" width="2.42578125" style="7" customWidth="1"/>
    <col min="12788" max="12788" width="3.28515625" style="7" customWidth="1"/>
    <col min="12789" max="12789" width="3.5703125" style="7" customWidth="1"/>
    <col min="12790" max="12790" width="4" style="7" customWidth="1"/>
    <col min="12791" max="12791" width="3.42578125" style="7" customWidth="1"/>
    <col min="12792" max="12792" width="3" style="7" customWidth="1"/>
    <col min="12793" max="13026" width="11.42578125" style="7"/>
    <col min="13027" max="13027" width="44.42578125" style="7" customWidth="1"/>
    <col min="13028" max="13028" width="13" style="7" customWidth="1"/>
    <col min="13029" max="13034" width="2" style="7" customWidth="1"/>
    <col min="13035" max="13035" width="2.42578125" style="7" customWidth="1"/>
    <col min="13036" max="13036" width="3" style="7" customWidth="1"/>
    <col min="13037" max="13039" width="2" style="7" customWidth="1"/>
    <col min="13040" max="13040" width="2.85546875" style="7" customWidth="1"/>
    <col min="13041" max="13041" width="3" style="7" customWidth="1"/>
    <col min="13042" max="13042" width="2.7109375" style="7" customWidth="1"/>
    <col min="13043" max="13043" width="2.42578125" style="7" customWidth="1"/>
    <col min="13044" max="13044" width="3.28515625" style="7" customWidth="1"/>
    <col min="13045" max="13045" width="3.5703125" style="7" customWidth="1"/>
    <col min="13046" max="13046" width="4" style="7" customWidth="1"/>
    <col min="13047" max="13047" width="3.42578125" style="7" customWidth="1"/>
    <col min="13048" max="13048" width="3" style="7" customWidth="1"/>
    <col min="13049" max="13282" width="11.42578125" style="7"/>
    <col min="13283" max="13283" width="44.42578125" style="7" customWidth="1"/>
    <col min="13284" max="13284" width="13" style="7" customWidth="1"/>
    <col min="13285" max="13290" width="2" style="7" customWidth="1"/>
    <col min="13291" max="13291" width="2.42578125" style="7" customWidth="1"/>
    <col min="13292" max="13292" width="3" style="7" customWidth="1"/>
    <col min="13293" max="13295" width="2" style="7" customWidth="1"/>
    <col min="13296" max="13296" width="2.85546875" style="7" customWidth="1"/>
    <col min="13297" max="13297" width="3" style="7" customWidth="1"/>
    <col min="13298" max="13298" width="2.7109375" style="7" customWidth="1"/>
    <col min="13299" max="13299" width="2.42578125" style="7" customWidth="1"/>
    <col min="13300" max="13300" width="3.28515625" style="7" customWidth="1"/>
    <col min="13301" max="13301" width="3.5703125" style="7" customWidth="1"/>
    <col min="13302" max="13302" width="4" style="7" customWidth="1"/>
    <col min="13303" max="13303" width="3.42578125" style="7" customWidth="1"/>
    <col min="13304" max="13304" width="3" style="7" customWidth="1"/>
    <col min="13305" max="13538" width="11.42578125" style="7"/>
    <col min="13539" max="13539" width="44.42578125" style="7" customWidth="1"/>
    <col min="13540" max="13540" width="13" style="7" customWidth="1"/>
    <col min="13541" max="13546" width="2" style="7" customWidth="1"/>
    <col min="13547" max="13547" width="2.42578125" style="7" customWidth="1"/>
    <col min="13548" max="13548" width="3" style="7" customWidth="1"/>
    <col min="13549" max="13551" width="2" style="7" customWidth="1"/>
    <col min="13552" max="13552" width="2.85546875" style="7" customWidth="1"/>
    <col min="13553" max="13553" width="3" style="7" customWidth="1"/>
    <col min="13554" max="13554" width="2.7109375" style="7" customWidth="1"/>
    <col min="13555" max="13555" width="2.42578125" style="7" customWidth="1"/>
    <col min="13556" max="13556" width="3.28515625" style="7" customWidth="1"/>
    <col min="13557" max="13557" width="3.5703125" style="7" customWidth="1"/>
    <col min="13558" max="13558" width="4" style="7" customWidth="1"/>
    <col min="13559" max="13559" width="3.42578125" style="7" customWidth="1"/>
    <col min="13560" max="13560" width="3" style="7" customWidth="1"/>
    <col min="13561" max="13794" width="11.42578125" style="7"/>
    <col min="13795" max="13795" width="44.42578125" style="7" customWidth="1"/>
    <col min="13796" max="13796" width="13" style="7" customWidth="1"/>
    <col min="13797" max="13802" width="2" style="7" customWidth="1"/>
    <col min="13803" max="13803" width="2.42578125" style="7" customWidth="1"/>
    <col min="13804" max="13804" width="3" style="7" customWidth="1"/>
    <col min="13805" max="13807" width="2" style="7" customWidth="1"/>
    <col min="13808" max="13808" width="2.85546875" style="7" customWidth="1"/>
    <col min="13809" max="13809" width="3" style="7" customWidth="1"/>
    <col min="13810" max="13810" width="2.7109375" style="7" customWidth="1"/>
    <col min="13811" max="13811" width="2.42578125" style="7" customWidth="1"/>
    <col min="13812" max="13812" width="3.28515625" style="7" customWidth="1"/>
    <col min="13813" max="13813" width="3.5703125" style="7" customWidth="1"/>
    <col min="13814" max="13814" width="4" style="7" customWidth="1"/>
    <col min="13815" max="13815" width="3.42578125" style="7" customWidth="1"/>
    <col min="13816" max="13816" width="3" style="7" customWidth="1"/>
    <col min="13817" max="14050" width="11.42578125" style="7"/>
    <col min="14051" max="14051" width="44.42578125" style="7" customWidth="1"/>
    <col min="14052" max="14052" width="13" style="7" customWidth="1"/>
    <col min="14053" max="14058" width="2" style="7" customWidth="1"/>
    <col min="14059" max="14059" width="2.42578125" style="7" customWidth="1"/>
    <col min="14060" max="14060" width="3" style="7" customWidth="1"/>
    <col min="14061" max="14063" width="2" style="7" customWidth="1"/>
    <col min="14064" max="14064" width="2.85546875" style="7" customWidth="1"/>
    <col min="14065" max="14065" width="3" style="7" customWidth="1"/>
    <col min="14066" max="14066" width="2.7109375" style="7" customWidth="1"/>
    <col min="14067" max="14067" width="2.42578125" style="7" customWidth="1"/>
    <col min="14068" max="14068" width="3.28515625" style="7" customWidth="1"/>
    <col min="14069" max="14069" width="3.5703125" style="7" customWidth="1"/>
    <col min="14070" max="14070" width="4" style="7" customWidth="1"/>
    <col min="14071" max="14071" width="3.42578125" style="7" customWidth="1"/>
    <col min="14072" max="14072" width="3" style="7" customWidth="1"/>
    <col min="14073" max="14306" width="11.42578125" style="7"/>
    <col min="14307" max="14307" width="44.42578125" style="7" customWidth="1"/>
    <col min="14308" max="14308" width="13" style="7" customWidth="1"/>
    <col min="14309" max="14314" width="2" style="7" customWidth="1"/>
    <col min="14315" max="14315" width="2.42578125" style="7" customWidth="1"/>
    <col min="14316" max="14316" width="3" style="7" customWidth="1"/>
    <col min="14317" max="14319" width="2" style="7" customWidth="1"/>
    <col min="14320" max="14320" width="2.85546875" style="7" customWidth="1"/>
    <col min="14321" max="14321" width="3" style="7" customWidth="1"/>
    <col min="14322" max="14322" width="2.7109375" style="7" customWidth="1"/>
    <col min="14323" max="14323" width="2.42578125" style="7" customWidth="1"/>
    <col min="14324" max="14324" width="3.28515625" style="7" customWidth="1"/>
    <col min="14325" max="14325" width="3.5703125" style="7" customWidth="1"/>
    <col min="14326" max="14326" width="4" style="7" customWidth="1"/>
    <col min="14327" max="14327" width="3.42578125" style="7" customWidth="1"/>
    <col min="14328" max="14328" width="3" style="7" customWidth="1"/>
    <col min="14329" max="14562" width="11.42578125" style="7"/>
    <col min="14563" max="14563" width="44.42578125" style="7" customWidth="1"/>
    <col min="14564" max="14564" width="13" style="7" customWidth="1"/>
    <col min="14565" max="14570" width="2" style="7" customWidth="1"/>
    <col min="14571" max="14571" width="2.42578125" style="7" customWidth="1"/>
    <col min="14572" max="14572" width="3" style="7" customWidth="1"/>
    <col min="14573" max="14575" width="2" style="7" customWidth="1"/>
    <col min="14576" max="14576" width="2.85546875" style="7" customWidth="1"/>
    <col min="14577" max="14577" width="3" style="7" customWidth="1"/>
    <col min="14578" max="14578" width="2.7109375" style="7" customWidth="1"/>
    <col min="14579" max="14579" width="2.42578125" style="7" customWidth="1"/>
    <col min="14580" max="14580" width="3.28515625" style="7" customWidth="1"/>
    <col min="14581" max="14581" width="3.5703125" style="7" customWidth="1"/>
    <col min="14582" max="14582" width="4" style="7" customWidth="1"/>
    <col min="14583" max="14583" width="3.42578125" style="7" customWidth="1"/>
    <col min="14584" max="14584" width="3" style="7" customWidth="1"/>
    <col min="14585" max="14818" width="11.42578125" style="7"/>
    <col min="14819" max="14819" width="44.42578125" style="7" customWidth="1"/>
    <col min="14820" max="14820" width="13" style="7" customWidth="1"/>
    <col min="14821" max="14826" width="2" style="7" customWidth="1"/>
    <col min="14827" max="14827" width="2.42578125" style="7" customWidth="1"/>
    <col min="14828" max="14828" width="3" style="7" customWidth="1"/>
    <col min="14829" max="14831" width="2" style="7" customWidth="1"/>
    <col min="14832" max="14832" width="2.85546875" style="7" customWidth="1"/>
    <col min="14833" max="14833" width="3" style="7" customWidth="1"/>
    <col min="14834" max="14834" width="2.7109375" style="7" customWidth="1"/>
    <col min="14835" max="14835" width="2.42578125" style="7" customWidth="1"/>
    <col min="14836" max="14836" width="3.28515625" style="7" customWidth="1"/>
    <col min="14837" max="14837" width="3.5703125" style="7" customWidth="1"/>
    <col min="14838" max="14838" width="4" style="7" customWidth="1"/>
    <col min="14839" max="14839" width="3.42578125" style="7" customWidth="1"/>
    <col min="14840" max="14840" width="3" style="7" customWidth="1"/>
    <col min="14841" max="15074" width="11.42578125" style="7"/>
    <col min="15075" max="15075" width="44.42578125" style="7" customWidth="1"/>
    <col min="15076" max="15076" width="13" style="7" customWidth="1"/>
    <col min="15077" max="15082" width="2" style="7" customWidth="1"/>
    <col min="15083" max="15083" width="2.42578125" style="7" customWidth="1"/>
    <col min="15084" max="15084" width="3" style="7" customWidth="1"/>
    <col min="15085" max="15087" width="2" style="7" customWidth="1"/>
    <col min="15088" max="15088" width="2.85546875" style="7" customWidth="1"/>
    <col min="15089" max="15089" width="3" style="7" customWidth="1"/>
    <col min="15090" max="15090" width="2.7109375" style="7" customWidth="1"/>
    <col min="15091" max="15091" width="2.42578125" style="7" customWidth="1"/>
    <col min="15092" max="15092" width="3.28515625" style="7" customWidth="1"/>
    <col min="15093" max="15093" width="3.5703125" style="7" customWidth="1"/>
    <col min="15094" max="15094" width="4" style="7" customWidth="1"/>
    <col min="15095" max="15095" width="3.42578125" style="7" customWidth="1"/>
    <col min="15096" max="15096" width="3" style="7" customWidth="1"/>
    <col min="15097" max="15330" width="11.42578125" style="7"/>
    <col min="15331" max="15331" width="44.42578125" style="7" customWidth="1"/>
    <col min="15332" max="15332" width="13" style="7" customWidth="1"/>
    <col min="15333" max="15338" width="2" style="7" customWidth="1"/>
    <col min="15339" max="15339" width="2.42578125" style="7" customWidth="1"/>
    <col min="15340" max="15340" width="3" style="7" customWidth="1"/>
    <col min="15341" max="15343" width="2" style="7" customWidth="1"/>
    <col min="15344" max="15344" width="2.85546875" style="7" customWidth="1"/>
    <col min="15345" max="15345" width="3" style="7" customWidth="1"/>
    <col min="15346" max="15346" width="2.7109375" style="7" customWidth="1"/>
    <col min="15347" max="15347" width="2.42578125" style="7" customWidth="1"/>
    <col min="15348" max="15348" width="3.28515625" style="7" customWidth="1"/>
    <col min="15349" max="15349" width="3.5703125" style="7" customWidth="1"/>
    <col min="15350" max="15350" width="4" style="7" customWidth="1"/>
    <col min="15351" max="15351" width="3.42578125" style="7" customWidth="1"/>
    <col min="15352" max="15352" width="3" style="7" customWidth="1"/>
    <col min="15353" max="15586" width="11.42578125" style="7"/>
    <col min="15587" max="15587" width="44.42578125" style="7" customWidth="1"/>
    <col min="15588" max="15588" width="13" style="7" customWidth="1"/>
    <col min="15589" max="15594" width="2" style="7" customWidth="1"/>
    <col min="15595" max="15595" width="2.42578125" style="7" customWidth="1"/>
    <col min="15596" max="15596" width="3" style="7" customWidth="1"/>
    <col min="15597" max="15599" width="2" style="7" customWidth="1"/>
    <col min="15600" max="15600" width="2.85546875" style="7" customWidth="1"/>
    <col min="15601" max="15601" width="3" style="7" customWidth="1"/>
    <col min="15602" max="15602" width="2.7109375" style="7" customWidth="1"/>
    <col min="15603" max="15603" width="2.42578125" style="7" customWidth="1"/>
    <col min="15604" max="15604" width="3.28515625" style="7" customWidth="1"/>
    <col min="15605" max="15605" width="3.5703125" style="7" customWidth="1"/>
    <col min="15606" max="15606" width="4" style="7" customWidth="1"/>
    <col min="15607" max="15607" width="3.42578125" style="7" customWidth="1"/>
    <col min="15608" max="15608" width="3" style="7" customWidth="1"/>
    <col min="15609" max="15842" width="11.42578125" style="7"/>
    <col min="15843" max="15843" width="44.42578125" style="7" customWidth="1"/>
    <col min="15844" max="15844" width="13" style="7" customWidth="1"/>
    <col min="15845" max="15850" width="2" style="7" customWidth="1"/>
    <col min="15851" max="15851" width="2.42578125" style="7" customWidth="1"/>
    <col min="15852" max="15852" width="3" style="7" customWidth="1"/>
    <col min="15853" max="15855" width="2" style="7" customWidth="1"/>
    <col min="15856" max="15856" width="2.85546875" style="7" customWidth="1"/>
    <col min="15857" max="15857" width="3" style="7" customWidth="1"/>
    <col min="15858" max="15858" width="2.7109375" style="7" customWidth="1"/>
    <col min="15859" max="15859" width="2.42578125" style="7" customWidth="1"/>
    <col min="15860" max="15860" width="3.28515625" style="7" customWidth="1"/>
    <col min="15861" max="15861" width="3.5703125" style="7" customWidth="1"/>
    <col min="15862" max="15862" width="4" style="7" customWidth="1"/>
    <col min="15863" max="15863" width="3.42578125" style="7" customWidth="1"/>
    <col min="15864" max="15864" width="3" style="7" customWidth="1"/>
    <col min="15865" max="16098" width="11.42578125" style="7"/>
    <col min="16099" max="16099" width="44.42578125" style="7" customWidth="1"/>
    <col min="16100" max="16100" width="13" style="7" customWidth="1"/>
    <col min="16101" max="16106" width="2" style="7" customWidth="1"/>
    <col min="16107" max="16107" width="2.42578125" style="7" customWidth="1"/>
    <col min="16108" max="16108" width="3" style="7" customWidth="1"/>
    <col min="16109" max="16111" width="2" style="7" customWidth="1"/>
    <col min="16112" max="16112" width="2.85546875" style="7" customWidth="1"/>
    <col min="16113" max="16113" width="3" style="7" customWidth="1"/>
    <col min="16114" max="16114" width="2.7109375" style="7" customWidth="1"/>
    <col min="16115" max="16115" width="2.42578125" style="7" customWidth="1"/>
    <col min="16116" max="16116" width="3.28515625" style="7" customWidth="1"/>
    <col min="16117" max="16117" width="3.5703125" style="7" customWidth="1"/>
    <col min="16118" max="16118" width="4" style="7" customWidth="1"/>
    <col min="16119" max="16119" width="3.42578125" style="7" customWidth="1"/>
    <col min="16120" max="16120" width="3" style="7" customWidth="1"/>
    <col min="16121" max="16384" width="11.42578125" style="7"/>
  </cols>
  <sheetData>
    <row r="1" spans="1:12" x14ac:dyDescent="0.2">
      <c r="A1" s="181" t="s">
        <v>192</v>
      </c>
      <c r="B1" s="7"/>
      <c r="C1" s="7"/>
    </row>
    <row r="2" spans="1:12" x14ac:dyDescent="0.2">
      <c r="A2" s="181" t="s">
        <v>46</v>
      </c>
      <c r="B2" s="7"/>
      <c r="C2" s="7"/>
    </row>
    <row r="3" spans="1:12" x14ac:dyDescent="0.2">
      <c r="A3" s="181"/>
      <c r="B3" s="7"/>
      <c r="C3" s="7"/>
    </row>
    <row r="4" spans="1:12" x14ac:dyDescent="0.2">
      <c r="A4" s="181" t="s">
        <v>293</v>
      </c>
      <c r="B4" s="7"/>
      <c r="C4" s="7"/>
      <c r="L4" s="292"/>
    </row>
    <row r="5" spans="1:12" x14ac:dyDescent="0.2">
      <c r="A5" s="181"/>
      <c r="B5" s="7"/>
      <c r="C5" s="7"/>
    </row>
    <row r="6" spans="1:12" x14ac:dyDescent="0.2">
      <c r="A6" s="181" t="s">
        <v>175</v>
      </c>
      <c r="B6" s="7"/>
      <c r="C6" s="7"/>
    </row>
    <row r="7" spans="1:12" ht="25.5" x14ac:dyDescent="0.2">
      <c r="A7" s="182"/>
      <c r="B7" s="172" t="s">
        <v>7</v>
      </c>
      <c r="C7" s="172" t="s">
        <v>777</v>
      </c>
      <c r="D7" s="172" t="s">
        <v>8</v>
      </c>
      <c r="E7" s="172" t="s">
        <v>407</v>
      </c>
      <c r="F7" s="172" t="s">
        <v>197</v>
      </c>
      <c r="G7" s="172" t="s">
        <v>2</v>
      </c>
      <c r="H7" s="172" t="s">
        <v>198</v>
      </c>
      <c r="I7" s="173" t="s">
        <v>1</v>
      </c>
      <c r="J7" s="228" t="s">
        <v>6</v>
      </c>
      <c r="K7" s="228" t="s">
        <v>4</v>
      </c>
    </row>
    <row r="8" spans="1:12" ht="25.5" x14ac:dyDescent="0.2">
      <c r="A8" s="180"/>
      <c r="B8" s="174" t="s">
        <v>294</v>
      </c>
      <c r="C8" s="174"/>
      <c r="D8" s="175"/>
      <c r="E8" s="175"/>
      <c r="F8" s="174"/>
      <c r="G8" s="174"/>
      <c r="H8" s="175"/>
      <c r="I8" s="213"/>
      <c r="J8" s="229"/>
      <c r="K8" s="180">
        <f>K9+K32</f>
        <v>62000000</v>
      </c>
      <c r="L8" s="293"/>
    </row>
    <row r="9" spans="1:12" s="6" customFormat="1" x14ac:dyDescent="0.2">
      <c r="A9" s="223" t="s">
        <v>209</v>
      </c>
      <c r="B9" s="224" t="s">
        <v>574</v>
      </c>
      <c r="C9" s="224"/>
      <c r="D9" s="225"/>
      <c r="E9" s="225"/>
      <c r="F9" s="295"/>
      <c r="G9" s="295"/>
      <c r="H9" s="296"/>
      <c r="I9" s="226"/>
      <c r="J9" s="234"/>
      <c r="K9" s="849">
        <f>+K10+K16+K23+K29</f>
        <v>58220000</v>
      </c>
      <c r="L9" s="293"/>
    </row>
    <row r="10" spans="1:12" s="6" customFormat="1" x14ac:dyDescent="0.2">
      <c r="A10" s="844">
        <v>1.1000000000000001</v>
      </c>
      <c r="B10" s="219" t="s">
        <v>786</v>
      </c>
      <c r="C10" s="219"/>
      <c r="D10" s="220" t="s">
        <v>10</v>
      </c>
      <c r="E10" s="220"/>
      <c r="F10" s="297"/>
      <c r="G10" s="297" t="s">
        <v>409</v>
      </c>
      <c r="H10" s="298"/>
      <c r="I10" s="299"/>
      <c r="J10" s="300"/>
      <c r="K10" s="233">
        <f>+K11+K12+K13+K14+K15</f>
        <v>42340000</v>
      </c>
      <c r="L10" s="293"/>
    </row>
    <row r="11" spans="1:12" s="1" customFormat="1" ht="38.25" x14ac:dyDescent="0.2">
      <c r="A11" s="221" t="s">
        <v>210</v>
      </c>
      <c r="B11" s="214" t="s">
        <v>672</v>
      </c>
      <c r="C11" s="214" t="s">
        <v>780</v>
      </c>
      <c r="D11" s="215" t="s">
        <v>11</v>
      </c>
      <c r="E11" s="216" t="s">
        <v>406</v>
      </c>
      <c r="F11" s="216" t="s">
        <v>381</v>
      </c>
      <c r="G11" s="216"/>
      <c r="H11" s="216" t="s">
        <v>203</v>
      </c>
      <c r="I11" s="217">
        <v>1</v>
      </c>
      <c r="J11" s="230">
        <f>'12.1 CAMINOS'!I17</f>
        <v>13200000</v>
      </c>
      <c r="K11" s="231">
        <f>I11*J11</f>
        <v>13200000</v>
      </c>
      <c r="L11" s="528"/>
    </row>
    <row r="12" spans="1:12" s="1" customFormat="1" ht="38.25" x14ac:dyDescent="0.2">
      <c r="A12" s="221" t="s">
        <v>211</v>
      </c>
      <c r="B12" s="214" t="s">
        <v>459</v>
      </c>
      <c r="C12" s="214" t="s">
        <v>780</v>
      </c>
      <c r="D12" s="215" t="s">
        <v>11</v>
      </c>
      <c r="E12" s="216" t="s">
        <v>406</v>
      </c>
      <c r="F12" s="216" t="s">
        <v>381</v>
      </c>
      <c r="G12" s="216"/>
      <c r="H12" s="216" t="s">
        <v>203</v>
      </c>
      <c r="I12" s="217">
        <v>1</v>
      </c>
      <c r="J12" s="230">
        <f>'12.1 CAMINOS'!I18</f>
        <v>24800000</v>
      </c>
      <c r="K12" s="231">
        <f>I12*J12</f>
        <v>24800000</v>
      </c>
      <c r="L12" s="294"/>
    </row>
    <row r="13" spans="1:12" s="1" customFormat="1" ht="25.5" x14ac:dyDescent="0.2">
      <c r="A13" s="221" t="s">
        <v>781</v>
      </c>
      <c r="B13" s="218" t="s">
        <v>466</v>
      </c>
      <c r="C13" s="825" t="s">
        <v>779</v>
      </c>
      <c r="D13" s="215" t="s">
        <v>11</v>
      </c>
      <c r="E13" s="216" t="s">
        <v>292</v>
      </c>
      <c r="F13" s="216" t="s">
        <v>382</v>
      </c>
      <c r="G13" s="216"/>
      <c r="H13" s="302" t="s">
        <v>455</v>
      </c>
      <c r="I13" s="217">
        <v>1</v>
      </c>
      <c r="J13" s="230">
        <v>875000</v>
      </c>
      <c r="K13" s="231">
        <v>875000</v>
      </c>
      <c r="L13" s="797"/>
    </row>
    <row r="14" spans="1:12" s="1" customFormat="1" ht="25.5" x14ac:dyDescent="0.2">
      <c r="A14" s="221" t="s">
        <v>782</v>
      </c>
      <c r="B14" s="218" t="s">
        <v>467</v>
      </c>
      <c r="C14" s="825" t="s">
        <v>779</v>
      </c>
      <c r="D14" s="215" t="s">
        <v>11</v>
      </c>
      <c r="E14" s="216" t="s">
        <v>292</v>
      </c>
      <c r="F14" s="216" t="s">
        <v>382</v>
      </c>
      <c r="G14" s="216"/>
      <c r="H14" s="302" t="s">
        <v>455</v>
      </c>
      <c r="I14" s="217">
        <v>1</v>
      </c>
      <c r="J14" s="230">
        <v>1645000</v>
      </c>
      <c r="K14" s="231">
        <v>1645000</v>
      </c>
      <c r="L14" s="294"/>
    </row>
    <row r="15" spans="1:12" s="1" customFormat="1" ht="25.5" x14ac:dyDescent="0.2">
      <c r="A15" s="221" t="s">
        <v>783</v>
      </c>
      <c r="B15" s="218" t="s">
        <v>669</v>
      </c>
      <c r="C15" s="825" t="s">
        <v>778</v>
      </c>
      <c r="D15" s="215" t="s">
        <v>11</v>
      </c>
      <c r="E15" s="216" t="s">
        <v>408</v>
      </c>
      <c r="F15" s="216" t="s">
        <v>382</v>
      </c>
      <c r="G15" s="176"/>
      <c r="H15" s="216" t="s">
        <v>673</v>
      </c>
      <c r="I15" s="217">
        <v>1</v>
      </c>
      <c r="J15" s="230">
        <v>1820000</v>
      </c>
      <c r="K15" s="850">
        <f>I15*J15</f>
        <v>1820000</v>
      </c>
      <c r="L15" s="294"/>
    </row>
    <row r="16" spans="1:12" s="6" customFormat="1" ht="25.5" x14ac:dyDescent="0.2">
      <c r="A16" s="844">
        <v>1.2</v>
      </c>
      <c r="B16" s="219" t="s">
        <v>787</v>
      </c>
      <c r="C16" s="219"/>
      <c r="D16" s="220" t="s">
        <v>10</v>
      </c>
      <c r="E16" s="220"/>
      <c r="F16" s="220"/>
      <c r="G16" s="220" t="s">
        <v>409</v>
      </c>
      <c r="H16" s="220"/>
      <c r="I16" s="220"/>
      <c r="J16" s="232"/>
      <c r="K16" s="233">
        <f>+K17+K18+K19+K20+K21+K22</f>
        <v>4000000</v>
      </c>
      <c r="L16" s="293"/>
    </row>
    <row r="17" spans="1:16" s="1" customFormat="1" ht="25.5" x14ac:dyDescent="0.2">
      <c r="A17" s="221" t="s">
        <v>212</v>
      </c>
      <c r="B17" s="218" t="s">
        <v>695</v>
      </c>
      <c r="C17" s="825" t="s">
        <v>797</v>
      </c>
      <c r="D17" s="215" t="s">
        <v>11</v>
      </c>
      <c r="E17" s="216" t="s">
        <v>406</v>
      </c>
      <c r="F17" s="216" t="s">
        <v>381</v>
      </c>
      <c r="G17" s="216"/>
      <c r="H17" s="302" t="s">
        <v>771</v>
      </c>
      <c r="I17" s="217">
        <v>1</v>
      </c>
      <c r="J17" s="230">
        <v>764080</v>
      </c>
      <c r="K17" s="850">
        <f>I17*J17</f>
        <v>764080</v>
      </c>
      <c r="L17" s="294"/>
    </row>
    <row r="18" spans="1:16" s="1" customFormat="1" ht="25.5" x14ac:dyDescent="0.2">
      <c r="A18" s="221" t="s">
        <v>716</v>
      </c>
      <c r="B18" s="825" t="s">
        <v>694</v>
      </c>
      <c r="C18" s="825" t="s">
        <v>797</v>
      </c>
      <c r="D18" s="215" t="s">
        <v>11</v>
      </c>
      <c r="E18" s="216" t="s">
        <v>406</v>
      </c>
      <c r="F18" s="216" t="s">
        <v>381</v>
      </c>
      <c r="G18" s="216"/>
      <c r="H18" s="302" t="s">
        <v>698</v>
      </c>
      <c r="I18" s="217">
        <v>1</v>
      </c>
      <c r="J18" s="230">
        <f>1500*226.63*4</f>
        <v>1359780</v>
      </c>
      <c r="K18" s="850">
        <f>I18*J18</f>
        <v>1359780</v>
      </c>
      <c r="L18" s="294"/>
    </row>
    <row r="19" spans="1:16" s="1" customFormat="1" ht="25.5" x14ac:dyDescent="0.2">
      <c r="A19" s="221" t="s">
        <v>774</v>
      </c>
      <c r="B19" s="825" t="s">
        <v>764</v>
      </c>
      <c r="C19" s="825" t="s">
        <v>797</v>
      </c>
      <c r="D19" s="215" t="s">
        <v>11</v>
      </c>
      <c r="E19" s="216" t="s">
        <v>406</v>
      </c>
      <c r="F19" s="216" t="s">
        <v>696</v>
      </c>
      <c r="G19" s="216"/>
      <c r="H19" s="302" t="s">
        <v>771</v>
      </c>
      <c r="I19" s="217">
        <v>1</v>
      </c>
      <c r="J19" s="230">
        <f>1500*28.35*5</f>
        <v>212625</v>
      </c>
      <c r="K19" s="850">
        <f t="shared" ref="K19:K22" si="0">I19*J19</f>
        <v>212625</v>
      </c>
      <c r="L19" s="294"/>
    </row>
    <row r="20" spans="1:16" s="1" customFormat="1" ht="25.5" x14ac:dyDescent="0.2">
      <c r="A20" s="221" t="s">
        <v>775</v>
      </c>
      <c r="B20" s="825" t="s">
        <v>765</v>
      </c>
      <c r="C20" s="825" t="s">
        <v>797</v>
      </c>
      <c r="D20" s="215" t="s">
        <v>11</v>
      </c>
      <c r="E20" s="216" t="s">
        <v>406</v>
      </c>
      <c r="F20" s="216" t="s">
        <v>696</v>
      </c>
      <c r="G20" s="216"/>
      <c r="H20" s="302" t="s">
        <v>698</v>
      </c>
      <c r="I20" s="217">
        <v>1</v>
      </c>
      <c r="J20" s="230">
        <f>1500*70.04*4</f>
        <v>420240.00000000006</v>
      </c>
      <c r="K20" s="850">
        <f t="shared" si="0"/>
        <v>420240.00000000006</v>
      </c>
      <c r="L20" s="294"/>
    </row>
    <row r="21" spans="1:16" s="1" customFormat="1" ht="25.5" x14ac:dyDescent="0.2">
      <c r="A21" s="221" t="s">
        <v>776</v>
      </c>
      <c r="B21" s="825" t="s">
        <v>766</v>
      </c>
      <c r="C21" s="825" t="s">
        <v>797</v>
      </c>
      <c r="D21" s="215" t="s">
        <v>11</v>
      </c>
      <c r="E21" s="216" t="s">
        <v>406</v>
      </c>
      <c r="F21" s="216" t="s">
        <v>696</v>
      </c>
      <c r="G21" s="216"/>
      <c r="H21" s="302" t="s">
        <v>677</v>
      </c>
      <c r="I21" s="217">
        <v>1</v>
      </c>
      <c r="J21" s="230">
        <f>1500*256.75*3</f>
        <v>1155375</v>
      </c>
      <c r="K21" s="850">
        <f t="shared" si="0"/>
        <v>1155375</v>
      </c>
      <c r="L21" s="294"/>
    </row>
    <row r="22" spans="1:16" s="1" customFormat="1" ht="25.5" x14ac:dyDescent="0.2">
      <c r="A22" s="221" t="s">
        <v>784</v>
      </c>
      <c r="B22" s="825" t="s">
        <v>773</v>
      </c>
      <c r="C22" s="825" t="s">
        <v>797</v>
      </c>
      <c r="D22" s="215" t="s">
        <v>11</v>
      </c>
      <c r="E22" s="216" t="s">
        <v>406</v>
      </c>
      <c r="F22" s="216" t="s">
        <v>696</v>
      </c>
      <c r="G22" s="216"/>
      <c r="H22" s="302" t="s">
        <v>699</v>
      </c>
      <c r="I22" s="217">
        <v>1</v>
      </c>
      <c r="J22" s="230">
        <f>1500*29.3*2</f>
        <v>87900</v>
      </c>
      <c r="K22" s="850">
        <f t="shared" si="0"/>
        <v>87900</v>
      </c>
      <c r="L22" s="294"/>
    </row>
    <row r="23" spans="1:16" s="6" customFormat="1" ht="25.5" x14ac:dyDescent="0.2">
      <c r="A23" s="844">
        <v>1.3</v>
      </c>
      <c r="B23" s="219" t="s">
        <v>788</v>
      </c>
      <c r="C23" s="219"/>
      <c r="D23" s="220" t="s">
        <v>10</v>
      </c>
      <c r="E23" s="220"/>
      <c r="F23" s="220"/>
      <c r="G23" s="220" t="s">
        <v>409</v>
      </c>
      <c r="H23" s="220"/>
      <c r="I23" s="220"/>
      <c r="J23" s="232"/>
      <c r="K23" s="233">
        <f>+K24+K25+K26+K27+K28</f>
        <v>11660000</v>
      </c>
      <c r="L23" s="293"/>
    </row>
    <row r="24" spans="1:16" s="1" customFormat="1" ht="38.25" x14ac:dyDescent="0.2">
      <c r="A24" s="221" t="s">
        <v>213</v>
      </c>
      <c r="B24" s="222" t="s">
        <v>464</v>
      </c>
      <c r="C24" s="222" t="s">
        <v>785</v>
      </c>
      <c r="D24" s="215" t="s">
        <v>11</v>
      </c>
      <c r="E24" s="215" t="s">
        <v>406</v>
      </c>
      <c r="F24" s="216" t="s">
        <v>381</v>
      </c>
      <c r="G24" s="216"/>
      <c r="H24" s="216" t="s">
        <v>453</v>
      </c>
      <c r="I24" s="217">
        <v>1</v>
      </c>
      <c r="J24" s="230">
        <f>'12.2 PUENTES'!H25</f>
        <v>6885000</v>
      </c>
      <c r="K24" s="231">
        <f>I24*J24</f>
        <v>6885000</v>
      </c>
      <c r="L24" s="528"/>
    </row>
    <row r="25" spans="1:16" s="1" customFormat="1" ht="38.25" x14ac:dyDescent="0.2">
      <c r="A25" s="221" t="s">
        <v>532</v>
      </c>
      <c r="B25" s="222" t="s">
        <v>465</v>
      </c>
      <c r="C25" s="222" t="s">
        <v>785</v>
      </c>
      <c r="D25" s="215" t="s">
        <v>11</v>
      </c>
      <c r="E25" s="215" t="s">
        <v>406</v>
      </c>
      <c r="F25" s="216" t="s">
        <v>381</v>
      </c>
      <c r="G25" s="216"/>
      <c r="H25" s="216" t="s">
        <v>454</v>
      </c>
      <c r="I25" s="217">
        <v>1</v>
      </c>
      <c r="J25" s="230">
        <f>'12.2 PUENTES'!H26</f>
        <v>3315000</v>
      </c>
      <c r="K25" s="231">
        <f t="shared" ref="K25" si="1">I25*J25</f>
        <v>3315000</v>
      </c>
      <c r="L25" s="294"/>
    </row>
    <row r="26" spans="1:16" s="1" customFormat="1" ht="25.5" x14ac:dyDescent="0.2">
      <c r="A26" s="221" t="s">
        <v>671</v>
      </c>
      <c r="B26" s="825" t="s">
        <v>468</v>
      </c>
      <c r="C26" s="825" t="s">
        <v>779</v>
      </c>
      <c r="D26" s="215" t="s">
        <v>11</v>
      </c>
      <c r="E26" s="216" t="s">
        <v>292</v>
      </c>
      <c r="F26" s="216" t="s">
        <v>382</v>
      </c>
      <c r="G26" s="216"/>
      <c r="H26" s="302" t="s">
        <v>203</v>
      </c>
      <c r="I26" s="217">
        <v>1</v>
      </c>
      <c r="J26" s="230">
        <v>460000</v>
      </c>
      <c r="K26" s="231">
        <v>460000</v>
      </c>
      <c r="L26" s="294"/>
    </row>
    <row r="27" spans="1:16" s="1" customFormat="1" ht="25.5" x14ac:dyDescent="0.2">
      <c r="A27" s="221" t="s">
        <v>717</v>
      </c>
      <c r="B27" s="825" t="s">
        <v>469</v>
      </c>
      <c r="C27" s="825" t="s">
        <v>779</v>
      </c>
      <c r="D27" s="215" t="s">
        <v>11</v>
      </c>
      <c r="E27" s="216" t="s">
        <v>292</v>
      </c>
      <c r="F27" s="216" t="s">
        <v>382</v>
      </c>
      <c r="G27" s="216"/>
      <c r="H27" s="302" t="s">
        <v>456</v>
      </c>
      <c r="I27" s="217">
        <v>1</v>
      </c>
      <c r="J27" s="230">
        <v>220000</v>
      </c>
      <c r="K27" s="231">
        <v>220000</v>
      </c>
      <c r="L27" s="294"/>
    </row>
    <row r="28" spans="1:16" s="1" customFormat="1" ht="25.5" x14ac:dyDescent="0.2">
      <c r="A28" s="221" t="s">
        <v>718</v>
      </c>
      <c r="B28" s="218" t="s">
        <v>670</v>
      </c>
      <c r="C28" s="825" t="s">
        <v>778</v>
      </c>
      <c r="D28" s="215" t="s">
        <v>11</v>
      </c>
      <c r="E28" s="216" t="s">
        <v>408</v>
      </c>
      <c r="F28" s="216" t="s">
        <v>382</v>
      </c>
      <c r="G28" s="216"/>
      <c r="H28" s="216" t="s">
        <v>673</v>
      </c>
      <c r="I28" s="217">
        <v>1</v>
      </c>
      <c r="J28" s="230">
        <v>780000</v>
      </c>
      <c r="K28" s="850">
        <f>I28*J28</f>
        <v>780000</v>
      </c>
      <c r="L28" s="294"/>
    </row>
    <row r="29" spans="1:16" s="6" customFormat="1" ht="25.5" x14ac:dyDescent="0.2">
      <c r="A29" s="844">
        <v>1.4</v>
      </c>
      <c r="B29" s="219" t="s">
        <v>789</v>
      </c>
      <c r="C29" s="219"/>
      <c r="D29" s="220" t="s">
        <v>10</v>
      </c>
      <c r="E29" s="220"/>
      <c r="F29" s="220"/>
      <c r="G29" s="220" t="s">
        <v>409</v>
      </c>
      <c r="H29" s="220"/>
      <c r="I29" s="220"/>
      <c r="J29" s="232"/>
      <c r="K29" s="233">
        <f>+K30+K31</f>
        <v>220000</v>
      </c>
      <c r="L29" s="293"/>
      <c r="P29" s="6">
        <f>SUM(P30:P31)</f>
        <v>139900</v>
      </c>
    </row>
    <row r="30" spans="1:16" s="1" customFormat="1" ht="28.5" customHeight="1" x14ac:dyDescent="0.2">
      <c r="A30" s="221" t="s">
        <v>665</v>
      </c>
      <c r="B30" s="218" t="s">
        <v>712</v>
      </c>
      <c r="C30" s="222" t="s">
        <v>791</v>
      </c>
      <c r="D30" s="177" t="s">
        <v>11</v>
      </c>
      <c r="E30" s="216" t="s">
        <v>408</v>
      </c>
      <c r="F30" s="216" t="s">
        <v>400</v>
      </c>
      <c r="G30" s="216"/>
      <c r="H30" s="216" t="s">
        <v>713</v>
      </c>
      <c r="I30" s="217">
        <v>1</v>
      </c>
      <c r="J30" s="230">
        <v>90000</v>
      </c>
      <c r="K30" s="231">
        <f>I30*J30</f>
        <v>90000</v>
      </c>
      <c r="P30" s="230">
        <v>58900</v>
      </c>
    </row>
    <row r="31" spans="1:16" s="1" customFormat="1" ht="30" customHeight="1" x14ac:dyDescent="0.2">
      <c r="A31" s="221" t="s">
        <v>668</v>
      </c>
      <c r="B31" s="218" t="s">
        <v>445</v>
      </c>
      <c r="C31" s="222" t="s">
        <v>791</v>
      </c>
      <c r="D31" s="177" t="s">
        <v>11</v>
      </c>
      <c r="E31" s="216" t="s">
        <v>408</v>
      </c>
      <c r="F31" s="216" t="s">
        <v>400</v>
      </c>
      <c r="G31" s="216"/>
      <c r="H31" s="216" t="s">
        <v>677</v>
      </c>
      <c r="I31" s="217">
        <v>1</v>
      </c>
      <c r="J31" s="230">
        <v>130000</v>
      </c>
      <c r="K31" s="231">
        <f t="shared" ref="K31" si="2">I31*J31</f>
        <v>130000</v>
      </c>
      <c r="P31" s="230">
        <v>81000</v>
      </c>
    </row>
    <row r="32" spans="1:16" s="1" customFormat="1" x14ac:dyDescent="0.2">
      <c r="A32" s="223">
        <v>2</v>
      </c>
      <c r="B32" s="224" t="s">
        <v>720</v>
      </c>
      <c r="C32" s="224"/>
      <c r="D32" s="225"/>
      <c r="E32" s="225"/>
      <c r="F32" s="295"/>
      <c r="G32" s="295"/>
      <c r="H32" s="296"/>
      <c r="I32" s="226"/>
      <c r="J32" s="234"/>
      <c r="K32" s="223">
        <f>K33+K35+K39</f>
        <v>3780000</v>
      </c>
      <c r="P32" s="845"/>
    </row>
    <row r="33" spans="1:11" x14ac:dyDescent="0.2">
      <c r="A33" s="844">
        <v>2.1</v>
      </c>
      <c r="B33" s="219" t="s">
        <v>721</v>
      </c>
      <c r="C33" s="219"/>
      <c r="D33" s="220" t="s">
        <v>10</v>
      </c>
      <c r="E33" s="220"/>
      <c r="F33" s="753"/>
      <c r="G33" s="220" t="s">
        <v>409</v>
      </c>
      <c r="H33" s="220"/>
      <c r="I33" s="220"/>
      <c r="J33" s="232"/>
      <c r="K33" s="233">
        <f>K34</f>
        <v>3000000</v>
      </c>
    </row>
    <row r="34" spans="1:11" ht="25.5" x14ac:dyDescent="0.2">
      <c r="A34" s="184" t="s">
        <v>719</v>
      </c>
      <c r="B34" s="170" t="s">
        <v>463</v>
      </c>
      <c r="C34" s="170" t="s">
        <v>798</v>
      </c>
      <c r="D34" s="177" t="s">
        <v>11</v>
      </c>
      <c r="E34" s="216" t="s">
        <v>408</v>
      </c>
      <c r="F34" s="177" t="s">
        <v>365</v>
      </c>
      <c r="G34" s="176"/>
      <c r="H34" s="191" t="s">
        <v>380</v>
      </c>
      <c r="I34" s="179">
        <v>1</v>
      </c>
      <c r="J34" s="235">
        <v>3000000</v>
      </c>
      <c r="K34" s="201">
        <f>I34*J34</f>
        <v>3000000</v>
      </c>
    </row>
    <row r="35" spans="1:11" x14ac:dyDescent="0.2">
      <c r="A35" s="844">
        <v>2.2000000000000002</v>
      </c>
      <c r="B35" s="219" t="s">
        <v>722</v>
      </c>
      <c r="C35" s="219"/>
      <c r="D35" s="220" t="s">
        <v>10</v>
      </c>
      <c r="E35" s="220"/>
      <c r="F35" s="220"/>
      <c r="G35" s="220" t="s">
        <v>409</v>
      </c>
      <c r="H35" s="220"/>
      <c r="I35" s="220"/>
      <c r="J35" s="232"/>
      <c r="K35" s="233">
        <f>SUM(K36:K38)</f>
        <v>200000</v>
      </c>
    </row>
    <row r="36" spans="1:11" ht="25.5" x14ac:dyDescent="0.2">
      <c r="A36" s="184" t="s">
        <v>723</v>
      </c>
      <c r="B36" s="170" t="s">
        <v>460</v>
      </c>
      <c r="C36" s="170" t="s">
        <v>799</v>
      </c>
      <c r="D36" s="177" t="s">
        <v>11</v>
      </c>
      <c r="E36" s="200" t="s">
        <v>408</v>
      </c>
      <c r="F36" s="177" t="s">
        <v>5</v>
      </c>
      <c r="G36" s="176"/>
      <c r="H36" s="191" t="s">
        <v>772</v>
      </c>
      <c r="I36" s="178">
        <v>5</v>
      </c>
      <c r="J36" s="236">
        <v>20000</v>
      </c>
      <c r="K36" s="201">
        <f>I36*J36</f>
        <v>100000</v>
      </c>
    </row>
    <row r="37" spans="1:11" ht="25.5" x14ac:dyDescent="0.2">
      <c r="A37" s="184" t="s">
        <v>724</v>
      </c>
      <c r="B37" s="170" t="s">
        <v>461</v>
      </c>
      <c r="C37" s="170" t="s">
        <v>799</v>
      </c>
      <c r="D37" s="177" t="s">
        <v>11</v>
      </c>
      <c r="E37" s="216" t="s">
        <v>408</v>
      </c>
      <c r="F37" s="216" t="s">
        <v>402</v>
      </c>
      <c r="G37" s="216"/>
      <c r="H37" s="191" t="s">
        <v>208</v>
      </c>
      <c r="I37" s="178">
        <v>1</v>
      </c>
      <c r="J37" s="236">
        <v>50000</v>
      </c>
      <c r="K37" s="201">
        <f>I37*J37</f>
        <v>50000</v>
      </c>
    </row>
    <row r="38" spans="1:11" ht="25.5" x14ac:dyDescent="0.2">
      <c r="A38" s="184" t="s">
        <v>725</v>
      </c>
      <c r="B38" s="170" t="s">
        <v>462</v>
      </c>
      <c r="C38" s="170" t="s">
        <v>799</v>
      </c>
      <c r="D38" s="177" t="s">
        <v>11</v>
      </c>
      <c r="E38" s="216" t="s">
        <v>408</v>
      </c>
      <c r="F38" s="216" t="s">
        <v>402</v>
      </c>
      <c r="G38" s="216"/>
      <c r="H38" s="191" t="s">
        <v>208</v>
      </c>
      <c r="I38" s="179">
        <v>1</v>
      </c>
      <c r="J38" s="235">
        <v>50000</v>
      </c>
      <c r="K38" s="201">
        <f>I38*J38</f>
        <v>50000</v>
      </c>
    </row>
    <row r="39" spans="1:11" x14ac:dyDescent="0.2">
      <c r="A39" s="844">
        <v>2.2999999999999998</v>
      </c>
      <c r="B39" s="219" t="s">
        <v>790</v>
      </c>
      <c r="C39" s="219"/>
      <c r="D39" s="220" t="s">
        <v>10</v>
      </c>
      <c r="E39" s="220"/>
      <c r="F39" s="220"/>
      <c r="G39" s="220" t="s">
        <v>409</v>
      </c>
      <c r="H39" s="220"/>
      <c r="I39" s="220"/>
      <c r="J39" s="232"/>
      <c r="K39" s="233">
        <f>+K40+K41+K42+K43+K44</f>
        <v>580000</v>
      </c>
    </row>
    <row r="40" spans="1:11" ht="25.5" x14ac:dyDescent="0.2">
      <c r="A40" s="221" t="s">
        <v>792</v>
      </c>
      <c r="B40" s="218" t="s">
        <v>404</v>
      </c>
      <c r="C40" s="222" t="s">
        <v>791</v>
      </c>
      <c r="D40" s="177" t="s">
        <v>11</v>
      </c>
      <c r="E40" s="216" t="s">
        <v>408</v>
      </c>
      <c r="F40" s="216" t="s">
        <v>402</v>
      </c>
      <c r="G40" s="216"/>
      <c r="H40" s="216" t="s">
        <v>699</v>
      </c>
      <c r="I40" s="217">
        <v>1</v>
      </c>
      <c r="J40" s="230">
        <v>65000</v>
      </c>
      <c r="K40" s="231">
        <f>I40*J40</f>
        <v>65000</v>
      </c>
    </row>
    <row r="41" spans="1:11" ht="25.5" x14ac:dyDescent="0.2">
      <c r="A41" s="221" t="s">
        <v>793</v>
      </c>
      <c r="B41" s="218" t="s">
        <v>446</v>
      </c>
      <c r="C41" s="222" t="s">
        <v>791</v>
      </c>
      <c r="D41" s="177" t="s">
        <v>11</v>
      </c>
      <c r="E41" s="216" t="s">
        <v>408</v>
      </c>
      <c r="F41" s="216" t="s">
        <v>402</v>
      </c>
      <c r="G41" s="216"/>
      <c r="H41" s="216" t="s">
        <v>714</v>
      </c>
      <c r="I41" s="217">
        <v>1</v>
      </c>
      <c r="J41" s="230">
        <v>130000</v>
      </c>
      <c r="K41" s="231">
        <f>I41*J41</f>
        <v>130000</v>
      </c>
    </row>
    <row r="42" spans="1:11" ht="25.5" x14ac:dyDescent="0.2">
      <c r="A42" s="221" t="s">
        <v>794</v>
      </c>
      <c r="B42" s="218" t="s">
        <v>697</v>
      </c>
      <c r="C42" s="825" t="s">
        <v>791</v>
      </c>
      <c r="D42" s="177" t="s">
        <v>11</v>
      </c>
      <c r="E42" s="216" t="s">
        <v>408</v>
      </c>
      <c r="F42" s="216" t="s">
        <v>678</v>
      </c>
      <c r="G42" s="216"/>
      <c r="H42" s="216" t="s">
        <v>714</v>
      </c>
      <c r="I42" s="217">
        <v>1</v>
      </c>
      <c r="J42" s="230">
        <v>185000</v>
      </c>
      <c r="K42" s="231">
        <f>I42*J42</f>
        <v>185000</v>
      </c>
    </row>
    <row r="43" spans="1:11" x14ac:dyDescent="0.2">
      <c r="A43" s="221" t="s">
        <v>795</v>
      </c>
      <c r="B43" s="218" t="s">
        <v>405</v>
      </c>
      <c r="C43" s="825" t="s">
        <v>791</v>
      </c>
      <c r="D43" s="177" t="s">
        <v>11</v>
      </c>
      <c r="E43" s="216" t="s">
        <v>408</v>
      </c>
      <c r="F43" s="216" t="s">
        <v>402</v>
      </c>
      <c r="G43" s="216"/>
      <c r="H43" s="216" t="s">
        <v>677</v>
      </c>
      <c r="I43" s="217">
        <v>1</v>
      </c>
      <c r="J43" s="230">
        <v>150000</v>
      </c>
      <c r="K43" s="231">
        <f>I43*J43</f>
        <v>150000</v>
      </c>
    </row>
    <row r="44" spans="1:11" x14ac:dyDescent="0.2">
      <c r="A44" s="221" t="s">
        <v>796</v>
      </c>
      <c r="B44" s="218" t="s">
        <v>403</v>
      </c>
      <c r="C44" s="825" t="s">
        <v>791</v>
      </c>
      <c r="D44" s="177" t="s">
        <v>11</v>
      </c>
      <c r="E44" s="216" t="s">
        <v>408</v>
      </c>
      <c r="F44" s="216" t="s">
        <v>400</v>
      </c>
      <c r="G44" s="216"/>
      <c r="H44" s="216" t="s">
        <v>713</v>
      </c>
      <c r="I44" s="217">
        <v>1</v>
      </c>
      <c r="J44" s="230">
        <v>50000</v>
      </c>
      <c r="K44" s="231">
        <f>I44*J44</f>
        <v>50000</v>
      </c>
    </row>
  </sheetData>
  <autoFilter ref="A7:K41"/>
  <printOptions horizontalCentered="1"/>
  <pageMargins left="0.70866141732283472" right="0.70866141732283472" top="0.74803149606299213" bottom="0.74803149606299213" header="0.31496062992125984" footer="0.31496062992125984"/>
  <pageSetup paperSize="9" scale="60" orientation="landscape" r:id="rId1"/>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6"/>
  <sheetViews>
    <sheetView showGridLines="0" zoomScaleNormal="100" zoomScaleSheetLayoutView="100" workbookViewId="0">
      <selection activeCell="B38" sqref="B38"/>
    </sheetView>
  </sheetViews>
  <sheetFormatPr defaultColWidth="11.42578125" defaultRowHeight="12.75" x14ac:dyDescent="0.2"/>
  <cols>
    <col min="1" max="1" width="4.5703125" style="754" customWidth="1"/>
    <col min="2" max="2" width="73.7109375" style="8" customWidth="1"/>
    <col min="3" max="3" width="15.42578125" style="149" bestFit="1" customWidth="1"/>
    <col min="4" max="4" width="9.85546875" style="7" customWidth="1"/>
    <col min="5" max="222" width="11.42578125" style="7"/>
    <col min="223" max="223" width="44.42578125" style="7" customWidth="1"/>
    <col min="224" max="224" width="13" style="7" customWidth="1"/>
    <col min="225" max="230" width="2" style="7" customWidth="1"/>
    <col min="231" max="231" width="2.42578125" style="7" customWidth="1"/>
    <col min="232" max="232" width="3" style="7" customWidth="1"/>
    <col min="233" max="235" width="2" style="7" customWidth="1"/>
    <col min="236" max="236" width="2.85546875" style="7" customWidth="1"/>
    <col min="237" max="237" width="3" style="7" customWidth="1"/>
    <col min="238" max="238" width="2.7109375" style="7" customWidth="1"/>
    <col min="239" max="239" width="2.42578125" style="7" customWidth="1"/>
    <col min="240" max="240" width="3.28515625" style="7" customWidth="1"/>
    <col min="241" max="241" width="3.5703125" style="7" customWidth="1"/>
    <col min="242" max="242" width="4" style="7" customWidth="1"/>
    <col min="243" max="243" width="3.42578125" style="7" customWidth="1"/>
    <col min="244" max="244" width="3" style="7" customWidth="1"/>
    <col min="245" max="478" width="11.42578125" style="7"/>
    <col min="479" max="479" width="44.42578125" style="7" customWidth="1"/>
    <col min="480" max="480" width="13" style="7" customWidth="1"/>
    <col min="481" max="486" width="2" style="7" customWidth="1"/>
    <col min="487" max="487" width="2.42578125" style="7" customWidth="1"/>
    <col min="488" max="488" width="3" style="7" customWidth="1"/>
    <col min="489" max="491" width="2" style="7" customWidth="1"/>
    <col min="492" max="492" width="2.85546875" style="7" customWidth="1"/>
    <col min="493" max="493" width="3" style="7" customWidth="1"/>
    <col min="494" max="494" width="2.7109375" style="7" customWidth="1"/>
    <col min="495" max="495" width="2.42578125" style="7" customWidth="1"/>
    <col min="496" max="496" width="3.28515625" style="7" customWidth="1"/>
    <col min="497" max="497" width="3.5703125" style="7" customWidth="1"/>
    <col min="498" max="498" width="4" style="7" customWidth="1"/>
    <col min="499" max="499" width="3.42578125" style="7" customWidth="1"/>
    <col min="500" max="500" width="3" style="7" customWidth="1"/>
    <col min="501" max="734" width="11.42578125" style="7"/>
    <col min="735" max="735" width="44.42578125" style="7" customWidth="1"/>
    <col min="736" max="736" width="13" style="7" customWidth="1"/>
    <col min="737" max="742" width="2" style="7" customWidth="1"/>
    <col min="743" max="743" width="2.42578125" style="7" customWidth="1"/>
    <col min="744" max="744" width="3" style="7" customWidth="1"/>
    <col min="745" max="747" width="2" style="7" customWidth="1"/>
    <col min="748" max="748" width="2.85546875" style="7" customWidth="1"/>
    <col min="749" max="749" width="3" style="7" customWidth="1"/>
    <col min="750" max="750" width="2.7109375" style="7" customWidth="1"/>
    <col min="751" max="751" width="2.42578125" style="7" customWidth="1"/>
    <col min="752" max="752" width="3.28515625" style="7" customWidth="1"/>
    <col min="753" max="753" width="3.5703125" style="7" customWidth="1"/>
    <col min="754" max="754" width="4" style="7" customWidth="1"/>
    <col min="755" max="755" width="3.42578125" style="7" customWidth="1"/>
    <col min="756" max="756" width="3" style="7" customWidth="1"/>
    <col min="757" max="990" width="11.42578125" style="7"/>
    <col min="991" max="991" width="44.42578125" style="7" customWidth="1"/>
    <col min="992" max="992" width="13" style="7" customWidth="1"/>
    <col min="993" max="998" width="2" style="7" customWidth="1"/>
    <col min="999" max="999" width="2.42578125" style="7" customWidth="1"/>
    <col min="1000" max="1000" width="3" style="7" customWidth="1"/>
    <col min="1001" max="1003" width="2" style="7" customWidth="1"/>
    <col min="1004" max="1004" width="2.85546875" style="7" customWidth="1"/>
    <col min="1005" max="1005" width="3" style="7" customWidth="1"/>
    <col min="1006" max="1006" width="2.7109375" style="7" customWidth="1"/>
    <col min="1007" max="1007" width="2.42578125" style="7" customWidth="1"/>
    <col min="1008" max="1008" width="3.28515625" style="7" customWidth="1"/>
    <col min="1009" max="1009" width="3.5703125" style="7" customWidth="1"/>
    <col min="1010" max="1010" width="4" style="7" customWidth="1"/>
    <col min="1011" max="1011" width="3.42578125" style="7" customWidth="1"/>
    <col min="1012" max="1012" width="3" style="7" customWidth="1"/>
    <col min="1013" max="1246" width="11.42578125" style="7"/>
    <col min="1247" max="1247" width="44.42578125" style="7" customWidth="1"/>
    <col min="1248" max="1248" width="13" style="7" customWidth="1"/>
    <col min="1249" max="1254" width="2" style="7" customWidth="1"/>
    <col min="1255" max="1255" width="2.42578125" style="7" customWidth="1"/>
    <col min="1256" max="1256" width="3" style="7" customWidth="1"/>
    <col min="1257" max="1259" width="2" style="7" customWidth="1"/>
    <col min="1260" max="1260" width="2.85546875" style="7" customWidth="1"/>
    <col min="1261" max="1261" width="3" style="7" customWidth="1"/>
    <col min="1262" max="1262" width="2.7109375" style="7" customWidth="1"/>
    <col min="1263" max="1263" width="2.42578125" style="7" customWidth="1"/>
    <col min="1264" max="1264" width="3.28515625" style="7" customWidth="1"/>
    <col min="1265" max="1265" width="3.5703125" style="7" customWidth="1"/>
    <col min="1266" max="1266" width="4" style="7" customWidth="1"/>
    <col min="1267" max="1267" width="3.42578125" style="7" customWidth="1"/>
    <col min="1268" max="1268" width="3" style="7" customWidth="1"/>
    <col min="1269" max="1502" width="11.42578125" style="7"/>
    <col min="1503" max="1503" width="44.42578125" style="7" customWidth="1"/>
    <col min="1504" max="1504" width="13" style="7" customWidth="1"/>
    <col min="1505" max="1510" width="2" style="7" customWidth="1"/>
    <col min="1511" max="1511" width="2.42578125" style="7" customWidth="1"/>
    <col min="1512" max="1512" width="3" style="7" customWidth="1"/>
    <col min="1513" max="1515" width="2" style="7" customWidth="1"/>
    <col min="1516" max="1516" width="2.85546875" style="7" customWidth="1"/>
    <col min="1517" max="1517" width="3" style="7" customWidth="1"/>
    <col min="1518" max="1518" width="2.7109375" style="7" customWidth="1"/>
    <col min="1519" max="1519" width="2.42578125" style="7" customWidth="1"/>
    <col min="1520" max="1520" width="3.28515625" style="7" customWidth="1"/>
    <col min="1521" max="1521" width="3.5703125" style="7" customWidth="1"/>
    <col min="1522" max="1522" width="4" style="7" customWidth="1"/>
    <col min="1523" max="1523" width="3.42578125" style="7" customWidth="1"/>
    <col min="1524" max="1524" width="3" style="7" customWidth="1"/>
    <col min="1525" max="1758" width="11.42578125" style="7"/>
    <col min="1759" max="1759" width="44.42578125" style="7" customWidth="1"/>
    <col min="1760" max="1760" width="13" style="7" customWidth="1"/>
    <col min="1761" max="1766" width="2" style="7" customWidth="1"/>
    <col min="1767" max="1767" width="2.42578125" style="7" customWidth="1"/>
    <col min="1768" max="1768" width="3" style="7" customWidth="1"/>
    <col min="1769" max="1771" width="2" style="7" customWidth="1"/>
    <col min="1772" max="1772" width="2.85546875" style="7" customWidth="1"/>
    <col min="1773" max="1773" width="3" style="7" customWidth="1"/>
    <col min="1774" max="1774" width="2.7109375" style="7" customWidth="1"/>
    <col min="1775" max="1775" width="2.42578125" style="7" customWidth="1"/>
    <col min="1776" max="1776" width="3.28515625" style="7" customWidth="1"/>
    <col min="1777" max="1777" width="3.5703125" style="7" customWidth="1"/>
    <col min="1778" max="1778" width="4" style="7" customWidth="1"/>
    <col min="1779" max="1779" width="3.42578125" style="7" customWidth="1"/>
    <col min="1780" max="1780" width="3" style="7" customWidth="1"/>
    <col min="1781" max="2014" width="11.42578125" style="7"/>
    <col min="2015" max="2015" width="44.42578125" style="7" customWidth="1"/>
    <col min="2016" max="2016" width="13" style="7" customWidth="1"/>
    <col min="2017" max="2022" width="2" style="7" customWidth="1"/>
    <col min="2023" max="2023" width="2.42578125" style="7" customWidth="1"/>
    <col min="2024" max="2024" width="3" style="7" customWidth="1"/>
    <col min="2025" max="2027" width="2" style="7" customWidth="1"/>
    <col min="2028" max="2028" width="2.85546875" style="7" customWidth="1"/>
    <col min="2029" max="2029" width="3" style="7" customWidth="1"/>
    <col min="2030" max="2030" width="2.7109375" style="7" customWidth="1"/>
    <col min="2031" max="2031" width="2.42578125" style="7" customWidth="1"/>
    <col min="2032" max="2032" width="3.28515625" style="7" customWidth="1"/>
    <col min="2033" max="2033" width="3.5703125" style="7" customWidth="1"/>
    <col min="2034" max="2034" width="4" style="7" customWidth="1"/>
    <col min="2035" max="2035" width="3.42578125" style="7" customWidth="1"/>
    <col min="2036" max="2036" width="3" style="7" customWidth="1"/>
    <col min="2037" max="2270" width="11.42578125" style="7"/>
    <col min="2271" max="2271" width="44.42578125" style="7" customWidth="1"/>
    <col min="2272" max="2272" width="13" style="7" customWidth="1"/>
    <col min="2273" max="2278" width="2" style="7" customWidth="1"/>
    <col min="2279" max="2279" width="2.42578125" style="7" customWidth="1"/>
    <col min="2280" max="2280" width="3" style="7" customWidth="1"/>
    <col min="2281" max="2283" width="2" style="7" customWidth="1"/>
    <col min="2284" max="2284" width="2.85546875" style="7" customWidth="1"/>
    <col min="2285" max="2285" width="3" style="7" customWidth="1"/>
    <col min="2286" max="2286" width="2.7109375" style="7" customWidth="1"/>
    <col min="2287" max="2287" width="2.42578125" style="7" customWidth="1"/>
    <col min="2288" max="2288" width="3.28515625" style="7" customWidth="1"/>
    <col min="2289" max="2289" width="3.5703125" style="7" customWidth="1"/>
    <col min="2290" max="2290" width="4" style="7" customWidth="1"/>
    <col min="2291" max="2291" width="3.42578125" style="7" customWidth="1"/>
    <col min="2292" max="2292" width="3" style="7" customWidth="1"/>
    <col min="2293" max="2526" width="11.42578125" style="7"/>
    <col min="2527" max="2527" width="44.42578125" style="7" customWidth="1"/>
    <col min="2528" max="2528" width="13" style="7" customWidth="1"/>
    <col min="2529" max="2534" width="2" style="7" customWidth="1"/>
    <col min="2535" max="2535" width="2.42578125" style="7" customWidth="1"/>
    <col min="2536" max="2536" width="3" style="7" customWidth="1"/>
    <col min="2537" max="2539" width="2" style="7" customWidth="1"/>
    <col min="2540" max="2540" width="2.85546875" style="7" customWidth="1"/>
    <col min="2541" max="2541" width="3" style="7" customWidth="1"/>
    <col min="2542" max="2542" width="2.7109375" style="7" customWidth="1"/>
    <col min="2543" max="2543" width="2.42578125" style="7" customWidth="1"/>
    <col min="2544" max="2544" width="3.28515625" style="7" customWidth="1"/>
    <col min="2545" max="2545" width="3.5703125" style="7" customWidth="1"/>
    <col min="2546" max="2546" width="4" style="7" customWidth="1"/>
    <col min="2547" max="2547" width="3.42578125" style="7" customWidth="1"/>
    <col min="2548" max="2548" width="3" style="7" customWidth="1"/>
    <col min="2549" max="2782" width="11.42578125" style="7"/>
    <col min="2783" max="2783" width="44.42578125" style="7" customWidth="1"/>
    <col min="2784" max="2784" width="13" style="7" customWidth="1"/>
    <col min="2785" max="2790" width="2" style="7" customWidth="1"/>
    <col min="2791" max="2791" width="2.42578125" style="7" customWidth="1"/>
    <col min="2792" max="2792" width="3" style="7" customWidth="1"/>
    <col min="2793" max="2795" width="2" style="7" customWidth="1"/>
    <col min="2796" max="2796" width="2.85546875" style="7" customWidth="1"/>
    <col min="2797" max="2797" width="3" style="7" customWidth="1"/>
    <col min="2798" max="2798" width="2.7109375" style="7" customWidth="1"/>
    <col min="2799" max="2799" width="2.42578125" style="7" customWidth="1"/>
    <col min="2800" max="2800" width="3.28515625" style="7" customWidth="1"/>
    <col min="2801" max="2801" width="3.5703125" style="7" customWidth="1"/>
    <col min="2802" max="2802" width="4" style="7" customWidth="1"/>
    <col min="2803" max="2803" width="3.42578125" style="7" customWidth="1"/>
    <col min="2804" max="2804" width="3" style="7" customWidth="1"/>
    <col min="2805" max="3038" width="11.42578125" style="7"/>
    <col min="3039" max="3039" width="44.42578125" style="7" customWidth="1"/>
    <col min="3040" max="3040" width="13" style="7" customWidth="1"/>
    <col min="3041" max="3046" width="2" style="7" customWidth="1"/>
    <col min="3047" max="3047" width="2.42578125" style="7" customWidth="1"/>
    <col min="3048" max="3048" width="3" style="7" customWidth="1"/>
    <col min="3049" max="3051" width="2" style="7" customWidth="1"/>
    <col min="3052" max="3052" width="2.85546875" style="7" customWidth="1"/>
    <col min="3053" max="3053" width="3" style="7" customWidth="1"/>
    <col min="3054" max="3054" width="2.7109375" style="7" customWidth="1"/>
    <col min="3055" max="3055" width="2.42578125" style="7" customWidth="1"/>
    <col min="3056" max="3056" width="3.28515625" style="7" customWidth="1"/>
    <col min="3057" max="3057" width="3.5703125" style="7" customWidth="1"/>
    <col min="3058" max="3058" width="4" style="7" customWidth="1"/>
    <col min="3059" max="3059" width="3.42578125" style="7" customWidth="1"/>
    <col min="3060" max="3060" width="3" style="7" customWidth="1"/>
    <col min="3061" max="3294" width="11.42578125" style="7"/>
    <col min="3295" max="3295" width="44.42578125" style="7" customWidth="1"/>
    <col min="3296" max="3296" width="13" style="7" customWidth="1"/>
    <col min="3297" max="3302" width="2" style="7" customWidth="1"/>
    <col min="3303" max="3303" width="2.42578125" style="7" customWidth="1"/>
    <col min="3304" max="3304" width="3" style="7" customWidth="1"/>
    <col min="3305" max="3307" width="2" style="7" customWidth="1"/>
    <col min="3308" max="3308" width="2.85546875" style="7" customWidth="1"/>
    <col min="3309" max="3309" width="3" style="7" customWidth="1"/>
    <col min="3310" max="3310" width="2.7109375" style="7" customWidth="1"/>
    <col min="3311" max="3311" width="2.42578125" style="7" customWidth="1"/>
    <col min="3312" max="3312" width="3.28515625" style="7" customWidth="1"/>
    <col min="3313" max="3313" width="3.5703125" style="7" customWidth="1"/>
    <col min="3314" max="3314" width="4" style="7" customWidth="1"/>
    <col min="3315" max="3315" width="3.42578125" style="7" customWidth="1"/>
    <col min="3316" max="3316" width="3" style="7" customWidth="1"/>
    <col min="3317" max="3550" width="11.42578125" style="7"/>
    <col min="3551" max="3551" width="44.42578125" style="7" customWidth="1"/>
    <col min="3552" max="3552" width="13" style="7" customWidth="1"/>
    <col min="3553" max="3558" width="2" style="7" customWidth="1"/>
    <col min="3559" max="3559" width="2.42578125" style="7" customWidth="1"/>
    <col min="3560" max="3560" width="3" style="7" customWidth="1"/>
    <col min="3561" max="3563" width="2" style="7" customWidth="1"/>
    <col min="3564" max="3564" width="2.85546875" style="7" customWidth="1"/>
    <col min="3565" max="3565" width="3" style="7" customWidth="1"/>
    <col min="3566" max="3566" width="2.7109375" style="7" customWidth="1"/>
    <col min="3567" max="3567" width="2.42578125" style="7" customWidth="1"/>
    <col min="3568" max="3568" width="3.28515625" style="7" customWidth="1"/>
    <col min="3569" max="3569" width="3.5703125" style="7" customWidth="1"/>
    <col min="3570" max="3570" width="4" style="7" customWidth="1"/>
    <col min="3571" max="3571" width="3.42578125" style="7" customWidth="1"/>
    <col min="3572" max="3572" width="3" style="7" customWidth="1"/>
    <col min="3573" max="3806" width="11.42578125" style="7"/>
    <col min="3807" max="3807" width="44.42578125" style="7" customWidth="1"/>
    <col min="3808" max="3808" width="13" style="7" customWidth="1"/>
    <col min="3809" max="3814" width="2" style="7" customWidth="1"/>
    <col min="3815" max="3815" width="2.42578125" style="7" customWidth="1"/>
    <col min="3816" max="3816" width="3" style="7" customWidth="1"/>
    <col min="3817" max="3819" width="2" style="7" customWidth="1"/>
    <col min="3820" max="3820" width="2.85546875" style="7" customWidth="1"/>
    <col min="3821" max="3821" width="3" style="7" customWidth="1"/>
    <col min="3822" max="3822" width="2.7109375" style="7" customWidth="1"/>
    <col min="3823" max="3823" width="2.42578125" style="7" customWidth="1"/>
    <col min="3824" max="3824" width="3.28515625" style="7" customWidth="1"/>
    <col min="3825" max="3825" width="3.5703125" style="7" customWidth="1"/>
    <col min="3826" max="3826" width="4" style="7" customWidth="1"/>
    <col min="3827" max="3827" width="3.42578125" style="7" customWidth="1"/>
    <col min="3828" max="3828" width="3" style="7" customWidth="1"/>
    <col min="3829" max="4062" width="11.42578125" style="7"/>
    <col min="4063" max="4063" width="44.42578125" style="7" customWidth="1"/>
    <col min="4064" max="4064" width="13" style="7" customWidth="1"/>
    <col min="4065" max="4070" width="2" style="7" customWidth="1"/>
    <col min="4071" max="4071" width="2.42578125" style="7" customWidth="1"/>
    <col min="4072" max="4072" width="3" style="7" customWidth="1"/>
    <col min="4073" max="4075" width="2" style="7" customWidth="1"/>
    <col min="4076" max="4076" width="2.85546875" style="7" customWidth="1"/>
    <col min="4077" max="4077" width="3" style="7" customWidth="1"/>
    <col min="4078" max="4078" width="2.7109375" style="7" customWidth="1"/>
    <col min="4079" max="4079" width="2.42578125" style="7" customWidth="1"/>
    <col min="4080" max="4080" width="3.28515625" style="7" customWidth="1"/>
    <col min="4081" max="4081" width="3.5703125" style="7" customWidth="1"/>
    <col min="4082" max="4082" width="4" style="7" customWidth="1"/>
    <col min="4083" max="4083" width="3.42578125" style="7" customWidth="1"/>
    <col min="4084" max="4084" width="3" style="7" customWidth="1"/>
    <col min="4085" max="4318" width="11.42578125" style="7"/>
    <col min="4319" max="4319" width="44.42578125" style="7" customWidth="1"/>
    <col min="4320" max="4320" width="13" style="7" customWidth="1"/>
    <col min="4321" max="4326" width="2" style="7" customWidth="1"/>
    <col min="4327" max="4327" width="2.42578125" style="7" customWidth="1"/>
    <col min="4328" max="4328" width="3" style="7" customWidth="1"/>
    <col min="4329" max="4331" width="2" style="7" customWidth="1"/>
    <col min="4332" max="4332" width="2.85546875" style="7" customWidth="1"/>
    <col min="4333" max="4333" width="3" style="7" customWidth="1"/>
    <col min="4334" max="4334" width="2.7109375" style="7" customWidth="1"/>
    <col min="4335" max="4335" width="2.42578125" style="7" customWidth="1"/>
    <col min="4336" max="4336" width="3.28515625" style="7" customWidth="1"/>
    <col min="4337" max="4337" width="3.5703125" style="7" customWidth="1"/>
    <col min="4338" max="4338" width="4" style="7" customWidth="1"/>
    <col min="4339" max="4339" width="3.42578125" style="7" customWidth="1"/>
    <col min="4340" max="4340" width="3" style="7" customWidth="1"/>
    <col min="4341" max="4574" width="11.42578125" style="7"/>
    <col min="4575" max="4575" width="44.42578125" style="7" customWidth="1"/>
    <col min="4576" max="4576" width="13" style="7" customWidth="1"/>
    <col min="4577" max="4582" width="2" style="7" customWidth="1"/>
    <col min="4583" max="4583" width="2.42578125" style="7" customWidth="1"/>
    <col min="4584" max="4584" width="3" style="7" customWidth="1"/>
    <col min="4585" max="4587" width="2" style="7" customWidth="1"/>
    <col min="4588" max="4588" width="2.85546875" style="7" customWidth="1"/>
    <col min="4589" max="4589" width="3" style="7" customWidth="1"/>
    <col min="4590" max="4590" width="2.7109375" style="7" customWidth="1"/>
    <col min="4591" max="4591" width="2.42578125" style="7" customWidth="1"/>
    <col min="4592" max="4592" width="3.28515625" style="7" customWidth="1"/>
    <col min="4593" max="4593" width="3.5703125" style="7" customWidth="1"/>
    <col min="4594" max="4594" width="4" style="7" customWidth="1"/>
    <col min="4595" max="4595" width="3.42578125" style="7" customWidth="1"/>
    <col min="4596" max="4596" width="3" style="7" customWidth="1"/>
    <col min="4597" max="4830" width="11.42578125" style="7"/>
    <col min="4831" max="4831" width="44.42578125" style="7" customWidth="1"/>
    <col min="4832" max="4832" width="13" style="7" customWidth="1"/>
    <col min="4833" max="4838" width="2" style="7" customWidth="1"/>
    <col min="4839" max="4839" width="2.42578125" style="7" customWidth="1"/>
    <col min="4840" max="4840" width="3" style="7" customWidth="1"/>
    <col min="4841" max="4843" width="2" style="7" customWidth="1"/>
    <col min="4844" max="4844" width="2.85546875" style="7" customWidth="1"/>
    <col min="4845" max="4845" width="3" style="7" customWidth="1"/>
    <col min="4846" max="4846" width="2.7109375" style="7" customWidth="1"/>
    <col min="4847" max="4847" width="2.42578125" style="7" customWidth="1"/>
    <col min="4848" max="4848" width="3.28515625" style="7" customWidth="1"/>
    <col min="4849" max="4849" width="3.5703125" style="7" customWidth="1"/>
    <col min="4850" max="4850" width="4" style="7" customWidth="1"/>
    <col min="4851" max="4851" width="3.42578125" style="7" customWidth="1"/>
    <col min="4852" max="4852" width="3" style="7" customWidth="1"/>
    <col min="4853" max="5086" width="11.42578125" style="7"/>
    <col min="5087" max="5087" width="44.42578125" style="7" customWidth="1"/>
    <col min="5088" max="5088" width="13" style="7" customWidth="1"/>
    <col min="5089" max="5094" width="2" style="7" customWidth="1"/>
    <col min="5095" max="5095" width="2.42578125" style="7" customWidth="1"/>
    <col min="5096" max="5096" width="3" style="7" customWidth="1"/>
    <col min="5097" max="5099" width="2" style="7" customWidth="1"/>
    <col min="5100" max="5100" width="2.85546875" style="7" customWidth="1"/>
    <col min="5101" max="5101" width="3" style="7" customWidth="1"/>
    <col min="5102" max="5102" width="2.7109375" style="7" customWidth="1"/>
    <col min="5103" max="5103" width="2.42578125" style="7" customWidth="1"/>
    <col min="5104" max="5104" width="3.28515625" style="7" customWidth="1"/>
    <col min="5105" max="5105" width="3.5703125" style="7" customWidth="1"/>
    <col min="5106" max="5106" width="4" style="7" customWidth="1"/>
    <col min="5107" max="5107" width="3.42578125" style="7" customWidth="1"/>
    <col min="5108" max="5108" width="3" style="7" customWidth="1"/>
    <col min="5109" max="5342" width="11.42578125" style="7"/>
    <col min="5343" max="5343" width="44.42578125" style="7" customWidth="1"/>
    <col min="5344" max="5344" width="13" style="7" customWidth="1"/>
    <col min="5345" max="5350" width="2" style="7" customWidth="1"/>
    <col min="5351" max="5351" width="2.42578125" style="7" customWidth="1"/>
    <col min="5352" max="5352" width="3" style="7" customWidth="1"/>
    <col min="5353" max="5355" width="2" style="7" customWidth="1"/>
    <col min="5356" max="5356" width="2.85546875" style="7" customWidth="1"/>
    <col min="5357" max="5357" width="3" style="7" customWidth="1"/>
    <col min="5358" max="5358" width="2.7109375" style="7" customWidth="1"/>
    <col min="5359" max="5359" width="2.42578125" style="7" customWidth="1"/>
    <col min="5360" max="5360" width="3.28515625" style="7" customWidth="1"/>
    <col min="5361" max="5361" width="3.5703125" style="7" customWidth="1"/>
    <col min="5362" max="5362" width="4" style="7" customWidth="1"/>
    <col min="5363" max="5363" width="3.42578125" style="7" customWidth="1"/>
    <col min="5364" max="5364" width="3" style="7" customWidth="1"/>
    <col min="5365" max="5598" width="11.42578125" style="7"/>
    <col min="5599" max="5599" width="44.42578125" style="7" customWidth="1"/>
    <col min="5600" max="5600" width="13" style="7" customWidth="1"/>
    <col min="5601" max="5606" width="2" style="7" customWidth="1"/>
    <col min="5607" max="5607" width="2.42578125" style="7" customWidth="1"/>
    <col min="5608" max="5608" width="3" style="7" customWidth="1"/>
    <col min="5609" max="5611" width="2" style="7" customWidth="1"/>
    <col min="5612" max="5612" width="2.85546875" style="7" customWidth="1"/>
    <col min="5613" max="5613" width="3" style="7" customWidth="1"/>
    <col min="5614" max="5614" width="2.7109375" style="7" customWidth="1"/>
    <col min="5615" max="5615" width="2.42578125" style="7" customWidth="1"/>
    <col min="5616" max="5616" width="3.28515625" style="7" customWidth="1"/>
    <col min="5617" max="5617" width="3.5703125" style="7" customWidth="1"/>
    <col min="5618" max="5618" width="4" style="7" customWidth="1"/>
    <col min="5619" max="5619" width="3.42578125" style="7" customWidth="1"/>
    <col min="5620" max="5620" width="3" style="7" customWidth="1"/>
    <col min="5621" max="5854" width="11.42578125" style="7"/>
    <col min="5855" max="5855" width="44.42578125" style="7" customWidth="1"/>
    <col min="5856" max="5856" width="13" style="7" customWidth="1"/>
    <col min="5857" max="5862" width="2" style="7" customWidth="1"/>
    <col min="5863" max="5863" width="2.42578125" style="7" customWidth="1"/>
    <col min="5864" max="5864" width="3" style="7" customWidth="1"/>
    <col min="5865" max="5867" width="2" style="7" customWidth="1"/>
    <col min="5868" max="5868" width="2.85546875" style="7" customWidth="1"/>
    <col min="5869" max="5869" width="3" style="7" customWidth="1"/>
    <col min="5870" max="5870" width="2.7109375" style="7" customWidth="1"/>
    <col min="5871" max="5871" width="2.42578125" style="7" customWidth="1"/>
    <col min="5872" max="5872" width="3.28515625" style="7" customWidth="1"/>
    <col min="5873" max="5873" width="3.5703125" style="7" customWidth="1"/>
    <col min="5874" max="5874" width="4" style="7" customWidth="1"/>
    <col min="5875" max="5875" width="3.42578125" style="7" customWidth="1"/>
    <col min="5876" max="5876" width="3" style="7" customWidth="1"/>
    <col min="5877" max="6110" width="11.42578125" style="7"/>
    <col min="6111" max="6111" width="44.42578125" style="7" customWidth="1"/>
    <col min="6112" max="6112" width="13" style="7" customWidth="1"/>
    <col min="6113" max="6118" width="2" style="7" customWidth="1"/>
    <col min="6119" max="6119" width="2.42578125" style="7" customWidth="1"/>
    <col min="6120" max="6120" width="3" style="7" customWidth="1"/>
    <col min="6121" max="6123" width="2" style="7" customWidth="1"/>
    <col min="6124" max="6124" width="2.85546875" style="7" customWidth="1"/>
    <col min="6125" max="6125" width="3" style="7" customWidth="1"/>
    <col min="6126" max="6126" width="2.7109375" style="7" customWidth="1"/>
    <col min="6127" max="6127" width="2.42578125" style="7" customWidth="1"/>
    <col min="6128" max="6128" width="3.28515625" style="7" customWidth="1"/>
    <col min="6129" max="6129" width="3.5703125" style="7" customWidth="1"/>
    <col min="6130" max="6130" width="4" style="7" customWidth="1"/>
    <col min="6131" max="6131" width="3.42578125" style="7" customWidth="1"/>
    <col min="6132" max="6132" width="3" style="7" customWidth="1"/>
    <col min="6133" max="6366" width="11.42578125" style="7"/>
    <col min="6367" max="6367" width="44.42578125" style="7" customWidth="1"/>
    <col min="6368" max="6368" width="13" style="7" customWidth="1"/>
    <col min="6369" max="6374" width="2" style="7" customWidth="1"/>
    <col min="6375" max="6375" width="2.42578125" style="7" customWidth="1"/>
    <col min="6376" max="6376" width="3" style="7" customWidth="1"/>
    <col min="6377" max="6379" width="2" style="7" customWidth="1"/>
    <col min="6380" max="6380" width="2.85546875" style="7" customWidth="1"/>
    <col min="6381" max="6381" width="3" style="7" customWidth="1"/>
    <col min="6382" max="6382" width="2.7109375" style="7" customWidth="1"/>
    <col min="6383" max="6383" width="2.42578125" style="7" customWidth="1"/>
    <col min="6384" max="6384" width="3.28515625" style="7" customWidth="1"/>
    <col min="6385" max="6385" width="3.5703125" style="7" customWidth="1"/>
    <col min="6386" max="6386" width="4" style="7" customWidth="1"/>
    <col min="6387" max="6387" width="3.42578125" style="7" customWidth="1"/>
    <col min="6388" max="6388" width="3" style="7" customWidth="1"/>
    <col min="6389" max="6622" width="11.42578125" style="7"/>
    <col min="6623" max="6623" width="44.42578125" style="7" customWidth="1"/>
    <col min="6624" max="6624" width="13" style="7" customWidth="1"/>
    <col min="6625" max="6630" width="2" style="7" customWidth="1"/>
    <col min="6631" max="6631" width="2.42578125" style="7" customWidth="1"/>
    <col min="6632" max="6632" width="3" style="7" customWidth="1"/>
    <col min="6633" max="6635" width="2" style="7" customWidth="1"/>
    <col min="6636" max="6636" width="2.85546875" style="7" customWidth="1"/>
    <col min="6637" max="6637" width="3" style="7" customWidth="1"/>
    <col min="6638" max="6638" width="2.7109375" style="7" customWidth="1"/>
    <col min="6639" max="6639" width="2.42578125" style="7" customWidth="1"/>
    <col min="6640" max="6640" width="3.28515625" style="7" customWidth="1"/>
    <col min="6641" max="6641" width="3.5703125" style="7" customWidth="1"/>
    <col min="6642" max="6642" width="4" style="7" customWidth="1"/>
    <col min="6643" max="6643" width="3.42578125" style="7" customWidth="1"/>
    <col min="6644" max="6644" width="3" style="7" customWidth="1"/>
    <col min="6645" max="6878" width="11.42578125" style="7"/>
    <col min="6879" max="6879" width="44.42578125" style="7" customWidth="1"/>
    <col min="6880" max="6880" width="13" style="7" customWidth="1"/>
    <col min="6881" max="6886" width="2" style="7" customWidth="1"/>
    <col min="6887" max="6887" width="2.42578125" style="7" customWidth="1"/>
    <col min="6888" max="6888" width="3" style="7" customWidth="1"/>
    <col min="6889" max="6891" width="2" style="7" customWidth="1"/>
    <col min="6892" max="6892" width="2.85546875" style="7" customWidth="1"/>
    <col min="6893" max="6893" width="3" style="7" customWidth="1"/>
    <col min="6894" max="6894" width="2.7109375" style="7" customWidth="1"/>
    <col min="6895" max="6895" width="2.42578125" style="7" customWidth="1"/>
    <col min="6896" max="6896" width="3.28515625" style="7" customWidth="1"/>
    <col min="6897" max="6897" width="3.5703125" style="7" customWidth="1"/>
    <col min="6898" max="6898" width="4" style="7" customWidth="1"/>
    <col min="6899" max="6899" width="3.42578125" style="7" customWidth="1"/>
    <col min="6900" max="6900" width="3" style="7" customWidth="1"/>
    <col min="6901" max="7134" width="11.42578125" style="7"/>
    <col min="7135" max="7135" width="44.42578125" style="7" customWidth="1"/>
    <col min="7136" max="7136" width="13" style="7" customWidth="1"/>
    <col min="7137" max="7142" width="2" style="7" customWidth="1"/>
    <col min="7143" max="7143" width="2.42578125" style="7" customWidth="1"/>
    <col min="7144" max="7144" width="3" style="7" customWidth="1"/>
    <col min="7145" max="7147" width="2" style="7" customWidth="1"/>
    <col min="7148" max="7148" width="2.85546875" style="7" customWidth="1"/>
    <col min="7149" max="7149" width="3" style="7" customWidth="1"/>
    <col min="7150" max="7150" width="2.7109375" style="7" customWidth="1"/>
    <col min="7151" max="7151" width="2.42578125" style="7" customWidth="1"/>
    <col min="7152" max="7152" width="3.28515625" style="7" customWidth="1"/>
    <col min="7153" max="7153" width="3.5703125" style="7" customWidth="1"/>
    <col min="7154" max="7154" width="4" style="7" customWidth="1"/>
    <col min="7155" max="7155" width="3.42578125" style="7" customWidth="1"/>
    <col min="7156" max="7156" width="3" style="7" customWidth="1"/>
    <col min="7157" max="7390" width="11.42578125" style="7"/>
    <col min="7391" max="7391" width="44.42578125" style="7" customWidth="1"/>
    <col min="7392" max="7392" width="13" style="7" customWidth="1"/>
    <col min="7393" max="7398" width="2" style="7" customWidth="1"/>
    <col min="7399" max="7399" width="2.42578125" style="7" customWidth="1"/>
    <col min="7400" max="7400" width="3" style="7" customWidth="1"/>
    <col min="7401" max="7403" width="2" style="7" customWidth="1"/>
    <col min="7404" max="7404" width="2.85546875" style="7" customWidth="1"/>
    <col min="7405" max="7405" width="3" style="7" customWidth="1"/>
    <col min="7406" max="7406" width="2.7109375" style="7" customWidth="1"/>
    <col min="7407" max="7407" width="2.42578125" style="7" customWidth="1"/>
    <col min="7408" max="7408" width="3.28515625" style="7" customWidth="1"/>
    <col min="7409" max="7409" width="3.5703125" style="7" customWidth="1"/>
    <col min="7410" max="7410" width="4" style="7" customWidth="1"/>
    <col min="7411" max="7411" width="3.42578125" style="7" customWidth="1"/>
    <col min="7412" max="7412" width="3" style="7" customWidth="1"/>
    <col min="7413" max="7646" width="11.42578125" style="7"/>
    <col min="7647" max="7647" width="44.42578125" style="7" customWidth="1"/>
    <col min="7648" max="7648" width="13" style="7" customWidth="1"/>
    <col min="7649" max="7654" width="2" style="7" customWidth="1"/>
    <col min="7655" max="7655" width="2.42578125" style="7" customWidth="1"/>
    <col min="7656" max="7656" width="3" style="7" customWidth="1"/>
    <col min="7657" max="7659" width="2" style="7" customWidth="1"/>
    <col min="7660" max="7660" width="2.85546875" style="7" customWidth="1"/>
    <col min="7661" max="7661" width="3" style="7" customWidth="1"/>
    <col min="7662" max="7662" width="2.7109375" style="7" customWidth="1"/>
    <col min="7663" max="7663" width="2.42578125" style="7" customWidth="1"/>
    <col min="7664" max="7664" width="3.28515625" style="7" customWidth="1"/>
    <col min="7665" max="7665" width="3.5703125" style="7" customWidth="1"/>
    <col min="7666" max="7666" width="4" style="7" customWidth="1"/>
    <col min="7667" max="7667" width="3.42578125" style="7" customWidth="1"/>
    <col min="7668" max="7668" width="3" style="7" customWidth="1"/>
    <col min="7669" max="7902" width="11.42578125" style="7"/>
    <col min="7903" max="7903" width="44.42578125" style="7" customWidth="1"/>
    <col min="7904" max="7904" width="13" style="7" customWidth="1"/>
    <col min="7905" max="7910" width="2" style="7" customWidth="1"/>
    <col min="7911" max="7911" width="2.42578125" style="7" customWidth="1"/>
    <col min="7912" max="7912" width="3" style="7" customWidth="1"/>
    <col min="7913" max="7915" width="2" style="7" customWidth="1"/>
    <col min="7916" max="7916" width="2.85546875" style="7" customWidth="1"/>
    <col min="7917" max="7917" width="3" style="7" customWidth="1"/>
    <col min="7918" max="7918" width="2.7109375" style="7" customWidth="1"/>
    <col min="7919" max="7919" width="2.42578125" style="7" customWidth="1"/>
    <col min="7920" max="7920" width="3.28515625" style="7" customWidth="1"/>
    <col min="7921" max="7921" width="3.5703125" style="7" customWidth="1"/>
    <col min="7922" max="7922" width="4" style="7" customWidth="1"/>
    <col min="7923" max="7923" width="3.42578125" style="7" customWidth="1"/>
    <col min="7924" max="7924" width="3" style="7" customWidth="1"/>
    <col min="7925" max="8158" width="11.42578125" style="7"/>
    <col min="8159" max="8159" width="44.42578125" style="7" customWidth="1"/>
    <col min="8160" max="8160" width="13" style="7" customWidth="1"/>
    <col min="8161" max="8166" width="2" style="7" customWidth="1"/>
    <col min="8167" max="8167" width="2.42578125" style="7" customWidth="1"/>
    <col min="8168" max="8168" width="3" style="7" customWidth="1"/>
    <col min="8169" max="8171" width="2" style="7" customWidth="1"/>
    <col min="8172" max="8172" width="2.85546875" style="7" customWidth="1"/>
    <col min="8173" max="8173" width="3" style="7" customWidth="1"/>
    <col min="8174" max="8174" width="2.7109375" style="7" customWidth="1"/>
    <col min="8175" max="8175" width="2.42578125" style="7" customWidth="1"/>
    <col min="8176" max="8176" width="3.28515625" style="7" customWidth="1"/>
    <col min="8177" max="8177" width="3.5703125" style="7" customWidth="1"/>
    <col min="8178" max="8178" width="4" style="7" customWidth="1"/>
    <col min="8179" max="8179" width="3.42578125" style="7" customWidth="1"/>
    <col min="8180" max="8180" width="3" style="7" customWidth="1"/>
    <col min="8181" max="8414" width="11.42578125" style="7"/>
    <col min="8415" max="8415" width="44.42578125" style="7" customWidth="1"/>
    <col min="8416" max="8416" width="13" style="7" customWidth="1"/>
    <col min="8417" max="8422" width="2" style="7" customWidth="1"/>
    <col min="8423" max="8423" width="2.42578125" style="7" customWidth="1"/>
    <col min="8424" max="8424" width="3" style="7" customWidth="1"/>
    <col min="8425" max="8427" width="2" style="7" customWidth="1"/>
    <col min="8428" max="8428" width="2.85546875" style="7" customWidth="1"/>
    <col min="8429" max="8429" width="3" style="7" customWidth="1"/>
    <col min="8430" max="8430" width="2.7109375" style="7" customWidth="1"/>
    <col min="8431" max="8431" width="2.42578125" style="7" customWidth="1"/>
    <col min="8432" max="8432" width="3.28515625" style="7" customWidth="1"/>
    <col min="8433" max="8433" width="3.5703125" style="7" customWidth="1"/>
    <col min="8434" max="8434" width="4" style="7" customWidth="1"/>
    <col min="8435" max="8435" width="3.42578125" style="7" customWidth="1"/>
    <col min="8436" max="8436" width="3" style="7" customWidth="1"/>
    <col min="8437" max="8670" width="11.42578125" style="7"/>
    <col min="8671" max="8671" width="44.42578125" style="7" customWidth="1"/>
    <col min="8672" max="8672" width="13" style="7" customWidth="1"/>
    <col min="8673" max="8678" width="2" style="7" customWidth="1"/>
    <col min="8679" max="8679" width="2.42578125" style="7" customWidth="1"/>
    <col min="8680" max="8680" width="3" style="7" customWidth="1"/>
    <col min="8681" max="8683" width="2" style="7" customWidth="1"/>
    <col min="8684" max="8684" width="2.85546875" style="7" customWidth="1"/>
    <col min="8685" max="8685" width="3" style="7" customWidth="1"/>
    <col min="8686" max="8686" width="2.7109375" style="7" customWidth="1"/>
    <col min="8687" max="8687" width="2.42578125" style="7" customWidth="1"/>
    <col min="8688" max="8688" width="3.28515625" style="7" customWidth="1"/>
    <col min="8689" max="8689" width="3.5703125" style="7" customWidth="1"/>
    <col min="8690" max="8690" width="4" style="7" customWidth="1"/>
    <col min="8691" max="8691" width="3.42578125" style="7" customWidth="1"/>
    <col min="8692" max="8692" width="3" style="7" customWidth="1"/>
    <col min="8693" max="8926" width="11.42578125" style="7"/>
    <col min="8927" max="8927" width="44.42578125" style="7" customWidth="1"/>
    <col min="8928" max="8928" width="13" style="7" customWidth="1"/>
    <col min="8929" max="8934" width="2" style="7" customWidth="1"/>
    <col min="8935" max="8935" width="2.42578125" style="7" customWidth="1"/>
    <col min="8936" max="8936" width="3" style="7" customWidth="1"/>
    <col min="8937" max="8939" width="2" style="7" customWidth="1"/>
    <col min="8940" max="8940" width="2.85546875" style="7" customWidth="1"/>
    <col min="8941" max="8941" width="3" style="7" customWidth="1"/>
    <col min="8942" max="8942" width="2.7109375" style="7" customWidth="1"/>
    <col min="8943" max="8943" width="2.42578125" style="7" customWidth="1"/>
    <col min="8944" max="8944" width="3.28515625" style="7" customWidth="1"/>
    <col min="8945" max="8945" width="3.5703125" style="7" customWidth="1"/>
    <col min="8946" max="8946" width="4" style="7" customWidth="1"/>
    <col min="8947" max="8947" width="3.42578125" style="7" customWidth="1"/>
    <col min="8948" max="8948" width="3" style="7" customWidth="1"/>
    <col min="8949" max="9182" width="11.42578125" style="7"/>
    <col min="9183" max="9183" width="44.42578125" style="7" customWidth="1"/>
    <col min="9184" max="9184" width="13" style="7" customWidth="1"/>
    <col min="9185" max="9190" width="2" style="7" customWidth="1"/>
    <col min="9191" max="9191" width="2.42578125" style="7" customWidth="1"/>
    <col min="9192" max="9192" width="3" style="7" customWidth="1"/>
    <col min="9193" max="9195" width="2" style="7" customWidth="1"/>
    <col min="9196" max="9196" width="2.85546875" style="7" customWidth="1"/>
    <col min="9197" max="9197" width="3" style="7" customWidth="1"/>
    <col min="9198" max="9198" width="2.7109375" style="7" customWidth="1"/>
    <col min="9199" max="9199" width="2.42578125" style="7" customWidth="1"/>
    <col min="9200" max="9200" width="3.28515625" style="7" customWidth="1"/>
    <col min="9201" max="9201" width="3.5703125" style="7" customWidth="1"/>
    <col min="9202" max="9202" width="4" style="7" customWidth="1"/>
    <col min="9203" max="9203" width="3.42578125" style="7" customWidth="1"/>
    <col min="9204" max="9204" width="3" style="7" customWidth="1"/>
    <col min="9205" max="9438" width="11.42578125" style="7"/>
    <col min="9439" max="9439" width="44.42578125" style="7" customWidth="1"/>
    <col min="9440" max="9440" width="13" style="7" customWidth="1"/>
    <col min="9441" max="9446" width="2" style="7" customWidth="1"/>
    <col min="9447" max="9447" width="2.42578125" style="7" customWidth="1"/>
    <col min="9448" max="9448" width="3" style="7" customWidth="1"/>
    <col min="9449" max="9451" width="2" style="7" customWidth="1"/>
    <col min="9452" max="9452" width="2.85546875" style="7" customWidth="1"/>
    <col min="9453" max="9453" width="3" style="7" customWidth="1"/>
    <col min="9454" max="9454" width="2.7109375" style="7" customWidth="1"/>
    <col min="9455" max="9455" width="2.42578125" style="7" customWidth="1"/>
    <col min="9456" max="9456" width="3.28515625" style="7" customWidth="1"/>
    <col min="9457" max="9457" width="3.5703125" style="7" customWidth="1"/>
    <col min="9458" max="9458" width="4" style="7" customWidth="1"/>
    <col min="9459" max="9459" width="3.42578125" style="7" customWidth="1"/>
    <col min="9460" max="9460" width="3" style="7" customWidth="1"/>
    <col min="9461" max="9694" width="11.42578125" style="7"/>
    <col min="9695" max="9695" width="44.42578125" style="7" customWidth="1"/>
    <col min="9696" max="9696" width="13" style="7" customWidth="1"/>
    <col min="9697" max="9702" width="2" style="7" customWidth="1"/>
    <col min="9703" max="9703" width="2.42578125" style="7" customWidth="1"/>
    <col min="9704" max="9704" width="3" style="7" customWidth="1"/>
    <col min="9705" max="9707" width="2" style="7" customWidth="1"/>
    <col min="9708" max="9708" width="2.85546875" style="7" customWidth="1"/>
    <col min="9709" max="9709" width="3" style="7" customWidth="1"/>
    <col min="9710" max="9710" width="2.7109375" style="7" customWidth="1"/>
    <col min="9711" max="9711" width="2.42578125" style="7" customWidth="1"/>
    <col min="9712" max="9712" width="3.28515625" style="7" customWidth="1"/>
    <col min="9713" max="9713" width="3.5703125" style="7" customWidth="1"/>
    <col min="9714" max="9714" width="4" style="7" customWidth="1"/>
    <col min="9715" max="9715" width="3.42578125" style="7" customWidth="1"/>
    <col min="9716" max="9716" width="3" style="7" customWidth="1"/>
    <col min="9717" max="9950" width="11.42578125" style="7"/>
    <col min="9951" max="9951" width="44.42578125" style="7" customWidth="1"/>
    <col min="9952" max="9952" width="13" style="7" customWidth="1"/>
    <col min="9953" max="9958" width="2" style="7" customWidth="1"/>
    <col min="9959" max="9959" width="2.42578125" style="7" customWidth="1"/>
    <col min="9960" max="9960" width="3" style="7" customWidth="1"/>
    <col min="9961" max="9963" width="2" style="7" customWidth="1"/>
    <col min="9964" max="9964" width="2.85546875" style="7" customWidth="1"/>
    <col min="9965" max="9965" width="3" style="7" customWidth="1"/>
    <col min="9966" max="9966" width="2.7109375" style="7" customWidth="1"/>
    <col min="9967" max="9967" width="2.42578125" style="7" customWidth="1"/>
    <col min="9968" max="9968" width="3.28515625" style="7" customWidth="1"/>
    <col min="9969" max="9969" width="3.5703125" style="7" customWidth="1"/>
    <col min="9970" max="9970" width="4" style="7" customWidth="1"/>
    <col min="9971" max="9971" width="3.42578125" style="7" customWidth="1"/>
    <col min="9972" max="9972" width="3" style="7" customWidth="1"/>
    <col min="9973" max="10206" width="11.42578125" style="7"/>
    <col min="10207" max="10207" width="44.42578125" style="7" customWidth="1"/>
    <col min="10208" max="10208" width="13" style="7" customWidth="1"/>
    <col min="10209" max="10214" width="2" style="7" customWidth="1"/>
    <col min="10215" max="10215" width="2.42578125" style="7" customWidth="1"/>
    <col min="10216" max="10216" width="3" style="7" customWidth="1"/>
    <col min="10217" max="10219" width="2" style="7" customWidth="1"/>
    <col min="10220" max="10220" width="2.85546875" style="7" customWidth="1"/>
    <col min="10221" max="10221" width="3" style="7" customWidth="1"/>
    <col min="10222" max="10222" width="2.7109375" style="7" customWidth="1"/>
    <col min="10223" max="10223" width="2.42578125" style="7" customWidth="1"/>
    <col min="10224" max="10224" width="3.28515625" style="7" customWidth="1"/>
    <col min="10225" max="10225" width="3.5703125" style="7" customWidth="1"/>
    <col min="10226" max="10226" width="4" style="7" customWidth="1"/>
    <col min="10227" max="10227" width="3.42578125" style="7" customWidth="1"/>
    <col min="10228" max="10228" width="3" style="7" customWidth="1"/>
    <col min="10229" max="10462" width="11.42578125" style="7"/>
    <col min="10463" max="10463" width="44.42578125" style="7" customWidth="1"/>
    <col min="10464" max="10464" width="13" style="7" customWidth="1"/>
    <col min="10465" max="10470" width="2" style="7" customWidth="1"/>
    <col min="10471" max="10471" width="2.42578125" style="7" customWidth="1"/>
    <col min="10472" max="10472" width="3" style="7" customWidth="1"/>
    <col min="10473" max="10475" width="2" style="7" customWidth="1"/>
    <col min="10476" max="10476" width="2.85546875" style="7" customWidth="1"/>
    <col min="10477" max="10477" width="3" style="7" customWidth="1"/>
    <col min="10478" max="10478" width="2.7109375" style="7" customWidth="1"/>
    <col min="10479" max="10479" width="2.42578125" style="7" customWidth="1"/>
    <col min="10480" max="10480" width="3.28515625" style="7" customWidth="1"/>
    <col min="10481" max="10481" width="3.5703125" style="7" customWidth="1"/>
    <col min="10482" max="10482" width="4" style="7" customWidth="1"/>
    <col min="10483" max="10483" width="3.42578125" style="7" customWidth="1"/>
    <col min="10484" max="10484" width="3" style="7" customWidth="1"/>
    <col min="10485" max="10718" width="11.42578125" style="7"/>
    <col min="10719" max="10719" width="44.42578125" style="7" customWidth="1"/>
    <col min="10720" max="10720" width="13" style="7" customWidth="1"/>
    <col min="10721" max="10726" width="2" style="7" customWidth="1"/>
    <col min="10727" max="10727" width="2.42578125" style="7" customWidth="1"/>
    <col min="10728" max="10728" width="3" style="7" customWidth="1"/>
    <col min="10729" max="10731" width="2" style="7" customWidth="1"/>
    <col min="10732" max="10732" width="2.85546875" style="7" customWidth="1"/>
    <col min="10733" max="10733" width="3" style="7" customWidth="1"/>
    <col min="10734" max="10734" width="2.7109375" style="7" customWidth="1"/>
    <col min="10735" max="10735" width="2.42578125" style="7" customWidth="1"/>
    <col min="10736" max="10736" width="3.28515625" style="7" customWidth="1"/>
    <col min="10737" max="10737" width="3.5703125" style="7" customWidth="1"/>
    <col min="10738" max="10738" width="4" style="7" customWidth="1"/>
    <col min="10739" max="10739" width="3.42578125" style="7" customWidth="1"/>
    <col min="10740" max="10740" width="3" style="7" customWidth="1"/>
    <col min="10741" max="10974" width="11.42578125" style="7"/>
    <col min="10975" max="10975" width="44.42578125" style="7" customWidth="1"/>
    <col min="10976" max="10976" width="13" style="7" customWidth="1"/>
    <col min="10977" max="10982" width="2" style="7" customWidth="1"/>
    <col min="10983" max="10983" width="2.42578125" style="7" customWidth="1"/>
    <col min="10984" max="10984" width="3" style="7" customWidth="1"/>
    <col min="10985" max="10987" width="2" style="7" customWidth="1"/>
    <col min="10988" max="10988" width="2.85546875" style="7" customWidth="1"/>
    <col min="10989" max="10989" width="3" style="7" customWidth="1"/>
    <col min="10990" max="10990" width="2.7109375" style="7" customWidth="1"/>
    <col min="10991" max="10991" width="2.42578125" style="7" customWidth="1"/>
    <col min="10992" max="10992" width="3.28515625" style="7" customWidth="1"/>
    <col min="10993" max="10993" width="3.5703125" style="7" customWidth="1"/>
    <col min="10994" max="10994" width="4" style="7" customWidth="1"/>
    <col min="10995" max="10995" width="3.42578125" style="7" customWidth="1"/>
    <col min="10996" max="10996" width="3" style="7" customWidth="1"/>
    <col min="10997" max="11230" width="11.42578125" style="7"/>
    <col min="11231" max="11231" width="44.42578125" style="7" customWidth="1"/>
    <col min="11232" max="11232" width="13" style="7" customWidth="1"/>
    <col min="11233" max="11238" width="2" style="7" customWidth="1"/>
    <col min="11239" max="11239" width="2.42578125" style="7" customWidth="1"/>
    <col min="11240" max="11240" width="3" style="7" customWidth="1"/>
    <col min="11241" max="11243" width="2" style="7" customWidth="1"/>
    <col min="11244" max="11244" width="2.85546875" style="7" customWidth="1"/>
    <col min="11245" max="11245" width="3" style="7" customWidth="1"/>
    <col min="11246" max="11246" width="2.7109375" style="7" customWidth="1"/>
    <col min="11247" max="11247" width="2.42578125" style="7" customWidth="1"/>
    <col min="11248" max="11248" width="3.28515625" style="7" customWidth="1"/>
    <col min="11249" max="11249" width="3.5703125" style="7" customWidth="1"/>
    <col min="11250" max="11250" width="4" style="7" customWidth="1"/>
    <col min="11251" max="11251" width="3.42578125" style="7" customWidth="1"/>
    <col min="11252" max="11252" width="3" style="7" customWidth="1"/>
    <col min="11253" max="11486" width="11.42578125" style="7"/>
    <col min="11487" max="11487" width="44.42578125" style="7" customWidth="1"/>
    <col min="11488" max="11488" width="13" style="7" customWidth="1"/>
    <col min="11489" max="11494" width="2" style="7" customWidth="1"/>
    <col min="11495" max="11495" width="2.42578125" style="7" customWidth="1"/>
    <col min="11496" max="11496" width="3" style="7" customWidth="1"/>
    <col min="11497" max="11499" width="2" style="7" customWidth="1"/>
    <col min="11500" max="11500" width="2.85546875" style="7" customWidth="1"/>
    <col min="11501" max="11501" width="3" style="7" customWidth="1"/>
    <col min="11502" max="11502" width="2.7109375" style="7" customWidth="1"/>
    <col min="11503" max="11503" width="2.42578125" style="7" customWidth="1"/>
    <col min="11504" max="11504" width="3.28515625" style="7" customWidth="1"/>
    <col min="11505" max="11505" width="3.5703125" style="7" customWidth="1"/>
    <col min="11506" max="11506" width="4" style="7" customWidth="1"/>
    <col min="11507" max="11507" width="3.42578125" style="7" customWidth="1"/>
    <col min="11508" max="11508" width="3" style="7" customWidth="1"/>
    <col min="11509" max="11742" width="11.42578125" style="7"/>
    <col min="11743" max="11743" width="44.42578125" style="7" customWidth="1"/>
    <col min="11744" max="11744" width="13" style="7" customWidth="1"/>
    <col min="11745" max="11750" width="2" style="7" customWidth="1"/>
    <col min="11751" max="11751" width="2.42578125" style="7" customWidth="1"/>
    <col min="11752" max="11752" width="3" style="7" customWidth="1"/>
    <col min="11753" max="11755" width="2" style="7" customWidth="1"/>
    <col min="11756" max="11756" width="2.85546875" style="7" customWidth="1"/>
    <col min="11757" max="11757" width="3" style="7" customWidth="1"/>
    <col min="11758" max="11758" width="2.7109375" style="7" customWidth="1"/>
    <col min="11759" max="11759" width="2.42578125" style="7" customWidth="1"/>
    <col min="11760" max="11760" width="3.28515625" style="7" customWidth="1"/>
    <col min="11761" max="11761" width="3.5703125" style="7" customWidth="1"/>
    <col min="11762" max="11762" width="4" style="7" customWidth="1"/>
    <col min="11763" max="11763" width="3.42578125" style="7" customWidth="1"/>
    <col min="11764" max="11764" width="3" style="7" customWidth="1"/>
    <col min="11765" max="11998" width="11.42578125" style="7"/>
    <col min="11999" max="11999" width="44.42578125" style="7" customWidth="1"/>
    <col min="12000" max="12000" width="13" style="7" customWidth="1"/>
    <col min="12001" max="12006" width="2" style="7" customWidth="1"/>
    <col min="12007" max="12007" width="2.42578125" style="7" customWidth="1"/>
    <col min="12008" max="12008" width="3" style="7" customWidth="1"/>
    <col min="12009" max="12011" width="2" style="7" customWidth="1"/>
    <col min="12012" max="12012" width="2.85546875" style="7" customWidth="1"/>
    <col min="12013" max="12013" width="3" style="7" customWidth="1"/>
    <col min="12014" max="12014" width="2.7109375" style="7" customWidth="1"/>
    <col min="12015" max="12015" width="2.42578125" style="7" customWidth="1"/>
    <col min="12016" max="12016" width="3.28515625" style="7" customWidth="1"/>
    <col min="12017" max="12017" width="3.5703125" style="7" customWidth="1"/>
    <col min="12018" max="12018" width="4" style="7" customWidth="1"/>
    <col min="12019" max="12019" width="3.42578125" style="7" customWidth="1"/>
    <col min="12020" max="12020" width="3" style="7" customWidth="1"/>
    <col min="12021" max="12254" width="11.42578125" style="7"/>
    <col min="12255" max="12255" width="44.42578125" style="7" customWidth="1"/>
    <col min="12256" max="12256" width="13" style="7" customWidth="1"/>
    <col min="12257" max="12262" width="2" style="7" customWidth="1"/>
    <col min="12263" max="12263" width="2.42578125" style="7" customWidth="1"/>
    <col min="12264" max="12264" width="3" style="7" customWidth="1"/>
    <col min="12265" max="12267" width="2" style="7" customWidth="1"/>
    <col min="12268" max="12268" width="2.85546875" style="7" customWidth="1"/>
    <col min="12269" max="12269" width="3" style="7" customWidth="1"/>
    <col min="12270" max="12270" width="2.7109375" style="7" customWidth="1"/>
    <col min="12271" max="12271" width="2.42578125" style="7" customWidth="1"/>
    <col min="12272" max="12272" width="3.28515625" style="7" customWidth="1"/>
    <col min="12273" max="12273" width="3.5703125" style="7" customWidth="1"/>
    <col min="12274" max="12274" width="4" style="7" customWidth="1"/>
    <col min="12275" max="12275" width="3.42578125" style="7" customWidth="1"/>
    <col min="12276" max="12276" width="3" style="7" customWidth="1"/>
    <col min="12277" max="12510" width="11.42578125" style="7"/>
    <col min="12511" max="12511" width="44.42578125" style="7" customWidth="1"/>
    <col min="12512" max="12512" width="13" style="7" customWidth="1"/>
    <col min="12513" max="12518" width="2" style="7" customWidth="1"/>
    <col min="12519" max="12519" width="2.42578125" style="7" customWidth="1"/>
    <col min="12520" max="12520" width="3" style="7" customWidth="1"/>
    <col min="12521" max="12523" width="2" style="7" customWidth="1"/>
    <col min="12524" max="12524" width="2.85546875" style="7" customWidth="1"/>
    <col min="12525" max="12525" width="3" style="7" customWidth="1"/>
    <col min="12526" max="12526" width="2.7109375" style="7" customWidth="1"/>
    <col min="12527" max="12527" width="2.42578125" style="7" customWidth="1"/>
    <col min="12528" max="12528" width="3.28515625" style="7" customWidth="1"/>
    <col min="12529" max="12529" width="3.5703125" style="7" customWidth="1"/>
    <col min="12530" max="12530" width="4" style="7" customWidth="1"/>
    <col min="12531" max="12531" width="3.42578125" style="7" customWidth="1"/>
    <col min="12532" max="12532" width="3" style="7" customWidth="1"/>
    <col min="12533" max="12766" width="11.42578125" style="7"/>
    <col min="12767" max="12767" width="44.42578125" style="7" customWidth="1"/>
    <col min="12768" max="12768" width="13" style="7" customWidth="1"/>
    <col min="12769" max="12774" width="2" style="7" customWidth="1"/>
    <col min="12775" max="12775" width="2.42578125" style="7" customWidth="1"/>
    <col min="12776" max="12776" width="3" style="7" customWidth="1"/>
    <col min="12777" max="12779" width="2" style="7" customWidth="1"/>
    <col min="12780" max="12780" width="2.85546875" style="7" customWidth="1"/>
    <col min="12781" max="12781" width="3" style="7" customWidth="1"/>
    <col min="12782" max="12782" width="2.7109375" style="7" customWidth="1"/>
    <col min="12783" max="12783" width="2.42578125" style="7" customWidth="1"/>
    <col min="12784" max="12784" width="3.28515625" style="7" customWidth="1"/>
    <col min="12785" max="12785" width="3.5703125" style="7" customWidth="1"/>
    <col min="12786" max="12786" width="4" style="7" customWidth="1"/>
    <col min="12787" max="12787" width="3.42578125" style="7" customWidth="1"/>
    <col min="12788" max="12788" width="3" style="7" customWidth="1"/>
    <col min="12789" max="13022" width="11.42578125" style="7"/>
    <col min="13023" max="13023" width="44.42578125" style="7" customWidth="1"/>
    <col min="13024" max="13024" width="13" style="7" customWidth="1"/>
    <col min="13025" max="13030" width="2" style="7" customWidth="1"/>
    <col min="13031" max="13031" width="2.42578125" style="7" customWidth="1"/>
    <col min="13032" max="13032" width="3" style="7" customWidth="1"/>
    <col min="13033" max="13035" width="2" style="7" customWidth="1"/>
    <col min="13036" max="13036" width="2.85546875" style="7" customWidth="1"/>
    <col min="13037" max="13037" width="3" style="7" customWidth="1"/>
    <col min="13038" max="13038" width="2.7109375" style="7" customWidth="1"/>
    <col min="13039" max="13039" width="2.42578125" style="7" customWidth="1"/>
    <col min="13040" max="13040" width="3.28515625" style="7" customWidth="1"/>
    <col min="13041" max="13041" width="3.5703125" style="7" customWidth="1"/>
    <col min="13042" max="13042" width="4" style="7" customWidth="1"/>
    <col min="13043" max="13043" width="3.42578125" style="7" customWidth="1"/>
    <col min="13044" max="13044" width="3" style="7" customWidth="1"/>
    <col min="13045" max="13278" width="11.42578125" style="7"/>
    <col min="13279" max="13279" width="44.42578125" style="7" customWidth="1"/>
    <col min="13280" max="13280" width="13" style="7" customWidth="1"/>
    <col min="13281" max="13286" width="2" style="7" customWidth="1"/>
    <col min="13287" max="13287" width="2.42578125" style="7" customWidth="1"/>
    <col min="13288" max="13288" width="3" style="7" customWidth="1"/>
    <col min="13289" max="13291" width="2" style="7" customWidth="1"/>
    <col min="13292" max="13292" width="2.85546875" style="7" customWidth="1"/>
    <col min="13293" max="13293" width="3" style="7" customWidth="1"/>
    <col min="13294" max="13294" width="2.7109375" style="7" customWidth="1"/>
    <col min="13295" max="13295" width="2.42578125" style="7" customWidth="1"/>
    <col min="13296" max="13296" width="3.28515625" style="7" customWidth="1"/>
    <col min="13297" max="13297" width="3.5703125" style="7" customWidth="1"/>
    <col min="13298" max="13298" width="4" style="7" customWidth="1"/>
    <col min="13299" max="13299" width="3.42578125" style="7" customWidth="1"/>
    <col min="13300" max="13300" width="3" style="7" customWidth="1"/>
    <col min="13301" max="13534" width="11.42578125" style="7"/>
    <col min="13535" max="13535" width="44.42578125" style="7" customWidth="1"/>
    <col min="13536" max="13536" width="13" style="7" customWidth="1"/>
    <col min="13537" max="13542" width="2" style="7" customWidth="1"/>
    <col min="13543" max="13543" width="2.42578125" style="7" customWidth="1"/>
    <col min="13544" max="13544" width="3" style="7" customWidth="1"/>
    <col min="13545" max="13547" width="2" style="7" customWidth="1"/>
    <col min="13548" max="13548" width="2.85546875" style="7" customWidth="1"/>
    <col min="13549" max="13549" width="3" style="7" customWidth="1"/>
    <col min="13550" max="13550" width="2.7109375" style="7" customWidth="1"/>
    <col min="13551" max="13551" width="2.42578125" style="7" customWidth="1"/>
    <col min="13552" max="13552" width="3.28515625" style="7" customWidth="1"/>
    <col min="13553" max="13553" width="3.5703125" style="7" customWidth="1"/>
    <col min="13554" max="13554" width="4" style="7" customWidth="1"/>
    <col min="13555" max="13555" width="3.42578125" style="7" customWidth="1"/>
    <col min="13556" max="13556" width="3" style="7" customWidth="1"/>
    <col min="13557" max="13790" width="11.42578125" style="7"/>
    <col min="13791" max="13791" width="44.42578125" style="7" customWidth="1"/>
    <col min="13792" max="13792" width="13" style="7" customWidth="1"/>
    <col min="13793" max="13798" width="2" style="7" customWidth="1"/>
    <col min="13799" max="13799" width="2.42578125" style="7" customWidth="1"/>
    <col min="13800" max="13800" width="3" style="7" customWidth="1"/>
    <col min="13801" max="13803" width="2" style="7" customWidth="1"/>
    <col min="13804" max="13804" width="2.85546875" style="7" customWidth="1"/>
    <col min="13805" max="13805" width="3" style="7" customWidth="1"/>
    <col min="13806" max="13806" width="2.7109375" style="7" customWidth="1"/>
    <col min="13807" max="13807" width="2.42578125" style="7" customWidth="1"/>
    <col min="13808" max="13808" width="3.28515625" style="7" customWidth="1"/>
    <col min="13809" max="13809" width="3.5703125" style="7" customWidth="1"/>
    <col min="13810" max="13810" width="4" style="7" customWidth="1"/>
    <col min="13811" max="13811" width="3.42578125" style="7" customWidth="1"/>
    <col min="13812" max="13812" width="3" style="7" customWidth="1"/>
    <col min="13813" max="14046" width="11.42578125" style="7"/>
    <col min="14047" max="14047" width="44.42578125" style="7" customWidth="1"/>
    <col min="14048" max="14048" width="13" style="7" customWidth="1"/>
    <col min="14049" max="14054" width="2" style="7" customWidth="1"/>
    <col min="14055" max="14055" width="2.42578125" style="7" customWidth="1"/>
    <col min="14056" max="14056" width="3" style="7" customWidth="1"/>
    <col min="14057" max="14059" width="2" style="7" customWidth="1"/>
    <col min="14060" max="14060" width="2.85546875" style="7" customWidth="1"/>
    <col min="14061" max="14061" width="3" style="7" customWidth="1"/>
    <col min="14062" max="14062" width="2.7109375" style="7" customWidth="1"/>
    <col min="14063" max="14063" width="2.42578125" style="7" customWidth="1"/>
    <col min="14064" max="14064" width="3.28515625" style="7" customWidth="1"/>
    <col min="14065" max="14065" width="3.5703125" style="7" customWidth="1"/>
    <col min="14066" max="14066" width="4" style="7" customWidth="1"/>
    <col min="14067" max="14067" width="3.42578125" style="7" customWidth="1"/>
    <col min="14068" max="14068" width="3" style="7" customWidth="1"/>
    <col min="14069" max="14302" width="11.42578125" style="7"/>
    <col min="14303" max="14303" width="44.42578125" style="7" customWidth="1"/>
    <col min="14304" max="14304" width="13" style="7" customWidth="1"/>
    <col min="14305" max="14310" width="2" style="7" customWidth="1"/>
    <col min="14311" max="14311" width="2.42578125" style="7" customWidth="1"/>
    <col min="14312" max="14312" width="3" style="7" customWidth="1"/>
    <col min="14313" max="14315" width="2" style="7" customWidth="1"/>
    <col min="14316" max="14316" width="2.85546875" style="7" customWidth="1"/>
    <col min="14317" max="14317" width="3" style="7" customWidth="1"/>
    <col min="14318" max="14318" width="2.7109375" style="7" customWidth="1"/>
    <col min="14319" max="14319" width="2.42578125" style="7" customWidth="1"/>
    <col min="14320" max="14320" width="3.28515625" style="7" customWidth="1"/>
    <col min="14321" max="14321" width="3.5703125" style="7" customWidth="1"/>
    <col min="14322" max="14322" width="4" style="7" customWidth="1"/>
    <col min="14323" max="14323" width="3.42578125" style="7" customWidth="1"/>
    <col min="14324" max="14324" width="3" style="7" customWidth="1"/>
    <col min="14325" max="14558" width="11.42578125" style="7"/>
    <col min="14559" max="14559" width="44.42578125" style="7" customWidth="1"/>
    <col min="14560" max="14560" width="13" style="7" customWidth="1"/>
    <col min="14561" max="14566" width="2" style="7" customWidth="1"/>
    <col min="14567" max="14567" width="2.42578125" style="7" customWidth="1"/>
    <col min="14568" max="14568" width="3" style="7" customWidth="1"/>
    <col min="14569" max="14571" width="2" style="7" customWidth="1"/>
    <col min="14572" max="14572" width="2.85546875" style="7" customWidth="1"/>
    <col min="14573" max="14573" width="3" style="7" customWidth="1"/>
    <col min="14574" max="14574" width="2.7109375" style="7" customWidth="1"/>
    <col min="14575" max="14575" width="2.42578125" style="7" customWidth="1"/>
    <col min="14576" max="14576" width="3.28515625" style="7" customWidth="1"/>
    <col min="14577" max="14577" width="3.5703125" style="7" customWidth="1"/>
    <col min="14578" max="14578" width="4" style="7" customWidth="1"/>
    <col min="14579" max="14579" width="3.42578125" style="7" customWidth="1"/>
    <col min="14580" max="14580" width="3" style="7" customWidth="1"/>
    <col min="14581" max="14814" width="11.42578125" style="7"/>
    <col min="14815" max="14815" width="44.42578125" style="7" customWidth="1"/>
    <col min="14816" max="14816" width="13" style="7" customWidth="1"/>
    <col min="14817" max="14822" width="2" style="7" customWidth="1"/>
    <col min="14823" max="14823" width="2.42578125" style="7" customWidth="1"/>
    <col min="14824" max="14824" width="3" style="7" customWidth="1"/>
    <col min="14825" max="14827" width="2" style="7" customWidth="1"/>
    <col min="14828" max="14828" width="2.85546875" style="7" customWidth="1"/>
    <col min="14829" max="14829" width="3" style="7" customWidth="1"/>
    <col min="14830" max="14830" width="2.7109375" style="7" customWidth="1"/>
    <col min="14831" max="14831" width="2.42578125" style="7" customWidth="1"/>
    <col min="14832" max="14832" width="3.28515625" style="7" customWidth="1"/>
    <col min="14833" max="14833" width="3.5703125" style="7" customWidth="1"/>
    <col min="14834" max="14834" width="4" style="7" customWidth="1"/>
    <col min="14835" max="14835" width="3.42578125" style="7" customWidth="1"/>
    <col min="14836" max="14836" width="3" style="7" customWidth="1"/>
    <col min="14837" max="15070" width="11.42578125" style="7"/>
    <col min="15071" max="15071" width="44.42578125" style="7" customWidth="1"/>
    <col min="15072" max="15072" width="13" style="7" customWidth="1"/>
    <col min="15073" max="15078" width="2" style="7" customWidth="1"/>
    <col min="15079" max="15079" width="2.42578125" style="7" customWidth="1"/>
    <col min="15080" max="15080" width="3" style="7" customWidth="1"/>
    <col min="15081" max="15083" width="2" style="7" customWidth="1"/>
    <col min="15084" max="15084" width="2.85546875" style="7" customWidth="1"/>
    <col min="15085" max="15085" width="3" style="7" customWidth="1"/>
    <col min="15086" max="15086" width="2.7109375" style="7" customWidth="1"/>
    <col min="15087" max="15087" width="2.42578125" style="7" customWidth="1"/>
    <col min="15088" max="15088" width="3.28515625" style="7" customWidth="1"/>
    <col min="15089" max="15089" width="3.5703125" style="7" customWidth="1"/>
    <col min="15090" max="15090" width="4" style="7" customWidth="1"/>
    <col min="15091" max="15091" width="3.42578125" style="7" customWidth="1"/>
    <col min="15092" max="15092" width="3" style="7" customWidth="1"/>
    <col min="15093" max="15326" width="11.42578125" style="7"/>
    <col min="15327" max="15327" width="44.42578125" style="7" customWidth="1"/>
    <col min="15328" max="15328" width="13" style="7" customWidth="1"/>
    <col min="15329" max="15334" width="2" style="7" customWidth="1"/>
    <col min="15335" max="15335" width="2.42578125" style="7" customWidth="1"/>
    <col min="15336" max="15336" width="3" style="7" customWidth="1"/>
    <col min="15337" max="15339" width="2" style="7" customWidth="1"/>
    <col min="15340" max="15340" width="2.85546875" style="7" customWidth="1"/>
    <col min="15341" max="15341" width="3" style="7" customWidth="1"/>
    <col min="15342" max="15342" width="2.7109375" style="7" customWidth="1"/>
    <col min="15343" max="15343" width="2.42578125" style="7" customWidth="1"/>
    <col min="15344" max="15344" width="3.28515625" style="7" customWidth="1"/>
    <col min="15345" max="15345" width="3.5703125" style="7" customWidth="1"/>
    <col min="15346" max="15346" width="4" style="7" customWidth="1"/>
    <col min="15347" max="15347" width="3.42578125" style="7" customWidth="1"/>
    <col min="15348" max="15348" width="3" style="7" customWidth="1"/>
    <col min="15349" max="15582" width="11.42578125" style="7"/>
    <col min="15583" max="15583" width="44.42578125" style="7" customWidth="1"/>
    <col min="15584" max="15584" width="13" style="7" customWidth="1"/>
    <col min="15585" max="15590" width="2" style="7" customWidth="1"/>
    <col min="15591" max="15591" width="2.42578125" style="7" customWidth="1"/>
    <col min="15592" max="15592" width="3" style="7" customWidth="1"/>
    <col min="15593" max="15595" width="2" style="7" customWidth="1"/>
    <col min="15596" max="15596" width="2.85546875" style="7" customWidth="1"/>
    <col min="15597" max="15597" width="3" style="7" customWidth="1"/>
    <col min="15598" max="15598" width="2.7109375" style="7" customWidth="1"/>
    <col min="15599" max="15599" width="2.42578125" style="7" customWidth="1"/>
    <col min="15600" max="15600" width="3.28515625" style="7" customWidth="1"/>
    <col min="15601" max="15601" width="3.5703125" style="7" customWidth="1"/>
    <col min="15602" max="15602" width="4" style="7" customWidth="1"/>
    <col min="15603" max="15603" width="3.42578125" style="7" customWidth="1"/>
    <col min="15604" max="15604" width="3" style="7" customWidth="1"/>
    <col min="15605" max="15838" width="11.42578125" style="7"/>
    <col min="15839" max="15839" width="44.42578125" style="7" customWidth="1"/>
    <col min="15840" max="15840" width="13" style="7" customWidth="1"/>
    <col min="15841" max="15846" width="2" style="7" customWidth="1"/>
    <col min="15847" max="15847" width="2.42578125" style="7" customWidth="1"/>
    <col min="15848" max="15848" width="3" style="7" customWidth="1"/>
    <col min="15849" max="15851" width="2" style="7" customWidth="1"/>
    <col min="15852" max="15852" width="2.85546875" style="7" customWidth="1"/>
    <col min="15853" max="15853" width="3" style="7" customWidth="1"/>
    <col min="15854" max="15854" width="2.7109375" style="7" customWidth="1"/>
    <col min="15855" max="15855" width="2.42578125" style="7" customWidth="1"/>
    <col min="15856" max="15856" width="3.28515625" style="7" customWidth="1"/>
    <col min="15857" max="15857" width="3.5703125" style="7" customWidth="1"/>
    <col min="15858" max="15858" width="4" style="7" customWidth="1"/>
    <col min="15859" max="15859" width="3.42578125" style="7" customWidth="1"/>
    <col min="15860" max="15860" width="3" style="7" customWidth="1"/>
    <col min="15861" max="16094" width="11.42578125" style="7"/>
    <col min="16095" max="16095" width="44.42578125" style="7" customWidth="1"/>
    <col min="16096" max="16096" width="13" style="7" customWidth="1"/>
    <col min="16097" max="16102" width="2" style="7" customWidth="1"/>
    <col min="16103" max="16103" width="2.42578125" style="7" customWidth="1"/>
    <col min="16104" max="16104" width="3" style="7" customWidth="1"/>
    <col min="16105" max="16107" width="2" style="7" customWidth="1"/>
    <col min="16108" max="16108" width="2.85546875" style="7" customWidth="1"/>
    <col min="16109" max="16109" width="3" style="7" customWidth="1"/>
    <col min="16110" max="16110" width="2.7109375" style="7" customWidth="1"/>
    <col min="16111" max="16111" width="2.42578125" style="7" customWidth="1"/>
    <col min="16112" max="16112" width="3.28515625" style="7" customWidth="1"/>
    <col min="16113" max="16113" width="3.5703125" style="7" customWidth="1"/>
    <col min="16114" max="16114" width="4" style="7" customWidth="1"/>
    <col min="16115" max="16115" width="3.42578125" style="7" customWidth="1"/>
    <col min="16116" max="16116" width="3" style="7" customWidth="1"/>
    <col min="16117" max="16384" width="11.42578125" style="7"/>
  </cols>
  <sheetData>
    <row r="1" spans="1:4" ht="15" x14ac:dyDescent="0.25">
      <c r="B1" s="11" t="s">
        <v>193</v>
      </c>
    </row>
    <row r="2" spans="1:4" ht="15" x14ac:dyDescent="0.25">
      <c r="B2" s="11" t="s">
        <v>46</v>
      </c>
    </row>
    <row r="3" spans="1:4" x14ac:dyDescent="0.2">
      <c r="B3" s="181" t="s">
        <v>196</v>
      </c>
    </row>
    <row r="4" spans="1:4" ht="15" x14ac:dyDescent="0.25">
      <c r="B4" s="11" t="str">
        <f>'4. CC D'!A4</f>
        <v>Operación: Programa de Mejoramiento de Caminos Vecinales II (PMCV)</v>
      </c>
    </row>
    <row r="5" spans="1:4" ht="15" x14ac:dyDescent="0.25">
      <c r="B5" s="13"/>
    </row>
    <row r="6" spans="1:4" ht="15" x14ac:dyDescent="0.25">
      <c r="B6" s="11" t="s">
        <v>175</v>
      </c>
    </row>
    <row r="7" spans="1:4" s="147" customFormat="1" x14ac:dyDescent="0.2">
      <c r="A7" s="755"/>
      <c r="B7" s="981"/>
      <c r="C7" s="981"/>
    </row>
    <row r="8" spans="1:4" s="147" customFormat="1" x14ac:dyDescent="0.2">
      <c r="A8" s="755"/>
      <c r="B8" s="980" t="s">
        <v>187</v>
      </c>
      <c r="C8" s="980"/>
      <c r="D8" s="980"/>
    </row>
    <row r="9" spans="1:4" s="147" customFormat="1" x14ac:dyDescent="0.2">
      <c r="A9" s="755"/>
      <c r="B9" s="148"/>
      <c r="C9" s="312"/>
      <c r="D9" s="148"/>
    </row>
    <row r="10" spans="1:4" s="147" customFormat="1" x14ac:dyDescent="0.2">
      <c r="A10" s="313"/>
      <c r="B10" s="241" t="s">
        <v>800</v>
      </c>
      <c r="C10" s="240" t="s">
        <v>4</v>
      </c>
      <c r="D10" s="240" t="s">
        <v>39</v>
      </c>
    </row>
    <row r="11" spans="1:4" x14ac:dyDescent="0.2">
      <c r="A11" s="857" t="str">
        <f>'4. CC D'!A9</f>
        <v>1.</v>
      </c>
      <c r="B11" s="853" t="str">
        <f>'4. CC D'!B9</f>
        <v>Componente I. Obras Civiles y Supervisión</v>
      </c>
      <c r="C11" s="858">
        <f>+C12+C13+C14+C15</f>
        <v>58220000</v>
      </c>
      <c r="D11" s="860">
        <f t="shared" ref="D11:D20" si="0">C11/$C$20</f>
        <v>0.93903225806451618</v>
      </c>
    </row>
    <row r="12" spans="1:4" x14ac:dyDescent="0.2">
      <c r="A12" s="847">
        <v>1.1000000000000001</v>
      </c>
      <c r="B12" s="733" t="str">
        <f>'4. CC D'!B10</f>
        <v xml:space="preserve">Producto 1: 165 Km de Caminos Vecinales mejorados </v>
      </c>
      <c r="C12" s="233">
        <f>'4. CC D'!K10</f>
        <v>42340000</v>
      </c>
      <c r="D12" s="855">
        <f t="shared" si="0"/>
        <v>0.68290322580645157</v>
      </c>
    </row>
    <row r="13" spans="1:4" x14ac:dyDescent="0.2">
      <c r="A13" s="847">
        <v>1.2</v>
      </c>
      <c r="B13" s="733" t="str">
        <f>'4. CC D'!B16</f>
        <v xml:space="preserve">Producto 2: 713 Km de Caminos incorporados en un esquema de mantenimiento </v>
      </c>
      <c r="C13" s="233">
        <f>'4. CC D'!K16</f>
        <v>4000000</v>
      </c>
      <c r="D13" s="855">
        <f t="shared" si="0"/>
        <v>6.4516129032258063E-2</v>
      </c>
    </row>
    <row r="14" spans="1:4" x14ac:dyDescent="0.2">
      <c r="A14" s="847">
        <v>1.3</v>
      </c>
      <c r="B14" s="733" t="str">
        <f>'4. CC D'!B23</f>
        <v>Producto 3: 600 ml de Puentes de madera reemplazados por puentes de HoAo</v>
      </c>
      <c r="C14" s="233">
        <f>'4. CC D'!K23</f>
        <v>11660000</v>
      </c>
      <c r="D14" s="855">
        <f t="shared" si="0"/>
        <v>0.18806451612903224</v>
      </c>
    </row>
    <row r="15" spans="1:4" x14ac:dyDescent="0.2">
      <c r="A15" s="847">
        <v>1.4</v>
      </c>
      <c r="B15" s="733" t="str">
        <f>'4. CC D'!B29</f>
        <v>Producto 4: Mujeres Capacitadas en empleos no tradicionales del sector vial</v>
      </c>
      <c r="C15" s="233">
        <f>'4. CC D'!K29</f>
        <v>220000</v>
      </c>
      <c r="D15" s="855">
        <f t="shared" si="0"/>
        <v>3.5483870967741938E-3</v>
      </c>
    </row>
    <row r="16" spans="1:4" x14ac:dyDescent="0.2">
      <c r="A16" s="854">
        <v>2</v>
      </c>
      <c r="B16" s="853" t="s">
        <v>720</v>
      </c>
      <c r="C16" s="856">
        <f>+C17+C18+C19</f>
        <v>3780000</v>
      </c>
      <c r="D16" s="860">
        <f t="shared" si="0"/>
        <v>6.096774193548387E-2</v>
      </c>
    </row>
    <row r="17" spans="1:4" x14ac:dyDescent="0.2">
      <c r="A17" s="847">
        <v>2.1</v>
      </c>
      <c r="B17" s="733" t="str">
        <f>'4. CC D'!B33</f>
        <v>Administración del Programa</v>
      </c>
      <c r="C17" s="301">
        <f>'4. CC D'!K33</f>
        <v>3000000</v>
      </c>
      <c r="D17" s="855">
        <f t="shared" si="0"/>
        <v>4.8387096774193547E-2</v>
      </c>
    </row>
    <row r="18" spans="1:4" x14ac:dyDescent="0.2">
      <c r="A18" s="847">
        <v>2.2000000000000002</v>
      </c>
      <c r="B18" s="733" t="str">
        <f>'4. CC D'!B35</f>
        <v>Auditoria, Monitoreo y Evaluación desarrollados</v>
      </c>
      <c r="C18" s="233">
        <f>'4. CC D'!K35</f>
        <v>200000</v>
      </c>
      <c r="D18" s="855">
        <f t="shared" si="0"/>
        <v>3.2258064516129032E-3</v>
      </c>
    </row>
    <row r="19" spans="1:4" x14ac:dyDescent="0.2">
      <c r="A19" s="847">
        <f>+'4. CC D'!A39</f>
        <v>2.2999999999999998</v>
      </c>
      <c r="B19" s="733" t="str">
        <f>+'4. CC D'!B39</f>
        <v>Gestión Socio Ambiental</v>
      </c>
      <c r="C19" s="893">
        <f>+'4. CC D'!K39</f>
        <v>580000</v>
      </c>
      <c r="D19" s="855">
        <f t="shared" si="0"/>
        <v>9.35483870967742E-3</v>
      </c>
    </row>
    <row r="20" spans="1:4" x14ac:dyDescent="0.2">
      <c r="A20" s="982" t="s">
        <v>45</v>
      </c>
      <c r="B20" s="983"/>
      <c r="C20" s="313">
        <f>SUM(C12:C16)</f>
        <v>62000000</v>
      </c>
      <c r="D20" s="859">
        <f t="shared" si="0"/>
        <v>1</v>
      </c>
    </row>
    <row r="25" spans="1:4" x14ac:dyDescent="0.2">
      <c r="A25" s="313"/>
      <c r="B25" s="241" t="s">
        <v>801</v>
      </c>
      <c r="C25" s="240" t="s">
        <v>4</v>
      </c>
      <c r="D25" s="240" t="s">
        <v>39</v>
      </c>
    </row>
    <row r="26" spans="1:4" x14ac:dyDescent="0.2">
      <c r="A26" s="894">
        <v>1</v>
      </c>
      <c r="B26" s="853" t="str">
        <f>'4. CC D'!B9</f>
        <v>Componente I. Obras Civiles y Supervisión</v>
      </c>
      <c r="C26" s="858">
        <v>58800000</v>
      </c>
      <c r="D26" s="860">
        <f t="shared" ref="D26:D36" si="1">C26/$C$20</f>
        <v>0.94838709677419353</v>
      </c>
    </row>
    <row r="27" spans="1:4" x14ac:dyDescent="0.2">
      <c r="A27" s="847">
        <v>1.1000000000000001</v>
      </c>
      <c r="B27" s="733" t="s">
        <v>802</v>
      </c>
      <c r="C27" s="233">
        <v>2600000</v>
      </c>
      <c r="D27" s="855">
        <f t="shared" si="1"/>
        <v>4.1935483870967745E-2</v>
      </c>
    </row>
    <row r="28" spans="1:4" x14ac:dyDescent="0.2">
      <c r="A28" s="847">
        <v>1.2</v>
      </c>
      <c r="B28" s="733" t="s">
        <v>803</v>
      </c>
      <c r="C28" s="233">
        <v>38000000</v>
      </c>
      <c r="D28" s="855">
        <f t="shared" si="1"/>
        <v>0.61290322580645162</v>
      </c>
    </row>
    <row r="29" spans="1:4" x14ac:dyDescent="0.2">
      <c r="A29" s="847">
        <v>1.3</v>
      </c>
      <c r="B29" s="733" t="s">
        <v>804</v>
      </c>
      <c r="C29" s="233">
        <v>4000000</v>
      </c>
      <c r="D29" s="855">
        <f t="shared" si="1"/>
        <v>6.4516129032258063E-2</v>
      </c>
    </row>
    <row r="30" spans="1:4" x14ac:dyDescent="0.2">
      <c r="A30" s="847">
        <v>1.4</v>
      </c>
      <c r="B30" s="733" t="s">
        <v>805</v>
      </c>
      <c r="C30" s="233">
        <v>10200000</v>
      </c>
      <c r="D30" s="855">
        <f t="shared" si="1"/>
        <v>0.16451612903225807</v>
      </c>
    </row>
    <row r="31" spans="1:4" x14ac:dyDescent="0.2">
      <c r="A31" s="847">
        <v>1.5</v>
      </c>
      <c r="B31" s="733" t="s">
        <v>292</v>
      </c>
      <c r="C31" s="233">
        <v>3200000</v>
      </c>
      <c r="D31" s="855">
        <f t="shared" si="1"/>
        <v>5.1612903225806452E-2</v>
      </c>
    </row>
    <row r="32" spans="1:4" x14ac:dyDescent="0.2">
      <c r="A32" s="847">
        <v>1.6</v>
      </c>
      <c r="B32" s="733" t="s">
        <v>790</v>
      </c>
      <c r="C32" s="233">
        <v>800000</v>
      </c>
      <c r="D32" s="855">
        <f t="shared" si="1"/>
        <v>1.2903225806451613E-2</v>
      </c>
    </row>
    <row r="33" spans="1:4" x14ac:dyDescent="0.2">
      <c r="A33" s="894">
        <v>2</v>
      </c>
      <c r="B33" s="853" t="s">
        <v>720</v>
      </c>
      <c r="C33" s="856">
        <f>+C34+C35</f>
        <v>3200000</v>
      </c>
      <c r="D33" s="860">
        <f t="shared" si="1"/>
        <v>5.1612903225806452E-2</v>
      </c>
    </row>
    <row r="34" spans="1:4" x14ac:dyDescent="0.2">
      <c r="A34" s="847">
        <v>2.1</v>
      </c>
      <c r="B34" s="733" t="s">
        <v>806</v>
      </c>
      <c r="C34" s="301">
        <v>3000000</v>
      </c>
      <c r="D34" s="855">
        <f t="shared" si="1"/>
        <v>4.8387096774193547E-2</v>
      </c>
    </row>
    <row r="35" spans="1:4" x14ac:dyDescent="0.2">
      <c r="A35" s="847">
        <v>2.2000000000000002</v>
      </c>
      <c r="B35" s="733" t="s">
        <v>807</v>
      </c>
      <c r="C35" s="233">
        <v>200000</v>
      </c>
      <c r="D35" s="855">
        <f t="shared" si="1"/>
        <v>3.2258064516129032E-3</v>
      </c>
    </row>
    <row r="36" spans="1:4" x14ac:dyDescent="0.2">
      <c r="A36" s="982" t="s">
        <v>45</v>
      </c>
      <c r="B36" s="983"/>
      <c r="C36" s="313">
        <f>SUM(C27:C33)</f>
        <v>62000000</v>
      </c>
      <c r="D36" s="859">
        <f t="shared" si="1"/>
        <v>1</v>
      </c>
    </row>
  </sheetData>
  <mergeCells count="4">
    <mergeCell ref="B8:D8"/>
    <mergeCell ref="B7:C7"/>
    <mergeCell ref="A20:B20"/>
    <mergeCell ref="A36:B36"/>
  </mergeCell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48"/>
  <sheetViews>
    <sheetView showGridLines="0" zoomScale="80" zoomScaleNormal="80" workbookViewId="0">
      <pane xSplit="2" ySplit="9" topLeftCell="C23" activePane="bottomRight" state="frozen"/>
      <selection pane="topRight" activeCell="C1" sqref="C1"/>
      <selection pane="bottomLeft" activeCell="A10" sqref="A10"/>
      <selection pane="bottomRight" activeCell="B41" sqref="B41"/>
    </sheetView>
  </sheetViews>
  <sheetFormatPr defaultColWidth="9.140625" defaultRowHeight="12.75" x14ac:dyDescent="0.2"/>
  <cols>
    <col min="1" max="1" width="8.85546875" style="724" customWidth="1"/>
    <col min="2" max="2" width="41.140625" style="782" customWidth="1"/>
    <col min="3" max="3" width="15.140625" style="783" customWidth="1"/>
    <col min="4" max="4" width="8.28515625" style="144" bestFit="1" customWidth="1"/>
    <col min="5" max="5" width="8.140625" style="144" bestFit="1" customWidth="1"/>
    <col min="6" max="6" width="10.5703125" style="144" bestFit="1" customWidth="1"/>
    <col min="7" max="7" width="8.140625" style="144" bestFit="1" customWidth="1"/>
    <col min="8" max="8" width="8.7109375" style="144" bestFit="1" customWidth="1"/>
    <col min="9" max="9" width="10.5703125" style="144" bestFit="1" customWidth="1"/>
    <col min="10" max="10" width="10" style="144" customWidth="1"/>
    <col min="11" max="11" width="8.5703125" style="144" bestFit="1" customWidth="1"/>
    <col min="12" max="12" width="10.5703125" style="144" bestFit="1" customWidth="1"/>
    <col min="13" max="13" width="11" style="144" bestFit="1" customWidth="1"/>
    <col min="14" max="14" width="12.85546875" style="144" bestFit="1" customWidth="1"/>
    <col min="15" max="15" width="10.5703125" style="144" bestFit="1" customWidth="1"/>
    <col min="16" max="16" width="12.42578125" style="144" bestFit="1" customWidth="1"/>
    <col min="17" max="17" width="10.5703125" style="144" bestFit="1" customWidth="1"/>
    <col min="18" max="18" width="11" style="144" bestFit="1" customWidth="1"/>
    <col min="19" max="20" width="12.42578125" style="144" bestFit="1" customWidth="1"/>
    <col min="21" max="21" width="12" style="144" bestFit="1" customWidth="1"/>
    <col min="22" max="22" width="12.85546875" style="144" bestFit="1" customWidth="1"/>
    <col min="23" max="24" width="12.42578125" style="144" bestFit="1" customWidth="1"/>
    <col min="25" max="26" width="12" style="144" bestFit="1" customWidth="1"/>
    <col min="27" max="27" width="12.42578125" style="144" bestFit="1" customWidth="1"/>
    <col min="28" max="28" width="12" style="144" bestFit="1" customWidth="1"/>
    <col min="29" max="29" width="12.42578125" style="144" bestFit="1" customWidth="1"/>
    <col min="30" max="31" width="12" style="144" bestFit="1" customWidth="1"/>
    <col min="32" max="33" width="12.42578125" style="144" bestFit="1" customWidth="1"/>
    <col min="34" max="34" width="12.85546875" style="144" bestFit="1" customWidth="1"/>
    <col min="35" max="35" width="12.42578125" style="144" bestFit="1" customWidth="1"/>
    <col min="36" max="39" width="12.85546875" style="144" bestFit="1" customWidth="1"/>
    <col min="40" max="41" width="12.42578125" style="144" bestFit="1" customWidth="1"/>
    <col min="42" max="42" width="12" style="144" bestFit="1" customWidth="1"/>
    <col min="43" max="44" width="11" style="144" bestFit="1" customWidth="1"/>
    <col min="45" max="45" width="11.140625" style="144" bestFit="1" customWidth="1"/>
    <col min="46" max="46" width="11" style="144" bestFit="1" customWidth="1"/>
    <col min="47" max="47" width="12.7109375" style="144" customWidth="1"/>
    <col min="48" max="48" width="11" style="144" bestFit="1" customWidth="1"/>
    <col min="49" max="49" width="10.140625" style="144" bestFit="1" customWidth="1"/>
    <col min="50" max="50" width="10.5703125" style="144" bestFit="1" customWidth="1"/>
    <col min="51" max="51" width="12.42578125" style="144" bestFit="1" customWidth="1"/>
    <col min="52" max="52" width="9.28515625" style="779" bestFit="1" customWidth="1"/>
    <col min="53" max="53" width="9.7109375" style="779" bestFit="1" customWidth="1"/>
    <col min="54" max="54" width="10.5703125" style="779" bestFit="1" customWidth="1"/>
    <col min="55" max="55" width="9.7109375" style="779" bestFit="1" customWidth="1"/>
    <col min="56" max="56" width="9.28515625" style="779" customWidth="1"/>
    <col min="57" max="57" width="10.5703125" style="779" bestFit="1" customWidth="1"/>
    <col min="58" max="58" width="10.140625" style="779" bestFit="1" customWidth="1"/>
    <col min="59" max="59" width="9.28515625" style="779" bestFit="1" customWidth="1"/>
    <col min="60" max="60" width="10.5703125" style="779" bestFit="1" customWidth="1"/>
    <col min="61" max="62" width="9.28515625" style="779" bestFit="1" customWidth="1"/>
    <col min="63" max="63" width="12.42578125" style="779" bestFit="1" customWidth="1"/>
    <col min="64" max="64" width="13.140625" style="780" customWidth="1"/>
    <col min="65" max="65" width="6.28515625" style="780" hidden="1" customWidth="1"/>
    <col min="66" max="66" width="15.28515625" style="890" customWidth="1"/>
    <col min="67" max="16384" width="9.140625" style="144"/>
  </cols>
  <sheetData>
    <row r="1" spans="1:66" x14ac:dyDescent="0.2">
      <c r="A1" s="785" t="s">
        <v>188</v>
      </c>
      <c r="B1" s="785"/>
      <c r="C1" s="786"/>
    </row>
    <row r="2" spans="1:66" x14ac:dyDescent="0.2">
      <c r="A2" s="785" t="s">
        <v>46</v>
      </c>
      <c r="B2" s="785"/>
      <c r="C2" s="786"/>
    </row>
    <row r="3" spans="1:66" x14ac:dyDescent="0.2">
      <c r="A3" s="785"/>
      <c r="B3" s="785"/>
      <c r="C3" s="787"/>
    </row>
    <row r="4" spans="1:66" x14ac:dyDescent="0.2">
      <c r="A4" s="785" t="str">
        <f>'4. CC D'!A4</f>
        <v>Operación: Programa de Mejoramiento de Caminos Vecinales II (PMCV)</v>
      </c>
      <c r="B4" s="785"/>
      <c r="C4" s="786"/>
    </row>
    <row r="5" spans="1:66" x14ac:dyDescent="0.2">
      <c r="A5" s="785"/>
      <c r="B5" s="785"/>
      <c r="C5" s="786"/>
    </row>
    <row r="6" spans="1:66" x14ac:dyDescent="0.2">
      <c r="A6" s="785" t="s">
        <v>175</v>
      </c>
      <c r="B6" s="785"/>
      <c r="C6" s="786"/>
    </row>
    <row r="7" spans="1:66" s="264" customFormat="1" x14ac:dyDescent="0.2">
      <c r="A7" s="984" t="s">
        <v>47</v>
      </c>
      <c r="B7" s="985"/>
      <c r="C7" s="185"/>
      <c r="D7" s="973" t="s">
        <v>40</v>
      </c>
      <c r="E7" s="973"/>
      <c r="F7" s="973"/>
      <c r="G7" s="973"/>
      <c r="H7" s="973"/>
      <c r="I7" s="973"/>
      <c r="J7" s="973"/>
      <c r="K7" s="973"/>
      <c r="L7" s="973"/>
      <c r="M7" s="973"/>
      <c r="N7" s="973"/>
      <c r="O7" s="973"/>
      <c r="P7" s="973" t="s">
        <v>41</v>
      </c>
      <c r="Q7" s="973"/>
      <c r="R7" s="973"/>
      <c r="S7" s="973"/>
      <c r="T7" s="973"/>
      <c r="U7" s="973"/>
      <c r="V7" s="973"/>
      <c r="W7" s="973"/>
      <c r="X7" s="973"/>
      <c r="Y7" s="973"/>
      <c r="Z7" s="973"/>
      <c r="AA7" s="973"/>
      <c r="AB7" s="973" t="s">
        <v>42</v>
      </c>
      <c r="AC7" s="973"/>
      <c r="AD7" s="973"/>
      <c r="AE7" s="973"/>
      <c r="AF7" s="973"/>
      <c r="AG7" s="973"/>
      <c r="AH7" s="973"/>
      <c r="AI7" s="973"/>
      <c r="AJ7" s="973"/>
      <c r="AK7" s="973"/>
      <c r="AL7" s="973"/>
      <c r="AM7" s="973"/>
      <c r="AN7" s="973" t="s">
        <v>43</v>
      </c>
      <c r="AO7" s="973"/>
      <c r="AP7" s="973"/>
      <c r="AQ7" s="973"/>
      <c r="AR7" s="973"/>
      <c r="AS7" s="973"/>
      <c r="AT7" s="973"/>
      <c r="AU7" s="973"/>
      <c r="AV7" s="973"/>
      <c r="AW7" s="973"/>
      <c r="AX7" s="973"/>
      <c r="AY7" s="973"/>
      <c r="AZ7" s="973" t="s">
        <v>44</v>
      </c>
      <c r="BA7" s="973"/>
      <c r="BB7" s="973"/>
      <c r="BC7" s="973"/>
      <c r="BD7" s="973"/>
      <c r="BE7" s="973"/>
      <c r="BF7" s="973"/>
      <c r="BG7" s="973"/>
      <c r="BH7" s="973"/>
      <c r="BI7" s="973"/>
      <c r="BJ7" s="973"/>
      <c r="BK7" s="973"/>
      <c r="BL7" s="780"/>
      <c r="BM7" s="780"/>
      <c r="BN7" s="210"/>
    </row>
    <row r="8" spans="1:66" s="264" customFormat="1" x14ac:dyDescent="0.2">
      <c r="A8" s="986"/>
      <c r="B8" s="987"/>
      <c r="C8" s="185"/>
      <c r="D8" s="973" t="s">
        <v>228</v>
      </c>
      <c r="E8" s="973"/>
      <c r="F8" s="973"/>
      <c r="G8" s="973" t="s">
        <v>232</v>
      </c>
      <c r="H8" s="973"/>
      <c r="I8" s="973"/>
      <c r="J8" s="973" t="s">
        <v>236</v>
      </c>
      <c r="K8" s="973"/>
      <c r="L8" s="973"/>
      <c r="M8" s="973" t="s">
        <v>240</v>
      </c>
      <c r="N8" s="973"/>
      <c r="O8" s="973"/>
      <c r="P8" s="973" t="s">
        <v>228</v>
      </c>
      <c r="Q8" s="973"/>
      <c r="R8" s="973"/>
      <c r="S8" s="973" t="s">
        <v>232</v>
      </c>
      <c r="T8" s="973"/>
      <c r="U8" s="973"/>
      <c r="V8" s="973" t="s">
        <v>236</v>
      </c>
      <c r="W8" s="973"/>
      <c r="X8" s="973"/>
      <c r="Y8" s="973" t="s">
        <v>240</v>
      </c>
      <c r="Z8" s="973"/>
      <c r="AA8" s="973"/>
      <c r="AB8" s="973" t="s">
        <v>228</v>
      </c>
      <c r="AC8" s="973"/>
      <c r="AD8" s="973"/>
      <c r="AE8" s="973" t="s">
        <v>232</v>
      </c>
      <c r="AF8" s="973"/>
      <c r="AG8" s="973"/>
      <c r="AH8" s="973" t="s">
        <v>236</v>
      </c>
      <c r="AI8" s="973"/>
      <c r="AJ8" s="973"/>
      <c r="AK8" s="973" t="s">
        <v>240</v>
      </c>
      <c r="AL8" s="973"/>
      <c r="AM8" s="973"/>
      <c r="AN8" s="973" t="s">
        <v>228</v>
      </c>
      <c r="AO8" s="973"/>
      <c r="AP8" s="973"/>
      <c r="AQ8" s="973" t="s">
        <v>232</v>
      </c>
      <c r="AR8" s="973"/>
      <c r="AS8" s="973"/>
      <c r="AT8" s="973" t="s">
        <v>236</v>
      </c>
      <c r="AU8" s="973"/>
      <c r="AV8" s="973"/>
      <c r="AW8" s="973" t="s">
        <v>240</v>
      </c>
      <c r="AX8" s="973"/>
      <c r="AY8" s="973"/>
      <c r="AZ8" s="973" t="s">
        <v>228</v>
      </c>
      <c r="BA8" s="973"/>
      <c r="BB8" s="973"/>
      <c r="BC8" s="973" t="s">
        <v>232</v>
      </c>
      <c r="BD8" s="973"/>
      <c r="BE8" s="973"/>
      <c r="BF8" s="973" t="s">
        <v>236</v>
      </c>
      <c r="BG8" s="973"/>
      <c r="BH8" s="973"/>
      <c r="BI8" s="973" t="s">
        <v>240</v>
      </c>
      <c r="BJ8" s="973"/>
      <c r="BK8" s="973"/>
      <c r="BL8" s="780"/>
      <c r="BM8" s="780"/>
      <c r="BN8" s="210"/>
    </row>
    <row r="9" spans="1:66" s="264" customFormat="1" x14ac:dyDescent="0.2">
      <c r="A9" s="986"/>
      <c r="B9" s="987"/>
      <c r="C9" s="185"/>
      <c r="D9" s="752" t="s">
        <v>470</v>
      </c>
      <c r="E9" s="752" t="s">
        <v>471</v>
      </c>
      <c r="F9" s="752" t="s">
        <v>472</v>
      </c>
      <c r="G9" s="752" t="s">
        <v>473</v>
      </c>
      <c r="H9" s="752" t="s">
        <v>474</v>
      </c>
      <c r="I9" s="752" t="s">
        <v>475</v>
      </c>
      <c r="J9" s="752" t="s">
        <v>476</v>
      </c>
      <c r="K9" s="752" t="s">
        <v>477</v>
      </c>
      <c r="L9" s="752" t="s">
        <v>478</v>
      </c>
      <c r="M9" s="752" t="s">
        <v>479</v>
      </c>
      <c r="N9" s="752" t="s">
        <v>480</v>
      </c>
      <c r="O9" s="752" t="s">
        <v>481</v>
      </c>
      <c r="P9" s="752" t="s">
        <v>482</v>
      </c>
      <c r="Q9" s="752" t="s">
        <v>483</v>
      </c>
      <c r="R9" s="752" t="s">
        <v>484</v>
      </c>
      <c r="S9" s="752" t="s">
        <v>485</v>
      </c>
      <c r="T9" s="752" t="s">
        <v>486</v>
      </c>
      <c r="U9" s="752" t="s">
        <v>487</v>
      </c>
      <c r="V9" s="752" t="s">
        <v>488</v>
      </c>
      <c r="W9" s="752" t="s">
        <v>490</v>
      </c>
      <c r="X9" s="752" t="s">
        <v>491</v>
      </c>
      <c r="Y9" s="752" t="s">
        <v>492</v>
      </c>
      <c r="Z9" s="752" t="s">
        <v>493</v>
      </c>
      <c r="AA9" s="752" t="s">
        <v>494</v>
      </c>
      <c r="AB9" s="752" t="s">
        <v>495</v>
      </c>
      <c r="AC9" s="752" t="s">
        <v>496</v>
      </c>
      <c r="AD9" s="752" t="s">
        <v>497</v>
      </c>
      <c r="AE9" s="752" t="s">
        <v>498</v>
      </c>
      <c r="AF9" s="752" t="s">
        <v>499</v>
      </c>
      <c r="AG9" s="752" t="s">
        <v>500</v>
      </c>
      <c r="AH9" s="752" t="s">
        <v>501</v>
      </c>
      <c r="AI9" s="752" t="s">
        <v>502</v>
      </c>
      <c r="AJ9" s="752" t="s">
        <v>503</v>
      </c>
      <c r="AK9" s="752" t="s">
        <v>504</v>
      </c>
      <c r="AL9" s="752" t="s">
        <v>505</v>
      </c>
      <c r="AM9" s="752" t="s">
        <v>506</v>
      </c>
      <c r="AN9" s="752" t="s">
        <v>507</v>
      </c>
      <c r="AO9" s="752" t="s">
        <v>508</v>
      </c>
      <c r="AP9" s="752" t="s">
        <v>509</v>
      </c>
      <c r="AQ9" s="752" t="s">
        <v>510</v>
      </c>
      <c r="AR9" s="752" t="s">
        <v>511</v>
      </c>
      <c r="AS9" s="752" t="s">
        <v>512</v>
      </c>
      <c r="AT9" s="752" t="s">
        <v>513</v>
      </c>
      <c r="AU9" s="752" t="s">
        <v>514</v>
      </c>
      <c r="AV9" s="752" t="s">
        <v>515</v>
      </c>
      <c r="AW9" s="752" t="s">
        <v>516</v>
      </c>
      <c r="AX9" s="752" t="s">
        <v>517</v>
      </c>
      <c r="AY9" s="752" t="s">
        <v>518</v>
      </c>
      <c r="AZ9" s="752" t="s">
        <v>519</v>
      </c>
      <c r="BA9" s="752" t="s">
        <v>520</v>
      </c>
      <c r="BB9" s="752" t="s">
        <v>521</v>
      </c>
      <c r="BC9" s="752" t="s">
        <v>522</v>
      </c>
      <c r="BD9" s="752" t="s">
        <v>523</v>
      </c>
      <c r="BE9" s="752" t="s">
        <v>524</v>
      </c>
      <c r="BF9" s="752" t="s">
        <v>525</v>
      </c>
      <c r="BG9" s="752" t="s">
        <v>526</v>
      </c>
      <c r="BH9" s="752" t="s">
        <v>527</v>
      </c>
      <c r="BI9" s="752" t="s">
        <v>528</v>
      </c>
      <c r="BJ9" s="752" t="s">
        <v>529</v>
      </c>
      <c r="BK9" s="752" t="s">
        <v>530</v>
      </c>
      <c r="BL9" s="780"/>
      <c r="BM9" s="780"/>
      <c r="BN9" s="210"/>
    </row>
    <row r="10" spans="1:66" s="264" customFormat="1" x14ac:dyDescent="0.2">
      <c r="A10" s="986"/>
      <c r="B10" s="987"/>
      <c r="C10" s="407" t="s">
        <v>531</v>
      </c>
      <c r="D10" s="406">
        <f>caledario!D1</f>
        <v>42736</v>
      </c>
      <c r="E10" s="406">
        <f>caledario!D2</f>
        <v>42767</v>
      </c>
      <c r="F10" s="406">
        <f>caledario!D3</f>
        <v>42795</v>
      </c>
      <c r="G10" s="406">
        <f>caledario!D4</f>
        <v>42826</v>
      </c>
      <c r="H10" s="406">
        <f>caledario!D5</f>
        <v>42856</v>
      </c>
      <c r="I10" s="406">
        <f>caledario!D6</f>
        <v>42887</v>
      </c>
      <c r="J10" s="406">
        <f>caledario!D7</f>
        <v>42917</v>
      </c>
      <c r="K10" s="406">
        <f>caledario!D8</f>
        <v>42948</v>
      </c>
      <c r="L10" s="406">
        <f>caledario!D9</f>
        <v>42979</v>
      </c>
      <c r="M10" s="406">
        <f>caledario!D10</f>
        <v>43009</v>
      </c>
      <c r="N10" s="406">
        <f>caledario!D11</f>
        <v>43040</v>
      </c>
      <c r="O10" s="406">
        <f>caledario!D12</f>
        <v>43070</v>
      </c>
      <c r="P10" s="406">
        <f>caledario!D13</f>
        <v>43101</v>
      </c>
      <c r="Q10" s="406">
        <f>caledario!D14</f>
        <v>43132</v>
      </c>
      <c r="R10" s="406">
        <f>caledario!D15</f>
        <v>43160</v>
      </c>
      <c r="S10" s="406">
        <f>caledario!D16</f>
        <v>43191</v>
      </c>
      <c r="T10" s="406">
        <f>caledario!D17</f>
        <v>43221</v>
      </c>
      <c r="U10" s="406">
        <f>caledario!D18</f>
        <v>43252</v>
      </c>
      <c r="V10" s="406">
        <f>caledario!D19</f>
        <v>43282</v>
      </c>
      <c r="W10" s="406">
        <f>caledario!D20</f>
        <v>43313</v>
      </c>
      <c r="X10" s="406">
        <f>caledario!D21</f>
        <v>43344</v>
      </c>
      <c r="Y10" s="406">
        <f>caledario!D22</f>
        <v>43374</v>
      </c>
      <c r="Z10" s="406">
        <f>caledario!D23</f>
        <v>43405</v>
      </c>
      <c r="AA10" s="406">
        <f>caledario!D24</f>
        <v>43435</v>
      </c>
      <c r="AB10" s="406">
        <f>caledario!D25</f>
        <v>43466</v>
      </c>
      <c r="AC10" s="406">
        <f>caledario!D26</f>
        <v>43497</v>
      </c>
      <c r="AD10" s="406">
        <f>caledario!D27</f>
        <v>43525</v>
      </c>
      <c r="AE10" s="406">
        <f>caledario!D28</f>
        <v>43556</v>
      </c>
      <c r="AF10" s="406">
        <f>caledario!D29</f>
        <v>43586</v>
      </c>
      <c r="AG10" s="406">
        <f>caledario!D30</f>
        <v>43617</v>
      </c>
      <c r="AH10" s="406">
        <f>caledario!D31</f>
        <v>43647</v>
      </c>
      <c r="AI10" s="406">
        <f>caledario!D32</f>
        <v>43678</v>
      </c>
      <c r="AJ10" s="406">
        <f>caledario!D33</f>
        <v>43709</v>
      </c>
      <c r="AK10" s="406">
        <f>caledario!D34</f>
        <v>43739</v>
      </c>
      <c r="AL10" s="406">
        <f>caledario!D35</f>
        <v>43770</v>
      </c>
      <c r="AM10" s="406">
        <f>caledario!D36</f>
        <v>43800</v>
      </c>
      <c r="AN10" s="406">
        <f>caledario!D37</f>
        <v>43831</v>
      </c>
      <c r="AO10" s="406">
        <f>caledario!D38</f>
        <v>43862</v>
      </c>
      <c r="AP10" s="406">
        <f>caledario!D39</f>
        <v>43891</v>
      </c>
      <c r="AQ10" s="406">
        <f>caledario!D40</f>
        <v>43922</v>
      </c>
      <c r="AR10" s="406">
        <f>caledario!D41</f>
        <v>43952</v>
      </c>
      <c r="AS10" s="406">
        <f>caledario!D42</f>
        <v>43983</v>
      </c>
      <c r="AT10" s="406">
        <f>caledario!D43</f>
        <v>44013</v>
      </c>
      <c r="AU10" s="406">
        <f>caledario!D44</f>
        <v>44044</v>
      </c>
      <c r="AV10" s="406">
        <f>caledario!D45</f>
        <v>44075</v>
      </c>
      <c r="AW10" s="406">
        <f>caledario!D46</f>
        <v>44105</v>
      </c>
      <c r="AX10" s="406">
        <f>caledario!D47</f>
        <v>44136</v>
      </c>
      <c r="AY10" s="406">
        <f>caledario!D48</f>
        <v>44166</v>
      </c>
      <c r="AZ10" s="406">
        <f>caledario!D49</f>
        <v>44197</v>
      </c>
      <c r="BA10" s="406">
        <f>caledario!D50</f>
        <v>44228</v>
      </c>
      <c r="BB10" s="406">
        <f>caledario!D51</f>
        <v>44256</v>
      </c>
      <c r="BC10" s="406">
        <f>caledario!D52</f>
        <v>44287</v>
      </c>
      <c r="BD10" s="406">
        <f>caledario!D53</f>
        <v>44317</v>
      </c>
      <c r="BE10" s="406">
        <f>caledario!D54</f>
        <v>44348</v>
      </c>
      <c r="BF10" s="406">
        <f>caledario!D55</f>
        <v>44378</v>
      </c>
      <c r="BG10" s="406">
        <f>caledario!D56</f>
        <v>44409</v>
      </c>
      <c r="BH10" s="406">
        <f>caledario!D57</f>
        <v>44440</v>
      </c>
      <c r="BI10" s="406">
        <f>caledario!D58</f>
        <v>44470</v>
      </c>
      <c r="BJ10" s="406">
        <f>caledario!D59</f>
        <v>44501</v>
      </c>
      <c r="BK10" s="406">
        <f>caledario!D60</f>
        <v>44531</v>
      </c>
      <c r="BL10" s="780"/>
      <c r="BM10" s="780"/>
      <c r="BN10" s="210"/>
    </row>
    <row r="11" spans="1:66" s="205" customFormat="1" ht="25.5" x14ac:dyDescent="0.2">
      <c r="A11" s="395">
        <f>'3. PEP'!A25</f>
        <v>0</v>
      </c>
      <c r="B11" s="174" t="str">
        <f>'3. PEP'!B25</f>
        <v xml:space="preserve">Programa de Mejoramiento de Caminos Vecinales II (PMCV) </v>
      </c>
      <c r="C11" s="557">
        <f>'3. PEP'!G25</f>
        <v>62000000</v>
      </c>
      <c r="D11" s="557">
        <f>+D12+D35</f>
        <v>0</v>
      </c>
      <c r="E11" s="557">
        <f t="shared" ref="E11:BK11" si="0">+E12+E35</f>
        <v>0</v>
      </c>
      <c r="F11" s="557">
        <f t="shared" si="0"/>
        <v>150000</v>
      </c>
      <c r="G11" s="557">
        <f t="shared" si="0"/>
        <v>0</v>
      </c>
      <c r="H11" s="557">
        <f t="shared" si="0"/>
        <v>0</v>
      </c>
      <c r="I11" s="557">
        <f t="shared" si="0"/>
        <v>150000</v>
      </c>
      <c r="J11" s="557">
        <f t="shared" si="0"/>
        <v>176441</v>
      </c>
      <c r="K11" s="557">
        <f t="shared" si="0"/>
        <v>0</v>
      </c>
      <c r="L11" s="557">
        <f t="shared" si="0"/>
        <v>150000</v>
      </c>
      <c r="M11" s="557">
        <f t="shared" si="0"/>
        <v>38204</v>
      </c>
      <c r="N11" s="557">
        <f t="shared" si="0"/>
        <v>2524500</v>
      </c>
      <c r="O11" s="557">
        <f t="shared" si="0"/>
        <v>289465</v>
      </c>
      <c r="P11" s="557">
        <f t="shared" si="0"/>
        <v>3278415</v>
      </c>
      <c r="Q11" s="557">
        <f t="shared" si="0"/>
        <v>650454</v>
      </c>
      <c r="R11" s="557">
        <f t="shared" si="0"/>
        <v>765618</v>
      </c>
      <c r="S11" s="557">
        <f t="shared" si="0"/>
        <v>1611579</v>
      </c>
      <c r="T11" s="557">
        <f t="shared" si="0"/>
        <v>1068253</v>
      </c>
      <c r="U11" s="557">
        <f t="shared" si="0"/>
        <v>1236013</v>
      </c>
      <c r="V11" s="557">
        <f t="shared" si="0"/>
        <v>2731229.4</v>
      </c>
      <c r="W11" s="557">
        <f t="shared" si="0"/>
        <v>1634933</v>
      </c>
      <c r="X11" s="557">
        <f t="shared" si="0"/>
        <v>1862470</v>
      </c>
      <c r="Y11" s="557">
        <f t="shared" si="0"/>
        <v>2049611.4</v>
      </c>
      <c r="Z11" s="557">
        <f t="shared" si="0"/>
        <v>1583670</v>
      </c>
      <c r="AA11" s="557">
        <f t="shared" si="0"/>
        <v>1656640</v>
      </c>
      <c r="AB11" s="557">
        <f t="shared" si="0"/>
        <v>6597163.9000000004</v>
      </c>
      <c r="AC11" s="557">
        <f t="shared" si="0"/>
        <v>1414521</v>
      </c>
      <c r="AD11" s="557">
        <f t="shared" si="0"/>
        <v>1283558</v>
      </c>
      <c r="AE11" s="557">
        <f t="shared" si="0"/>
        <v>1467794.4</v>
      </c>
      <c r="AF11" s="557">
        <f t="shared" si="0"/>
        <v>1300651</v>
      </c>
      <c r="AG11" s="557">
        <f t="shared" si="0"/>
        <v>1481064</v>
      </c>
      <c r="AH11" s="557">
        <f t="shared" si="0"/>
        <v>2505810.9</v>
      </c>
      <c r="AI11" s="557">
        <f t="shared" si="0"/>
        <v>2031186</v>
      </c>
      <c r="AJ11" s="557">
        <f t="shared" si="0"/>
        <v>2390400</v>
      </c>
      <c r="AK11" s="557">
        <f t="shared" si="0"/>
        <v>2396918</v>
      </c>
      <c r="AL11" s="557">
        <f t="shared" si="0"/>
        <v>2271225</v>
      </c>
      <c r="AM11" s="557">
        <f t="shared" si="0"/>
        <v>2472550</v>
      </c>
      <c r="AN11" s="557">
        <f t="shared" si="0"/>
        <v>2305155.5</v>
      </c>
      <c r="AO11" s="557">
        <f t="shared" si="0"/>
        <v>1544565</v>
      </c>
      <c r="AP11" s="557">
        <f t="shared" si="0"/>
        <v>1265885</v>
      </c>
      <c r="AQ11" s="557">
        <f t="shared" si="0"/>
        <v>792648</v>
      </c>
      <c r="AR11" s="557">
        <f t="shared" si="0"/>
        <v>517195</v>
      </c>
      <c r="AS11" s="557">
        <f t="shared" si="0"/>
        <v>599870</v>
      </c>
      <c r="AT11" s="557">
        <f t="shared" si="0"/>
        <v>833551.5</v>
      </c>
      <c r="AU11" s="557">
        <f t="shared" si="0"/>
        <v>159075</v>
      </c>
      <c r="AV11" s="557">
        <f t="shared" si="0"/>
        <v>309075</v>
      </c>
      <c r="AW11" s="557">
        <f t="shared" si="0"/>
        <v>234443</v>
      </c>
      <c r="AX11" s="557">
        <f t="shared" si="0"/>
        <v>143250</v>
      </c>
      <c r="AY11" s="557">
        <f t="shared" si="0"/>
        <v>242599</v>
      </c>
      <c r="AZ11" s="557">
        <f t="shared" si="0"/>
        <v>396885.5</v>
      </c>
      <c r="BA11" s="557">
        <f t="shared" si="0"/>
        <v>4000</v>
      </c>
      <c r="BB11" s="557">
        <f t="shared" si="0"/>
        <v>150000</v>
      </c>
      <c r="BC11" s="557">
        <f t="shared" si="0"/>
        <v>114193</v>
      </c>
      <c r="BD11" s="557">
        <f t="shared" si="0"/>
        <v>23000</v>
      </c>
      <c r="BE11" s="557">
        <f t="shared" si="0"/>
        <v>180000</v>
      </c>
      <c r="BF11" s="557">
        <f t="shared" si="0"/>
        <v>396885.5</v>
      </c>
      <c r="BG11" s="557">
        <f t="shared" si="0"/>
        <v>19000</v>
      </c>
      <c r="BH11" s="557">
        <f t="shared" si="0"/>
        <v>150000</v>
      </c>
      <c r="BI11" s="557">
        <f t="shared" si="0"/>
        <v>134193</v>
      </c>
      <c r="BJ11" s="557">
        <f t="shared" si="0"/>
        <v>8000</v>
      </c>
      <c r="BK11" s="557">
        <f t="shared" si="0"/>
        <v>256193</v>
      </c>
      <c r="BL11" s="557">
        <f>+BL12+BL35</f>
        <v>62000000</v>
      </c>
      <c r="BM11" s="557">
        <f t="shared" ref="BM11" si="1">C11-BL11</f>
        <v>0</v>
      </c>
      <c r="BN11" s="210"/>
    </row>
    <row r="12" spans="1:66" s="781" customFormat="1" x14ac:dyDescent="0.2">
      <c r="A12" s="314" t="str">
        <f>'3. PEP'!A26</f>
        <v>1.</v>
      </c>
      <c r="B12" s="224" t="str">
        <f>'3. PEP'!B26</f>
        <v>Componente I. Obras Civiles y Supervisión</v>
      </c>
      <c r="C12" s="757">
        <f>'3. PEP'!G26</f>
        <v>58220000</v>
      </c>
      <c r="D12" s="757">
        <f>+D13+D19+D26+D32</f>
        <v>0</v>
      </c>
      <c r="E12" s="757">
        <f t="shared" ref="E12:BL12" si="2">+E13+E19+E26+E32</f>
        <v>0</v>
      </c>
      <c r="F12" s="757">
        <f t="shared" si="2"/>
        <v>0</v>
      </c>
      <c r="G12" s="757">
        <f t="shared" si="2"/>
        <v>0</v>
      </c>
      <c r="H12" s="757">
        <f t="shared" si="2"/>
        <v>0</v>
      </c>
      <c r="I12" s="757">
        <f t="shared" si="2"/>
        <v>0</v>
      </c>
      <c r="J12" s="757">
        <f t="shared" si="2"/>
        <v>176441</v>
      </c>
      <c r="K12" s="757">
        <f t="shared" si="2"/>
        <v>0</v>
      </c>
      <c r="L12" s="757">
        <f t="shared" si="2"/>
        <v>0</v>
      </c>
      <c r="M12" s="757">
        <f t="shared" si="2"/>
        <v>38204</v>
      </c>
      <c r="N12" s="757">
        <f t="shared" si="2"/>
        <v>2519500</v>
      </c>
      <c r="O12" s="757">
        <f t="shared" si="2"/>
        <v>139465</v>
      </c>
      <c r="P12" s="757">
        <f t="shared" si="2"/>
        <v>3278415</v>
      </c>
      <c r="Q12" s="757">
        <f t="shared" si="2"/>
        <v>641454</v>
      </c>
      <c r="R12" s="757">
        <f t="shared" si="2"/>
        <v>615618</v>
      </c>
      <c r="S12" s="757">
        <f t="shared" si="2"/>
        <v>1518079</v>
      </c>
      <c r="T12" s="757">
        <f t="shared" si="2"/>
        <v>1055253</v>
      </c>
      <c r="U12" s="757">
        <f t="shared" si="2"/>
        <v>1086013</v>
      </c>
      <c r="V12" s="757">
        <f t="shared" si="2"/>
        <v>2731229.4</v>
      </c>
      <c r="W12" s="757">
        <f t="shared" si="2"/>
        <v>1574433</v>
      </c>
      <c r="X12" s="757">
        <f t="shared" si="2"/>
        <v>1697470</v>
      </c>
      <c r="Y12" s="757">
        <f t="shared" si="2"/>
        <v>2036611.4</v>
      </c>
      <c r="Z12" s="757">
        <f t="shared" si="2"/>
        <v>1546170</v>
      </c>
      <c r="AA12" s="757">
        <f t="shared" si="2"/>
        <v>1432640</v>
      </c>
      <c r="AB12" s="757">
        <f t="shared" si="2"/>
        <v>6597163.9000000004</v>
      </c>
      <c r="AC12" s="757">
        <f t="shared" si="2"/>
        <v>1358021</v>
      </c>
      <c r="AD12" s="757">
        <f t="shared" si="2"/>
        <v>1118558</v>
      </c>
      <c r="AE12" s="757">
        <f t="shared" si="2"/>
        <v>1446794.4</v>
      </c>
      <c r="AF12" s="757">
        <f t="shared" si="2"/>
        <v>1287651</v>
      </c>
      <c r="AG12" s="757">
        <f t="shared" si="2"/>
        <v>1283564</v>
      </c>
      <c r="AH12" s="757">
        <f t="shared" si="2"/>
        <v>2490810.9</v>
      </c>
      <c r="AI12" s="757">
        <f t="shared" si="2"/>
        <v>2006186</v>
      </c>
      <c r="AJ12" s="757">
        <f t="shared" si="2"/>
        <v>2227400</v>
      </c>
      <c r="AK12" s="757">
        <f t="shared" si="2"/>
        <v>2364418</v>
      </c>
      <c r="AL12" s="757">
        <f t="shared" si="2"/>
        <v>2271225</v>
      </c>
      <c r="AM12" s="757">
        <f t="shared" si="2"/>
        <v>2302550</v>
      </c>
      <c r="AN12" s="757">
        <f t="shared" si="2"/>
        <v>2305155.5</v>
      </c>
      <c r="AO12" s="757">
        <f t="shared" si="2"/>
        <v>1527565</v>
      </c>
      <c r="AP12" s="757">
        <f t="shared" si="2"/>
        <v>1115885</v>
      </c>
      <c r="AQ12" s="757">
        <f t="shared" si="2"/>
        <v>779648</v>
      </c>
      <c r="AR12" s="757">
        <f t="shared" si="2"/>
        <v>494195</v>
      </c>
      <c r="AS12" s="757">
        <f t="shared" si="2"/>
        <v>436870</v>
      </c>
      <c r="AT12" s="757">
        <f t="shared" si="2"/>
        <v>833551.5</v>
      </c>
      <c r="AU12" s="757">
        <f t="shared" si="2"/>
        <v>159075</v>
      </c>
      <c r="AV12" s="757">
        <f t="shared" si="2"/>
        <v>159075</v>
      </c>
      <c r="AW12" s="757">
        <f t="shared" si="2"/>
        <v>234443</v>
      </c>
      <c r="AX12" s="757">
        <f t="shared" si="2"/>
        <v>128250</v>
      </c>
      <c r="AY12" s="757">
        <f t="shared" si="2"/>
        <v>92599</v>
      </c>
      <c r="AZ12" s="757">
        <f t="shared" si="2"/>
        <v>396885.5</v>
      </c>
      <c r="BA12" s="757">
        <f t="shared" si="2"/>
        <v>0</v>
      </c>
      <c r="BB12" s="757">
        <f t="shared" si="2"/>
        <v>0</v>
      </c>
      <c r="BC12" s="757">
        <f t="shared" si="2"/>
        <v>106193</v>
      </c>
      <c r="BD12" s="757">
        <f t="shared" si="2"/>
        <v>0</v>
      </c>
      <c r="BE12" s="757">
        <f t="shared" si="2"/>
        <v>0</v>
      </c>
      <c r="BF12" s="757">
        <f t="shared" si="2"/>
        <v>396885.5</v>
      </c>
      <c r="BG12" s="757">
        <f t="shared" si="2"/>
        <v>0</v>
      </c>
      <c r="BH12" s="757">
        <f t="shared" si="2"/>
        <v>0</v>
      </c>
      <c r="BI12" s="757">
        <f t="shared" si="2"/>
        <v>106193</v>
      </c>
      <c r="BJ12" s="757">
        <f t="shared" si="2"/>
        <v>0</v>
      </c>
      <c r="BK12" s="757">
        <f t="shared" si="2"/>
        <v>106193</v>
      </c>
      <c r="BL12" s="757">
        <f t="shared" si="2"/>
        <v>58220000</v>
      </c>
      <c r="BM12" s="757">
        <f t="shared" ref="BM12:BM34" si="3">C12-BL12</f>
        <v>0</v>
      </c>
      <c r="BN12" s="891"/>
    </row>
    <row r="13" spans="1:66" s="781" customFormat="1" ht="25.5" x14ac:dyDescent="0.2">
      <c r="A13" s="847">
        <f>'3. PEP'!A27</f>
        <v>1.1000000000000001</v>
      </c>
      <c r="B13" s="219" t="str">
        <f>'3. PEP'!B27</f>
        <v xml:space="preserve">Producto 1: 165 Km de Caminos Vecinales mejorados </v>
      </c>
      <c r="C13" s="758">
        <f>'3. PEP'!G27</f>
        <v>42340000</v>
      </c>
      <c r="D13" s="758">
        <f>+D14+D15+D16+D17+D18</f>
        <v>0</v>
      </c>
      <c r="E13" s="758">
        <f t="shared" ref="E13:BK13" si="4">+E14+E15+E16+E17+E18</f>
        <v>0</v>
      </c>
      <c r="F13" s="758">
        <f t="shared" si="4"/>
        <v>0</v>
      </c>
      <c r="G13" s="758">
        <f t="shared" si="4"/>
        <v>0</v>
      </c>
      <c r="H13" s="758">
        <f t="shared" si="4"/>
        <v>0</v>
      </c>
      <c r="I13" s="758">
        <f t="shared" si="4"/>
        <v>0</v>
      </c>
      <c r="J13" s="758">
        <f t="shared" si="4"/>
        <v>0</v>
      </c>
      <c r="K13" s="758">
        <f t="shared" si="4"/>
        <v>0</v>
      </c>
      <c r="L13" s="758">
        <f t="shared" si="4"/>
        <v>0</v>
      </c>
      <c r="M13" s="758">
        <f t="shared" si="4"/>
        <v>0</v>
      </c>
      <c r="N13" s="758">
        <f t="shared" si="4"/>
        <v>364000</v>
      </c>
      <c r="O13" s="758">
        <f t="shared" si="4"/>
        <v>0</v>
      </c>
      <c r="P13" s="758">
        <f t="shared" si="4"/>
        <v>2727500</v>
      </c>
      <c r="Q13" s="758">
        <f t="shared" si="4"/>
        <v>295719</v>
      </c>
      <c r="R13" s="758">
        <f t="shared" si="4"/>
        <v>350488</v>
      </c>
      <c r="S13" s="758">
        <f t="shared" si="4"/>
        <v>1133256</v>
      </c>
      <c r="T13" s="758">
        <f t="shared" si="4"/>
        <v>569563</v>
      </c>
      <c r="U13" s="758">
        <f t="shared" si="4"/>
        <v>569563</v>
      </c>
      <c r="V13" s="758">
        <f t="shared" si="4"/>
        <v>1735713</v>
      </c>
      <c r="W13" s="758">
        <f t="shared" si="4"/>
        <v>1007713</v>
      </c>
      <c r="X13" s="758">
        <f t="shared" si="4"/>
        <v>1117250</v>
      </c>
      <c r="Y13" s="758">
        <f t="shared" si="4"/>
        <v>1117250</v>
      </c>
      <c r="Z13" s="758">
        <f t="shared" si="4"/>
        <v>1117250</v>
      </c>
      <c r="AA13" s="758">
        <f t="shared" si="4"/>
        <v>1117250</v>
      </c>
      <c r="AB13" s="758">
        <f t="shared" si="4"/>
        <v>6022675</v>
      </c>
      <c r="AC13" s="758">
        <f t="shared" si="4"/>
        <v>1234731</v>
      </c>
      <c r="AD13" s="758">
        <f t="shared" si="4"/>
        <v>1118558</v>
      </c>
      <c r="AE13" s="758">
        <f t="shared" si="4"/>
        <v>1002383</v>
      </c>
      <c r="AF13" s="758">
        <f t="shared" si="4"/>
        <v>1201551</v>
      </c>
      <c r="AG13" s="758">
        <f t="shared" si="4"/>
        <v>1201551</v>
      </c>
      <c r="AH13" s="758">
        <f t="shared" si="4"/>
        <v>2024757</v>
      </c>
      <c r="AI13" s="758">
        <f t="shared" si="4"/>
        <v>1893348</v>
      </c>
      <c r="AJ13" s="758">
        <f t="shared" si="4"/>
        <v>2099150</v>
      </c>
      <c r="AK13" s="758">
        <f t="shared" si="4"/>
        <v>2099150</v>
      </c>
      <c r="AL13" s="758">
        <f t="shared" si="4"/>
        <v>2099150</v>
      </c>
      <c r="AM13" s="758">
        <f t="shared" si="4"/>
        <v>2099150</v>
      </c>
      <c r="AN13" s="758">
        <f t="shared" si="4"/>
        <v>1687545</v>
      </c>
      <c r="AO13" s="758">
        <f t="shared" si="4"/>
        <v>1276015</v>
      </c>
      <c r="AP13" s="758">
        <f t="shared" si="4"/>
        <v>864335</v>
      </c>
      <c r="AQ13" s="758">
        <f t="shared" si="4"/>
        <v>452730</v>
      </c>
      <c r="AR13" s="758">
        <f t="shared" si="4"/>
        <v>246970</v>
      </c>
      <c r="AS13" s="758">
        <f t="shared" si="4"/>
        <v>246970</v>
      </c>
      <c r="AT13" s="758">
        <f t="shared" si="4"/>
        <v>246766</v>
      </c>
      <c r="AU13" s="758">
        <f t="shared" si="4"/>
        <v>0</v>
      </c>
      <c r="AV13" s="758">
        <f t="shared" si="4"/>
        <v>0</v>
      </c>
      <c r="AW13" s="758">
        <f t="shared" si="4"/>
        <v>0</v>
      </c>
      <c r="AX13" s="758">
        <f t="shared" si="4"/>
        <v>0</v>
      </c>
      <c r="AY13" s="758">
        <f t="shared" si="4"/>
        <v>0</v>
      </c>
      <c r="AZ13" s="758">
        <f t="shared" si="4"/>
        <v>0</v>
      </c>
      <c r="BA13" s="758">
        <f t="shared" si="4"/>
        <v>0</v>
      </c>
      <c r="BB13" s="758">
        <f t="shared" si="4"/>
        <v>0</v>
      </c>
      <c r="BC13" s="758">
        <f t="shared" si="4"/>
        <v>0</v>
      </c>
      <c r="BD13" s="758">
        <f t="shared" si="4"/>
        <v>0</v>
      </c>
      <c r="BE13" s="758">
        <f t="shared" si="4"/>
        <v>0</v>
      </c>
      <c r="BF13" s="758">
        <f t="shared" si="4"/>
        <v>0</v>
      </c>
      <c r="BG13" s="758">
        <f t="shared" si="4"/>
        <v>0</v>
      </c>
      <c r="BH13" s="758">
        <f t="shared" si="4"/>
        <v>0</v>
      </c>
      <c r="BI13" s="758">
        <f t="shared" si="4"/>
        <v>0</v>
      </c>
      <c r="BJ13" s="758">
        <f t="shared" si="4"/>
        <v>0</v>
      </c>
      <c r="BK13" s="758">
        <f t="shared" si="4"/>
        <v>0</v>
      </c>
      <c r="BL13" s="758">
        <f t="shared" ref="BL13:BL34" si="5">SUM(D13:BK13)</f>
        <v>42340000</v>
      </c>
      <c r="BM13" s="758">
        <f t="shared" si="3"/>
        <v>0</v>
      </c>
      <c r="BN13" s="891">
        <f t="shared" ref="BN13:BN41" si="6">+BL13-C13</f>
        <v>0</v>
      </c>
    </row>
    <row r="14" spans="1:66" s="781" customFormat="1" ht="51" x14ac:dyDescent="0.2">
      <c r="A14" s="315" t="str">
        <f>'3. PEP'!A28</f>
        <v>1.1.1</v>
      </c>
      <c r="B14" s="214" t="str">
        <f>'3. PEP'!B28</f>
        <v>Contratación de Firma Constructora para rehabilitación de Caminos Vecinales - Grupo 1: Itakyry - Arroyos y Esteros - Altos y Gral. Resquin. (65,51 Km)</v>
      </c>
      <c r="C14" s="759">
        <f>'3. PEP'!G28</f>
        <v>13200000</v>
      </c>
      <c r="D14" s="759">
        <v>0</v>
      </c>
      <c r="E14" s="759">
        <v>0</v>
      </c>
      <c r="F14" s="759">
        <v>0</v>
      </c>
      <c r="G14" s="759">
        <v>0</v>
      </c>
      <c r="H14" s="759">
        <v>0</v>
      </c>
      <c r="I14" s="759">
        <v>0</v>
      </c>
      <c r="J14" s="759">
        <v>0</v>
      </c>
      <c r="K14" s="759">
        <v>0</v>
      </c>
      <c r="L14" s="759">
        <v>0</v>
      </c>
      <c r="M14" s="759">
        <v>0</v>
      </c>
      <c r="N14" s="759">
        <v>0</v>
      </c>
      <c r="O14" s="759">
        <v>0</v>
      </c>
      <c r="P14" s="759">
        <f>'Caminos G1'!B46</f>
        <v>2640000</v>
      </c>
      <c r="Q14" s="759">
        <f>'Caminos G1'!C46</f>
        <v>264000</v>
      </c>
      <c r="R14" s="759">
        <f>'Caminos G1'!D46</f>
        <v>316800</v>
      </c>
      <c r="S14" s="759">
        <f>'Caminos G1'!E46</f>
        <v>369600</v>
      </c>
      <c r="T14" s="759">
        <f>'Caminos G1'!F46</f>
        <v>528000</v>
      </c>
      <c r="U14" s="759">
        <f>'Caminos G1'!G46</f>
        <v>528000</v>
      </c>
      <c r="V14" s="759">
        <f>'Caminos G1'!H46</f>
        <v>950400</v>
      </c>
      <c r="W14" s="759">
        <f>'Caminos G1'!I46</f>
        <v>950400</v>
      </c>
      <c r="X14" s="759">
        <f>'Caminos G1'!J46</f>
        <v>1056000</v>
      </c>
      <c r="Y14" s="759">
        <f>'Caminos G1'!K46</f>
        <v>1056000</v>
      </c>
      <c r="Z14" s="759">
        <f>'Caminos G1'!L46</f>
        <v>1056000</v>
      </c>
      <c r="AA14" s="759">
        <f>'Caminos G1'!M46</f>
        <v>1056000</v>
      </c>
      <c r="AB14" s="759">
        <f>'Caminos G1'!N46</f>
        <v>844800</v>
      </c>
      <c r="AC14" s="759">
        <f>'Caminos G1'!O46</f>
        <v>633600</v>
      </c>
      <c r="AD14" s="759">
        <f>'Caminos G1'!P46</f>
        <v>422400</v>
      </c>
      <c r="AE14" s="759">
        <f>'Caminos G1'!Q46</f>
        <v>211200</v>
      </c>
      <c r="AF14" s="759">
        <f>'Caminos G1'!R46</f>
        <v>105600</v>
      </c>
      <c r="AG14" s="759">
        <f>'Caminos G1'!S46</f>
        <v>105600</v>
      </c>
      <c r="AH14" s="759">
        <f>'Caminos G1'!T46</f>
        <v>105600</v>
      </c>
      <c r="AI14" s="759">
        <v>0</v>
      </c>
      <c r="AJ14" s="759">
        <v>0</v>
      </c>
      <c r="AK14" s="759">
        <v>0</v>
      </c>
      <c r="AL14" s="759">
        <v>0</v>
      </c>
      <c r="AM14" s="759">
        <v>0</v>
      </c>
      <c r="AN14" s="759">
        <v>0</v>
      </c>
      <c r="AO14" s="759">
        <v>0</v>
      </c>
      <c r="AP14" s="759">
        <v>0</v>
      </c>
      <c r="AQ14" s="759">
        <v>0</v>
      </c>
      <c r="AR14" s="759">
        <v>0</v>
      </c>
      <c r="AS14" s="759">
        <v>0</v>
      </c>
      <c r="AT14" s="759">
        <v>0</v>
      </c>
      <c r="AU14" s="759">
        <v>0</v>
      </c>
      <c r="AV14" s="759">
        <v>0</v>
      </c>
      <c r="AW14" s="759">
        <v>0</v>
      </c>
      <c r="AX14" s="759">
        <v>0</v>
      </c>
      <c r="AY14" s="759">
        <v>0</v>
      </c>
      <c r="AZ14" s="759">
        <v>0</v>
      </c>
      <c r="BA14" s="759">
        <v>0</v>
      </c>
      <c r="BB14" s="759">
        <v>0</v>
      </c>
      <c r="BC14" s="759">
        <v>0</v>
      </c>
      <c r="BD14" s="759">
        <v>0</v>
      </c>
      <c r="BE14" s="759">
        <v>0</v>
      </c>
      <c r="BF14" s="759">
        <v>0</v>
      </c>
      <c r="BG14" s="759">
        <v>0</v>
      </c>
      <c r="BH14" s="759">
        <v>0</v>
      </c>
      <c r="BI14" s="759">
        <v>0</v>
      </c>
      <c r="BJ14" s="759">
        <v>0</v>
      </c>
      <c r="BK14" s="759">
        <v>0</v>
      </c>
      <c r="BL14" s="759">
        <f t="shared" si="5"/>
        <v>13200000</v>
      </c>
      <c r="BM14" s="759">
        <f t="shared" si="3"/>
        <v>0</v>
      </c>
      <c r="BN14" s="891">
        <f t="shared" si="6"/>
        <v>0</v>
      </c>
    </row>
    <row r="15" spans="1:66" s="781" customFormat="1" ht="51" x14ac:dyDescent="0.2">
      <c r="A15" s="826" t="str">
        <f>'3. PEP'!A29</f>
        <v>1.1.2</v>
      </c>
      <c r="B15" s="214" t="str">
        <f>'3. PEP'!B29</f>
        <v>Contratación de Firma Constructora para rehabilitación de Caminos Vecinales - Grupo 2:  La Paz - Gral. Artigas Fram y illa Ygatimi Ype Jhu (99 Km)</v>
      </c>
      <c r="C15" s="759">
        <f>'3. PEP'!G29</f>
        <v>24800000</v>
      </c>
      <c r="D15" s="759">
        <v>0</v>
      </c>
      <c r="E15" s="759">
        <v>0</v>
      </c>
      <c r="F15" s="759">
        <v>0</v>
      </c>
      <c r="G15" s="759">
        <v>0</v>
      </c>
      <c r="H15" s="759">
        <v>0</v>
      </c>
      <c r="I15" s="759">
        <v>0</v>
      </c>
      <c r="J15" s="759">
        <v>0</v>
      </c>
      <c r="K15" s="759">
        <v>0</v>
      </c>
      <c r="L15" s="759">
        <v>0</v>
      </c>
      <c r="M15" s="759">
        <v>0</v>
      </c>
      <c r="N15" s="759">
        <v>0</v>
      </c>
      <c r="O15" s="759">
        <v>0</v>
      </c>
      <c r="P15" s="759">
        <v>0</v>
      </c>
      <c r="Q15" s="759">
        <v>0</v>
      </c>
      <c r="R15" s="759">
        <v>0</v>
      </c>
      <c r="S15" s="759">
        <v>0</v>
      </c>
      <c r="T15" s="759">
        <v>0</v>
      </c>
      <c r="U15" s="759">
        <v>0</v>
      </c>
      <c r="V15" s="759">
        <v>0</v>
      </c>
      <c r="W15" s="759">
        <v>0</v>
      </c>
      <c r="X15" s="759">
        <v>0</v>
      </c>
      <c r="Y15" s="759">
        <v>0</v>
      </c>
      <c r="Z15" s="759">
        <v>0</v>
      </c>
      <c r="AA15" s="759">
        <v>0</v>
      </c>
      <c r="AB15" s="759">
        <f>'Camino G2'!B45</f>
        <v>4960000</v>
      </c>
      <c r="AC15" s="759">
        <f>'Camino G2'!C45</f>
        <v>496000</v>
      </c>
      <c r="AD15" s="759">
        <f>'Camino G2'!D45</f>
        <v>595200</v>
      </c>
      <c r="AE15" s="759">
        <f>'Camino G2'!E45</f>
        <v>694400</v>
      </c>
      <c r="AF15" s="759">
        <f>'Camino G2'!F45</f>
        <v>992000</v>
      </c>
      <c r="AG15" s="759">
        <f>'Camino G2'!G45</f>
        <v>992000</v>
      </c>
      <c r="AH15" s="759">
        <f>'Camino G2'!H45</f>
        <v>1785600</v>
      </c>
      <c r="AI15" s="759">
        <f>'Camino G2'!I45</f>
        <v>1785600</v>
      </c>
      <c r="AJ15" s="759">
        <f>'Camino G2'!J45</f>
        <v>1984000</v>
      </c>
      <c r="AK15" s="759">
        <f>'Camino G2'!K45</f>
        <v>1984000</v>
      </c>
      <c r="AL15" s="759">
        <f>'Camino G2'!L45</f>
        <v>1984000</v>
      </c>
      <c r="AM15" s="759">
        <f>'Camino G2'!M45</f>
        <v>1984000</v>
      </c>
      <c r="AN15" s="759">
        <f>'Camino G2'!N45</f>
        <v>1587200</v>
      </c>
      <c r="AO15" s="759">
        <f>'Camino G2'!O45</f>
        <v>1190400</v>
      </c>
      <c r="AP15" s="759">
        <f>'Camino G2'!P45</f>
        <v>793600</v>
      </c>
      <c r="AQ15" s="759">
        <f>'Camino G2'!Q45</f>
        <v>396800</v>
      </c>
      <c r="AR15" s="759">
        <f>'Camino G2'!R45</f>
        <v>198400</v>
      </c>
      <c r="AS15" s="759">
        <f>'Camino G2'!S45</f>
        <v>198400</v>
      </c>
      <c r="AT15" s="759">
        <f>'Camino G2'!T45</f>
        <v>198400</v>
      </c>
      <c r="AU15" s="759">
        <v>0</v>
      </c>
      <c r="AV15" s="759">
        <v>0</v>
      </c>
      <c r="AW15" s="759">
        <v>0</v>
      </c>
      <c r="AX15" s="759">
        <v>0</v>
      </c>
      <c r="AY15" s="759">
        <v>0</v>
      </c>
      <c r="AZ15" s="759">
        <v>0</v>
      </c>
      <c r="BA15" s="759">
        <v>0</v>
      </c>
      <c r="BB15" s="759">
        <v>0</v>
      </c>
      <c r="BC15" s="759">
        <v>0</v>
      </c>
      <c r="BD15" s="759">
        <v>0</v>
      </c>
      <c r="BE15" s="759">
        <v>0</v>
      </c>
      <c r="BF15" s="759">
        <v>0</v>
      </c>
      <c r="BG15" s="759">
        <v>0</v>
      </c>
      <c r="BH15" s="759">
        <v>0</v>
      </c>
      <c r="BI15" s="759">
        <v>0</v>
      </c>
      <c r="BJ15" s="759">
        <v>0</v>
      </c>
      <c r="BK15" s="759">
        <v>0</v>
      </c>
      <c r="BL15" s="759">
        <f t="shared" si="5"/>
        <v>24800000</v>
      </c>
      <c r="BM15" s="759">
        <f t="shared" si="3"/>
        <v>0</v>
      </c>
      <c r="BN15" s="891">
        <f t="shared" si="6"/>
        <v>0</v>
      </c>
    </row>
    <row r="16" spans="1:66" s="781" customFormat="1" ht="38.25" x14ac:dyDescent="0.2">
      <c r="A16" s="826" t="str">
        <f>'3. PEP'!A30</f>
        <v>1.1.3</v>
      </c>
      <c r="B16" s="218" t="str">
        <f>'3. PEP'!B30</f>
        <v>Contratación de Firma Consultora para Fiscalización de rehabilitación de Caminos Grupo 1</v>
      </c>
      <c r="C16" s="759">
        <f>'3. PEP'!G30</f>
        <v>875000</v>
      </c>
      <c r="D16" s="759">
        <v>0</v>
      </c>
      <c r="E16" s="759">
        <v>0</v>
      </c>
      <c r="F16" s="759">
        <v>0</v>
      </c>
      <c r="G16" s="759">
        <v>0</v>
      </c>
      <c r="H16" s="759">
        <v>0</v>
      </c>
      <c r="I16" s="759">
        <v>0</v>
      </c>
      <c r="J16" s="759">
        <v>0</v>
      </c>
      <c r="K16" s="759">
        <v>0</v>
      </c>
      <c r="L16" s="759">
        <v>0</v>
      </c>
      <c r="M16" s="759">
        <v>0</v>
      </c>
      <c r="N16" s="759">
        <v>0</v>
      </c>
      <c r="O16" s="759">
        <v>0</v>
      </c>
      <c r="P16" s="759">
        <f>'Fisc CG1'!B53</f>
        <v>87500</v>
      </c>
      <c r="Q16" s="759">
        <f>'Fisc CG1'!C53</f>
        <v>31719</v>
      </c>
      <c r="R16" s="759">
        <f>'Fisc CG1'!D53</f>
        <v>33688</v>
      </c>
      <c r="S16" s="759">
        <f>'Fisc CG1'!E53</f>
        <v>35656</v>
      </c>
      <c r="T16" s="759">
        <f>'Fisc CG1'!F53</f>
        <v>41563</v>
      </c>
      <c r="U16" s="759">
        <f>'Fisc CG1'!G53</f>
        <v>41563</v>
      </c>
      <c r="V16" s="759">
        <f>'Fisc CG1'!H53</f>
        <v>57313</v>
      </c>
      <c r="W16" s="759">
        <f>'Fisc CG1'!I53</f>
        <v>57313</v>
      </c>
      <c r="X16" s="759">
        <f>'Fisc CG1'!J53</f>
        <v>61250</v>
      </c>
      <c r="Y16" s="759">
        <f>'Fisc CG1'!K53</f>
        <v>61250</v>
      </c>
      <c r="Z16" s="759">
        <f>'Fisc CG1'!L53</f>
        <v>61250</v>
      </c>
      <c r="AA16" s="759">
        <f>'Fisc CG1'!M53</f>
        <v>61250</v>
      </c>
      <c r="AB16" s="759">
        <f>'Fisc CG1'!N53</f>
        <v>53375</v>
      </c>
      <c r="AC16" s="759">
        <f>'Fisc CG1'!O53</f>
        <v>45500</v>
      </c>
      <c r="AD16" s="759">
        <f>'Fisc CG1'!P53</f>
        <v>37625</v>
      </c>
      <c r="AE16" s="759">
        <f>'Fisc CG1'!Q53</f>
        <v>29750</v>
      </c>
      <c r="AF16" s="759">
        <f>'Fisc CG1'!R53</f>
        <v>25813</v>
      </c>
      <c r="AG16" s="759">
        <f>'Fisc CG1'!S53</f>
        <v>25813</v>
      </c>
      <c r="AH16" s="759">
        <f>25809</f>
        <v>25809</v>
      </c>
      <c r="AI16" s="759">
        <v>0</v>
      </c>
      <c r="AJ16" s="759">
        <v>0</v>
      </c>
      <c r="AK16" s="759">
        <v>0</v>
      </c>
      <c r="AL16" s="759">
        <v>0</v>
      </c>
      <c r="AM16" s="759">
        <v>0</v>
      </c>
      <c r="AN16" s="759">
        <v>0</v>
      </c>
      <c r="AO16" s="759">
        <v>0</v>
      </c>
      <c r="AP16" s="759">
        <v>0</v>
      </c>
      <c r="AQ16" s="759">
        <v>0</v>
      </c>
      <c r="AR16" s="759">
        <v>0</v>
      </c>
      <c r="AS16" s="759">
        <v>0</v>
      </c>
      <c r="AT16" s="759">
        <v>0</v>
      </c>
      <c r="AU16" s="759">
        <v>0</v>
      </c>
      <c r="AV16" s="759">
        <v>0</v>
      </c>
      <c r="AW16" s="759">
        <v>0</v>
      </c>
      <c r="AX16" s="759">
        <v>0</v>
      </c>
      <c r="AY16" s="759">
        <v>0</v>
      </c>
      <c r="AZ16" s="759">
        <v>0</v>
      </c>
      <c r="BA16" s="759">
        <v>0</v>
      </c>
      <c r="BB16" s="759">
        <v>0</v>
      </c>
      <c r="BC16" s="759">
        <v>0</v>
      </c>
      <c r="BD16" s="759">
        <v>0</v>
      </c>
      <c r="BE16" s="759">
        <v>0</v>
      </c>
      <c r="BF16" s="759">
        <v>0</v>
      </c>
      <c r="BG16" s="759">
        <v>0</v>
      </c>
      <c r="BH16" s="759">
        <v>0</v>
      </c>
      <c r="BI16" s="759">
        <v>0</v>
      </c>
      <c r="BJ16" s="759">
        <v>0</v>
      </c>
      <c r="BK16" s="759">
        <v>0</v>
      </c>
      <c r="BL16" s="759">
        <f>SUM(D16:BK16)</f>
        <v>875000</v>
      </c>
      <c r="BM16" s="759">
        <f>C16-BL16</f>
        <v>0</v>
      </c>
      <c r="BN16" s="891">
        <f>+BL16-C16</f>
        <v>0</v>
      </c>
    </row>
    <row r="17" spans="1:66" s="781" customFormat="1" ht="38.25" x14ac:dyDescent="0.2">
      <c r="A17" s="826" t="str">
        <f>'3. PEP'!A31</f>
        <v>1.1.4</v>
      </c>
      <c r="B17" s="218" t="str">
        <f>'3. PEP'!B31</f>
        <v>Contratación de Firma Consultora para Fiscalización de rehabilitación de Caminos Grupo 2</v>
      </c>
      <c r="C17" s="759">
        <f>'3. PEP'!G31</f>
        <v>1645000</v>
      </c>
      <c r="D17" s="759">
        <v>0</v>
      </c>
      <c r="E17" s="759">
        <v>0</v>
      </c>
      <c r="F17" s="759">
        <v>0</v>
      </c>
      <c r="G17" s="759">
        <v>0</v>
      </c>
      <c r="H17" s="759">
        <v>0</v>
      </c>
      <c r="I17" s="759">
        <v>0</v>
      </c>
      <c r="J17" s="759">
        <v>0</v>
      </c>
      <c r="K17" s="759">
        <v>0</v>
      </c>
      <c r="L17" s="759">
        <v>0</v>
      </c>
      <c r="M17" s="759">
        <v>0</v>
      </c>
      <c r="N17" s="759">
        <v>0</v>
      </c>
      <c r="O17" s="759">
        <v>0</v>
      </c>
      <c r="P17" s="759">
        <v>0</v>
      </c>
      <c r="Q17" s="759">
        <v>0</v>
      </c>
      <c r="R17" s="759">
        <v>0</v>
      </c>
      <c r="S17" s="759">
        <v>0</v>
      </c>
      <c r="T17" s="759">
        <v>0</v>
      </c>
      <c r="U17" s="759">
        <v>0</v>
      </c>
      <c r="V17" s="759">
        <v>0</v>
      </c>
      <c r="W17" s="759">
        <v>0</v>
      </c>
      <c r="X17" s="759">
        <v>0</v>
      </c>
      <c r="Y17" s="759">
        <v>0</v>
      </c>
      <c r="Z17" s="759">
        <v>0</v>
      </c>
      <c r="AA17" s="759">
        <v>0</v>
      </c>
      <c r="AB17" s="759">
        <f>'Fisc CG2'!B50</f>
        <v>164500</v>
      </c>
      <c r="AC17" s="759">
        <f>'Fisc CG2'!C50</f>
        <v>59631</v>
      </c>
      <c r="AD17" s="759">
        <f>'Fisc CG2'!D50</f>
        <v>63333</v>
      </c>
      <c r="AE17" s="759">
        <f>'Fisc CG2'!E50</f>
        <v>67033</v>
      </c>
      <c r="AF17" s="759">
        <f>'Fisc CG2'!F50</f>
        <v>78138</v>
      </c>
      <c r="AG17" s="759">
        <f>'Fisc CG2'!G50</f>
        <v>78138</v>
      </c>
      <c r="AH17" s="759">
        <f>'Fisc CG2'!H50</f>
        <v>107748</v>
      </c>
      <c r="AI17" s="759">
        <f>'Fisc CG2'!I50</f>
        <v>107748</v>
      </c>
      <c r="AJ17" s="759">
        <f>'Fisc CG2'!J50</f>
        <v>115150</v>
      </c>
      <c r="AK17" s="759">
        <f>'Fisc CG2'!K50</f>
        <v>115150</v>
      </c>
      <c r="AL17" s="759">
        <f>'Fisc CG2'!L50</f>
        <v>115150</v>
      </c>
      <c r="AM17" s="759">
        <f>'Fisc CG2'!M50</f>
        <v>115150</v>
      </c>
      <c r="AN17" s="759">
        <f>'Fisc CG2'!N50</f>
        <v>100345</v>
      </c>
      <c r="AO17" s="759">
        <f>85615</f>
        <v>85615</v>
      </c>
      <c r="AP17" s="759">
        <f>'Fisc CG2'!P50</f>
        <v>70735</v>
      </c>
      <c r="AQ17" s="759">
        <f>'Fisc CG2'!Q50</f>
        <v>55930</v>
      </c>
      <c r="AR17" s="759">
        <f>48570</f>
        <v>48570</v>
      </c>
      <c r="AS17" s="759">
        <f>48570</f>
        <v>48570</v>
      </c>
      <c r="AT17" s="759">
        <f>48366</f>
        <v>48366</v>
      </c>
      <c r="AU17" s="759">
        <v>0</v>
      </c>
      <c r="AV17" s="759">
        <v>0</v>
      </c>
      <c r="AW17" s="759">
        <v>0</v>
      </c>
      <c r="AX17" s="759">
        <v>0</v>
      </c>
      <c r="AY17" s="759">
        <v>0</v>
      </c>
      <c r="AZ17" s="759">
        <v>0</v>
      </c>
      <c r="BA17" s="759">
        <v>0</v>
      </c>
      <c r="BB17" s="759">
        <v>0</v>
      </c>
      <c r="BC17" s="759">
        <v>0</v>
      </c>
      <c r="BD17" s="759">
        <v>0</v>
      </c>
      <c r="BE17" s="759">
        <v>0</v>
      </c>
      <c r="BF17" s="759">
        <v>0</v>
      </c>
      <c r="BG17" s="759">
        <v>0</v>
      </c>
      <c r="BH17" s="759">
        <v>0</v>
      </c>
      <c r="BI17" s="759">
        <v>0</v>
      </c>
      <c r="BJ17" s="759">
        <v>0</v>
      </c>
      <c r="BK17" s="759">
        <v>0</v>
      </c>
      <c r="BL17" s="759">
        <f>SUM(D17:BK17)</f>
        <v>1645000</v>
      </c>
      <c r="BM17" s="759">
        <f>C17-BL17</f>
        <v>0</v>
      </c>
      <c r="BN17" s="891">
        <f>+BL17-C17</f>
        <v>0</v>
      </c>
    </row>
    <row r="18" spans="1:66" s="781" customFormat="1" ht="25.5" x14ac:dyDescent="0.2">
      <c r="A18" s="826" t="str">
        <f>'3. PEP'!A32</f>
        <v>1.1.5</v>
      </c>
      <c r="B18" s="218" t="str">
        <f>'3. PEP'!B32</f>
        <v>Contratación de Firma Consultora para el desarrollo de diseños de caminos - Grupo 2</v>
      </c>
      <c r="C18" s="759">
        <f>'3. PEP'!G32</f>
        <v>1820000</v>
      </c>
      <c r="D18" s="759">
        <v>0</v>
      </c>
      <c r="E18" s="759">
        <v>0</v>
      </c>
      <c r="F18" s="759">
        <v>0</v>
      </c>
      <c r="G18" s="759">
        <v>0</v>
      </c>
      <c r="H18" s="759">
        <v>0</v>
      </c>
      <c r="I18" s="759">
        <v>0</v>
      </c>
      <c r="J18" s="759">
        <v>0</v>
      </c>
      <c r="K18" s="759">
        <v>0</v>
      </c>
      <c r="L18" s="759">
        <v>0</v>
      </c>
      <c r="M18" s="759">
        <v>0</v>
      </c>
      <c r="N18" s="759">
        <f>C18*0.2</f>
        <v>364000</v>
      </c>
      <c r="O18" s="759">
        <v>0</v>
      </c>
      <c r="P18" s="759">
        <v>0</v>
      </c>
      <c r="Q18" s="759">
        <v>0</v>
      </c>
      <c r="R18" s="759">
        <v>0</v>
      </c>
      <c r="S18" s="759">
        <f>C18*0.4</f>
        <v>728000</v>
      </c>
      <c r="T18" s="759">
        <v>0</v>
      </c>
      <c r="U18" s="759">
        <v>0</v>
      </c>
      <c r="V18" s="759">
        <f>C18*0.4</f>
        <v>728000</v>
      </c>
      <c r="W18" s="759">
        <v>0</v>
      </c>
      <c r="X18" s="759">
        <v>0</v>
      </c>
      <c r="Y18" s="759">
        <v>0</v>
      </c>
      <c r="Z18" s="759">
        <v>0</v>
      </c>
      <c r="AA18" s="759">
        <v>0</v>
      </c>
      <c r="AB18" s="759">
        <v>0</v>
      </c>
      <c r="AC18" s="759">
        <v>0</v>
      </c>
      <c r="AD18" s="759">
        <v>0</v>
      </c>
      <c r="AE18" s="759">
        <v>0</v>
      </c>
      <c r="AF18" s="759">
        <v>0</v>
      </c>
      <c r="AG18" s="759">
        <v>0</v>
      </c>
      <c r="AH18" s="759">
        <v>0</v>
      </c>
      <c r="AI18" s="759">
        <v>0</v>
      </c>
      <c r="AJ18" s="759">
        <v>0</v>
      </c>
      <c r="AK18" s="759">
        <v>0</v>
      </c>
      <c r="AL18" s="759">
        <v>0</v>
      </c>
      <c r="AM18" s="759">
        <v>0</v>
      </c>
      <c r="AN18" s="759">
        <v>0</v>
      </c>
      <c r="AO18" s="759">
        <v>0</v>
      </c>
      <c r="AP18" s="759">
        <v>0</v>
      </c>
      <c r="AQ18" s="759">
        <v>0</v>
      </c>
      <c r="AR18" s="759">
        <v>0</v>
      </c>
      <c r="AS18" s="759">
        <v>0</v>
      </c>
      <c r="AT18" s="759">
        <v>0</v>
      </c>
      <c r="AU18" s="759">
        <v>0</v>
      </c>
      <c r="AV18" s="759">
        <v>0</v>
      </c>
      <c r="AW18" s="759">
        <v>0</v>
      </c>
      <c r="AX18" s="759">
        <v>0</v>
      </c>
      <c r="AY18" s="759">
        <v>0</v>
      </c>
      <c r="AZ18" s="759">
        <v>0</v>
      </c>
      <c r="BA18" s="759">
        <v>0</v>
      </c>
      <c r="BB18" s="759">
        <v>0</v>
      </c>
      <c r="BC18" s="759">
        <v>0</v>
      </c>
      <c r="BD18" s="759">
        <v>0</v>
      </c>
      <c r="BE18" s="759">
        <v>0</v>
      </c>
      <c r="BF18" s="759">
        <v>0</v>
      </c>
      <c r="BG18" s="759">
        <v>0</v>
      </c>
      <c r="BH18" s="759">
        <v>0</v>
      </c>
      <c r="BI18" s="759">
        <v>0</v>
      </c>
      <c r="BJ18" s="759">
        <v>0</v>
      </c>
      <c r="BK18" s="759">
        <v>0</v>
      </c>
      <c r="BL18" s="759">
        <f>SUM(D18:BK18)</f>
        <v>1820000</v>
      </c>
      <c r="BM18" s="759">
        <f>C18-BL18</f>
        <v>0</v>
      </c>
      <c r="BN18" s="891">
        <f>+BL18-C18</f>
        <v>0</v>
      </c>
    </row>
    <row r="19" spans="1:66" s="781" customFormat="1" ht="25.5" x14ac:dyDescent="0.2">
      <c r="A19" s="847">
        <f>'3. PEP'!A33</f>
        <v>1.2</v>
      </c>
      <c r="B19" s="219" t="str">
        <f>'3. PEP'!B33</f>
        <v xml:space="preserve">Producto 2: 713 Km de Caminos incorporados en un esquema de mantenimiento </v>
      </c>
      <c r="C19" s="760">
        <f>'3. PEP'!G33</f>
        <v>4000000</v>
      </c>
      <c r="D19" s="760">
        <f>+D20+D21+D22+D23+D24+D25</f>
        <v>0</v>
      </c>
      <c r="E19" s="760">
        <f t="shared" ref="E19:BK19" si="7">+E20+E21+E22+E23+E24+E25</f>
        <v>0</v>
      </c>
      <c r="F19" s="760">
        <f t="shared" si="7"/>
        <v>0</v>
      </c>
      <c r="G19" s="760">
        <f t="shared" si="7"/>
        <v>0</v>
      </c>
      <c r="H19" s="760">
        <f t="shared" si="7"/>
        <v>0</v>
      </c>
      <c r="I19" s="760">
        <f t="shared" si="7"/>
        <v>0</v>
      </c>
      <c r="J19" s="760">
        <f t="shared" si="7"/>
        <v>176441</v>
      </c>
      <c r="K19" s="760">
        <f t="shared" si="7"/>
        <v>0</v>
      </c>
      <c r="L19" s="760">
        <f t="shared" si="7"/>
        <v>0</v>
      </c>
      <c r="M19" s="760">
        <f t="shared" si="7"/>
        <v>38204</v>
      </c>
      <c r="N19" s="760">
        <f t="shared" si="7"/>
        <v>0</v>
      </c>
      <c r="O19" s="760">
        <f t="shared" si="7"/>
        <v>0</v>
      </c>
      <c r="P19" s="760">
        <f t="shared" si="7"/>
        <v>386315</v>
      </c>
      <c r="Q19" s="760">
        <f t="shared" si="7"/>
        <v>0</v>
      </c>
      <c r="R19" s="760">
        <f t="shared" si="7"/>
        <v>0</v>
      </c>
      <c r="S19" s="760">
        <f t="shared" si="7"/>
        <v>106193</v>
      </c>
      <c r="T19" s="760">
        <f t="shared" si="7"/>
        <v>0</v>
      </c>
      <c r="U19" s="760">
        <f t="shared" si="7"/>
        <v>0</v>
      </c>
      <c r="V19" s="760">
        <f t="shared" si="7"/>
        <v>167066.4</v>
      </c>
      <c r="W19" s="760">
        <f t="shared" si="7"/>
        <v>0</v>
      </c>
      <c r="X19" s="760">
        <f t="shared" si="7"/>
        <v>0</v>
      </c>
      <c r="Y19" s="760">
        <f t="shared" si="7"/>
        <v>90911.4</v>
      </c>
      <c r="Z19" s="760">
        <f t="shared" si="7"/>
        <v>0</v>
      </c>
      <c r="AA19" s="760">
        <f t="shared" si="7"/>
        <v>0</v>
      </c>
      <c r="AB19" s="760">
        <f t="shared" si="7"/>
        <v>359628.9</v>
      </c>
      <c r="AC19" s="760">
        <f t="shared" si="7"/>
        <v>0</v>
      </c>
      <c r="AD19" s="760">
        <f t="shared" si="7"/>
        <v>0</v>
      </c>
      <c r="AE19" s="760">
        <f t="shared" si="7"/>
        <v>90911.4</v>
      </c>
      <c r="AF19" s="760">
        <f t="shared" si="7"/>
        <v>0</v>
      </c>
      <c r="AG19" s="760">
        <f t="shared" si="7"/>
        <v>0</v>
      </c>
      <c r="AH19" s="760">
        <f t="shared" si="7"/>
        <v>359628.9</v>
      </c>
      <c r="AI19" s="760">
        <f t="shared" si="7"/>
        <v>0</v>
      </c>
      <c r="AJ19" s="760">
        <f t="shared" si="7"/>
        <v>0</v>
      </c>
      <c r="AK19" s="760">
        <f t="shared" si="7"/>
        <v>106193</v>
      </c>
      <c r="AL19" s="760">
        <f t="shared" si="7"/>
        <v>0</v>
      </c>
      <c r="AM19" s="760">
        <f t="shared" si="7"/>
        <v>0</v>
      </c>
      <c r="AN19" s="760">
        <f t="shared" si="7"/>
        <v>396885.5</v>
      </c>
      <c r="AO19" s="760">
        <f t="shared" si="7"/>
        <v>0</v>
      </c>
      <c r="AP19" s="760">
        <f t="shared" si="7"/>
        <v>0</v>
      </c>
      <c r="AQ19" s="760">
        <f t="shared" si="7"/>
        <v>106193</v>
      </c>
      <c r="AR19" s="760">
        <f t="shared" si="7"/>
        <v>0</v>
      </c>
      <c r="AS19" s="760">
        <f t="shared" si="7"/>
        <v>0</v>
      </c>
      <c r="AT19" s="760">
        <f t="shared" si="7"/>
        <v>396885.5</v>
      </c>
      <c r="AU19" s="760">
        <f t="shared" si="7"/>
        <v>0</v>
      </c>
      <c r="AV19" s="760">
        <f t="shared" si="7"/>
        <v>0</v>
      </c>
      <c r="AW19" s="760">
        <f t="shared" si="7"/>
        <v>106193</v>
      </c>
      <c r="AX19" s="760">
        <f t="shared" si="7"/>
        <v>0</v>
      </c>
      <c r="AY19" s="760">
        <f t="shared" si="7"/>
        <v>0</v>
      </c>
      <c r="AZ19" s="760">
        <f t="shared" si="7"/>
        <v>396885.5</v>
      </c>
      <c r="BA19" s="760">
        <f t="shared" si="7"/>
        <v>0</v>
      </c>
      <c r="BB19" s="760">
        <f t="shared" si="7"/>
        <v>0</v>
      </c>
      <c r="BC19" s="760">
        <f t="shared" si="7"/>
        <v>106193</v>
      </c>
      <c r="BD19" s="760">
        <f t="shared" si="7"/>
        <v>0</v>
      </c>
      <c r="BE19" s="760">
        <f t="shared" si="7"/>
        <v>0</v>
      </c>
      <c r="BF19" s="760">
        <f t="shared" si="7"/>
        <v>396885.5</v>
      </c>
      <c r="BG19" s="760">
        <f t="shared" si="7"/>
        <v>0</v>
      </c>
      <c r="BH19" s="760">
        <f t="shared" si="7"/>
        <v>0</v>
      </c>
      <c r="BI19" s="760">
        <f t="shared" si="7"/>
        <v>106193</v>
      </c>
      <c r="BJ19" s="760">
        <f t="shared" si="7"/>
        <v>0</v>
      </c>
      <c r="BK19" s="760">
        <f t="shared" si="7"/>
        <v>106193</v>
      </c>
      <c r="BL19" s="760">
        <f t="shared" si="5"/>
        <v>4000000</v>
      </c>
      <c r="BM19" s="760">
        <f t="shared" si="3"/>
        <v>0</v>
      </c>
      <c r="BN19" s="891">
        <f t="shared" si="6"/>
        <v>0</v>
      </c>
    </row>
    <row r="20" spans="1:66" s="781" customFormat="1" ht="25.5" x14ac:dyDescent="0.2">
      <c r="A20" s="315" t="str">
        <f>'3. PEP'!A34</f>
        <v>1.2.1</v>
      </c>
      <c r="B20" s="218" t="str">
        <f>'3. PEP'!B34</f>
        <v>Contratación de Firma Constructora para Obra de Mantenimiento. Contratos Grupo 1: 102.79 km</v>
      </c>
      <c r="C20" s="759">
        <f>'3. PEP'!G34</f>
        <v>764080</v>
      </c>
      <c r="D20" s="759"/>
      <c r="E20" s="759">
        <v>0</v>
      </c>
      <c r="F20" s="759">
        <v>0</v>
      </c>
      <c r="G20" s="759">
        <v>0</v>
      </c>
      <c r="H20" s="759">
        <v>0</v>
      </c>
      <c r="I20" s="759">
        <v>0</v>
      </c>
      <c r="J20" s="759">
        <f>+$C$20*0.2</f>
        <v>152816</v>
      </c>
      <c r="K20" s="759">
        <v>0</v>
      </c>
      <c r="L20" s="759">
        <v>0</v>
      </c>
      <c r="M20" s="759">
        <f>+$C$20*0.05</f>
        <v>38204</v>
      </c>
      <c r="N20" s="759">
        <v>0</v>
      </c>
      <c r="O20" s="759">
        <v>0</v>
      </c>
      <c r="P20" s="759">
        <f>+$C$20*0.05</f>
        <v>38204</v>
      </c>
      <c r="Q20" s="759">
        <v>0</v>
      </c>
      <c r="R20" s="759">
        <v>0</v>
      </c>
      <c r="S20" s="759">
        <f>+$C$20*0.05</f>
        <v>38204</v>
      </c>
      <c r="T20" s="759">
        <v>0</v>
      </c>
      <c r="U20" s="759">
        <v>0</v>
      </c>
      <c r="V20" s="759">
        <f>+$C$20*0.03</f>
        <v>22922.399999999998</v>
      </c>
      <c r="W20" s="759">
        <v>0</v>
      </c>
      <c r="X20" s="759">
        <v>0</v>
      </c>
      <c r="Y20" s="759">
        <f>+$C$20*0.03</f>
        <v>22922.399999999998</v>
      </c>
      <c r="Z20" s="759">
        <v>0</v>
      </c>
      <c r="AA20" s="759">
        <v>0</v>
      </c>
      <c r="AB20" s="759">
        <f>+$C$20*0.03</f>
        <v>22922.399999999998</v>
      </c>
      <c r="AC20" s="759">
        <v>0</v>
      </c>
      <c r="AD20" s="759">
        <v>0</v>
      </c>
      <c r="AE20" s="759">
        <f>+$C$20*0.03</f>
        <v>22922.399999999998</v>
      </c>
      <c r="AF20" s="759">
        <v>0</v>
      </c>
      <c r="AG20" s="759">
        <v>0</v>
      </c>
      <c r="AH20" s="759">
        <f>+$C$20*0.03</f>
        <v>22922.399999999998</v>
      </c>
      <c r="AI20" s="759">
        <v>0</v>
      </c>
      <c r="AJ20" s="759">
        <v>0</v>
      </c>
      <c r="AK20" s="759">
        <f>+$C$20*0.05</f>
        <v>38204</v>
      </c>
      <c r="AL20" s="759">
        <v>0</v>
      </c>
      <c r="AM20" s="759">
        <v>0</v>
      </c>
      <c r="AN20" s="759">
        <f>+$C$20*0.05</f>
        <v>38204</v>
      </c>
      <c r="AO20" s="759">
        <v>0</v>
      </c>
      <c r="AP20" s="759">
        <v>0</v>
      </c>
      <c r="AQ20" s="759">
        <f>+$C$20*0.05</f>
        <v>38204</v>
      </c>
      <c r="AR20" s="759">
        <v>0</v>
      </c>
      <c r="AS20" s="759">
        <v>0</v>
      </c>
      <c r="AT20" s="759">
        <f>+$C$20*0.05</f>
        <v>38204</v>
      </c>
      <c r="AU20" s="759">
        <v>0</v>
      </c>
      <c r="AV20" s="759">
        <v>0</v>
      </c>
      <c r="AW20" s="759">
        <f>+$C$20*0.05</f>
        <v>38204</v>
      </c>
      <c r="AX20" s="759">
        <v>0</v>
      </c>
      <c r="AY20" s="759">
        <v>0</v>
      </c>
      <c r="AZ20" s="759">
        <f>+$C$20*0.05</f>
        <v>38204</v>
      </c>
      <c r="BA20" s="759">
        <v>0</v>
      </c>
      <c r="BB20" s="759">
        <v>0</v>
      </c>
      <c r="BC20" s="759">
        <f>+$C$20*0.05</f>
        <v>38204</v>
      </c>
      <c r="BD20" s="759">
        <v>0</v>
      </c>
      <c r="BE20" s="759">
        <v>0</v>
      </c>
      <c r="BF20" s="759">
        <f>+$C$20*0.05</f>
        <v>38204</v>
      </c>
      <c r="BG20" s="759">
        <v>0</v>
      </c>
      <c r="BH20" s="759">
        <v>0</v>
      </c>
      <c r="BI20" s="759">
        <f>+$C$20*0.05</f>
        <v>38204</v>
      </c>
      <c r="BJ20" s="759">
        <v>0</v>
      </c>
      <c r="BK20" s="759">
        <f>+$C$20*0.05</f>
        <v>38204</v>
      </c>
      <c r="BL20" s="759">
        <f t="shared" si="5"/>
        <v>764080.00000000012</v>
      </c>
      <c r="BM20" s="759">
        <f t="shared" si="3"/>
        <v>0</v>
      </c>
      <c r="BN20" s="891">
        <f t="shared" si="6"/>
        <v>0</v>
      </c>
    </row>
    <row r="21" spans="1:66" s="781" customFormat="1" ht="25.5" x14ac:dyDescent="0.2">
      <c r="A21" s="826" t="str">
        <f>'3. PEP'!A35</f>
        <v>1.2.2</v>
      </c>
      <c r="B21" s="825" t="str">
        <f>'3. PEP'!B35</f>
        <v>Contratación de Firma Constructora para Obra de Mantenimiento. Contratos Grupo 2: 226.63 km</v>
      </c>
      <c r="C21" s="759">
        <f>'3. PEP'!G35</f>
        <v>1359780</v>
      </c>
      <c r="D21" s="759">
        <v>0</v>
      </c>
      <c r="E21" s="759">
        <v>0</v>
      </c>
      <c r="F21" s="759">
        <v>0</v>
      </c>
      <c r="G21" s="759">
        <v>0</v>
      </c>
      <c r="H21" s="759">
        <v>0</v>
      </c>
      <c r="I21" s="759">
        <v>0</v>
      </c>
      <c r="J21" s="759">
        <v>0</v>
      </c>
      <c r="K21" s="759">
        <v>0</v>
      </c>
      <c r="L21" s="759">
        <v>0</v>
      </c>
      <c r="M21" s="759">
        <v>0</v>
      </c>
      <c r="N21" s="759">
        <v>0</v>
      </c>
      <c r="O21" s="759">
        <v>0</v>
      </c>
      <c r="P21" s="759">
        <f>+$C$21*0.2</f>
        <v>271956</v>
      </c>
      <c r="Q21" s="759">
        <v>0</v>
      </c>
      <c r="R21" s="759">
        <v>0</v>
      </c>
      <c r="S21" s="759">
        <f>+$C$21*0.05</f>
        <v>67989</v>
      </c>
      <c r="T21" s="759">
        <v>0</v>
      </c>
      <c r="U21" s="759">
        <v>0</v>
      </c>
      <c r="V21" s="759">
        <f>+$C$21*0.05</f>
        <v>67989</v>
      </c>
      <c r="W21" s="759">
        <v>0</v>
      </c>
      <c r="X21" s="759">
        <v>0</v>
      </c>
      <c r="Y21" s="759">
        <f>+$C$21*0.05</f>
        <v>67989</v>
      </c>
      <c r="Z21" s="759">
        <v>0</v>
      </c>
      <c r="AA21" s="759">
        <v>0</v>
      </c>
      <c r="AB21" s="759">
        <f>+$C$21*0.05</f>
        <v>67989</v>
      </c>
      <c r="AC21" s="759">
        <v>0</v>
      </c>
      <c r="AD21" s="759">
        <v>0</v>
      </c>
      <c r="AE21" s="759">
        <f>+$C$21*0.05</f>
        <v>67989</v>
      </c>
      <c r="AF21" s="759">
        <v>0</v>
      </c>
      <c r="AG21" s="759">
        <v>0</v>
      </c>
      <c r="AH21" s="759">
        <f>+$C$21*0.05</f>
        <v>67989</v>
      </c>
      <c r="AI21" s="759">
        <v>0</v>
      </c>
      <c r="AJ21" s="759">
        <v>0</v>
      </c>
      <c r="AK21" s="759">
        <f>+$C$21*0.05</f>
        <v>67989</v>
      </c>
      <c r="AL21" s="759">
        <v>0</v>
      </c>
      <c r="AM21" s="759">
        <v>0</v>
      </c>
      <c r="AN21" s="759">
        <f>+$C$21*0.05</f>
        <v>67989</v>
      </c>
      <c r="AO21" s="759">
        <v>0</v>
      </c>
      <c r="AP21" s="759">
        <v>0</v>
      </c>
      <c r="AQ21" s="759">
        <f>+$C$21*0.05</f>
        <v>67989</v>
      </c>
      <c r="AR21" s="759">
        <v>0</v>
      </c>
      <c r="AS21" s="759">
        <v>0</v>
      </c>
      <c r="AT21" s="759">
        <f>+$C$21*0.05</f>
        <v>67989</v>
      </c>
      <c r="AU21" s="759">
        <v>0</v>
      </c>
      <c r="AV21" s="759">
        <v>0</v>
      </c>
      <c r="AW21" s="759">
        <f>+$C$21*0.05</f>
        <v>67989</v>
      </c>
      <c r="AX21" s="759">
        <v>0</v>
      </c>
      <c r="AY21" s="759">
        <v>0</v>
      </c>
      <c r="AZ21" s="759">
        <f>+$C$21*0.05</f>
        <v>67989</v>
      </c>
      <c r="BA21" s="759">
        <v>0</v>
      </c>
      <c r="BB21" s="759">
        <v>0</v>
      </c>
      <c r="BC21" s="759">
        <f>+$C$21*0.05</f>
        <v>67989</v>
      </c>
      <c r="BD21" s="759">
        <v>0</v>
      </c>
      <c r="BE21" s="759">
        <v>0</v>
      </c>
      <c r="BF21" s="759">
        <f>+$C$21*0.05</f>
        <v>67989</v>
      </c>
      <c r="BG21" s="759">
        <v>0</v>
      </c>
      <c r="BH21" s="759">
        <v>0</v>
      </c>
      <c r="BI21" s="759">
        <f>+$C$21*0.05</f>
        <v>67989</v>
      </c>
      <c r="BJ21" s="759">
        <v>0</v>
      </c>
      <c r="BK21" s="759">
        <f>+$C$21*0.05</f>
        <v>67989</v>
      </c>
      <c r="BL21" s="759">
        <f t="shared" si="5"/>
        <v>1359780</v>
      </c>
      <c r="BM21" s="759"/>
      <c r="BN21" s="891">
        <f t="shared" si="6"/>
        <v>0</v>
      </c>
    </row>
    <row r="22" spans="1:66" s="781" customFormat="1" ht="38.25" x14ac:dyDescent="0.2">
      <c r="A22" s="826" t="str">
        <f>'3. PEP'!A36</f>
        <v>1.2.3</v>
      </c>
      <c r="B22" s="825" t="str">
        <f>'3. PEP'!B36</f>
        <v>Suscripción de Convenio con Municipios para Obras de Mantenimiento. Convenio Grupo 1: 28.35 km</v>
      </c>
      <c r="C22" s="759">
        <f>'3. PEP'!G36</f>
        <v>212625</v>
      </c>
      <c r="D22" s="759">
        <v>0</v>
      </c>
      <c r="E22" s="759">
        <v>0</v>
      </c>
      <c r="F22" s="759">
        <v>0</v>
      </c>
      <c r="G22" s="759">
        <v>0</v>
      </c>
      <c r="H22" s="759">
        <v>0</v>
      </c>
      <c r="I22" s="759">
        <v>0</v>
      </c>
      <c r="J22" s="759">
        <f>+$C$22/9</f>
        <v>23625</v>
      </c>
      <c r="K22" s="759">
        <v>0</v>
      </c>
      <c r="L22" s="759">
        <v>0</v>
      </c>
      <c r="M22" s="759">
        <v>0</v>
      </c>
      <c r="N22" s="759">
        <v>0</v>
      </c>
      <c r="O22" s="759">
        <v>0</v>
      </c>
      <c r="P22" s="759">
        <f>+$C$22/9</f>
        <v>23625</v>
      </c>
      <c r="Q22" s="759">
        <v>0</v>
      </c>
      <c r="R22" s="759">
        <v>0</v>
      </c>
      <c r="S22" s="759">
        <v>0</v>
      </c>
      <c r="T22" s="759">
        <v>0</v>
      </c>
      <c r="U22" s="759">
        <v>0</v>
      </c>
      <c r="V22" s="759">
        <f>+$C$22/9</f>
        <v>23625</v>
      </c>
      <c r="W22" s="759">
        <v>0</v>
      </c>
      <c r="X22" s="759">
        <v>0</v>
      </c>
      <c r="Y22" s="759">
        <v>0</v>
      </c>
      <c r="Z22" s="759">
        <v>0</v>
      </c>
      <c r="AA22" s="759">
        <v>0</v>
      </c>
      <c r="AB22" s="759">
        <f>+$C$22/9</f>
        <v>23625</v>
      </c>
      <c r="AC22" s="759">
        <v>0</v>
      </c>
      <c r="AD22" s="759">
        <v>0</v>
      </c>
      <c r="AE22" s="759">
        <v>0</v>
      </c>
      <c r="AF22" s="759">
        <v>0</v>
      </c>
      <c r="AG22" s="759">
        <v>0</v>
      </c>
      <c r="AH22" s="759">
        <f>+$C$22/9</f>
        <v>23625</v>
      </c>
      <c r="AI22" s="759">
        <v>0</v>
      </c>
      <c r="AJ22" s="759">
        <v>0</v>
      </c>
      <c r="AK22" s="759">
        <v>0</v>
      </c>
      <c r="AL22" s="759">
        <v>0</v>
      </c>
      <c r="AM22" s="759">
        <v>0</v>
      </c>
      <c r="AN22" s="759">
        <f>+$C$22/9</f>
        <v>23625</v>
      </c>
      <c r="AO22" s="759">
        <v>0</v>
      </c>
      <c r="AP22" s="759">
        <v>0</v>
      </c>
      <c r="AQ22" s="759">
        <v>0</v>
      </c>
      <c r="AR22" s="759">
        <v>0</v>
      </c>
      <c r="AS22" s="759">
        <v>0</v>
      </c>
      <c r="AT22" s="759">
        <f>+$C$22/9</f>
        <v>23625</v>
      </c>
      <c r="AU22" s="759">
        <v>0</v>
      </c>
      <c r="AV22" s="759">
        <v>0</v>
      </c>
      <c r="AW22" s="759">
        <v>0</v>
      </c>
      <c r="AX22" s="759">
        <v>0</v>
      </c>
      <c r="AY22" s="759">
        <v>0</v>
      </c>
      <c r="AZ22" s="759">
        <f>+$C$22/9</f>
        <v>23625</v>
      </c>
      <c r="BA22" s="759">
        <v>0</v>
      </c>
      <c r="BB22" s="759">
        <v>0</v>
      </c>
      <c r="BC22" s="759">
        <v>0</v>
      </c>
      <c r="BD22" s="759">
        <v>0</v>
      </c>
      <c r="BE22" s="759">
        <v>0</v>
      </c>
      <c r="BF22" s="759">
        <f>+$C$22/9</f>
        <v>23625</v>
      </c>
      <c r="BG22" s="759">
        <v>0</v>
      </c>
      <c r="BH22" s="759">
        <v>0</v>
      </c>
      <c r="BI22" s="759">
        <v>0</v>
      </c>
      <c r="BJ22" s="759">
        <v>0</v>
      </c>
      <c r="BK22" s="759">
        <v>0</v>
      </c>
      <c r="BL22" s="759">
        <f t="shared" si="5"/>
        <v>212625</v>
      </c>
      <c r="BM22" s="759"/>
      <c r="BN22" s="891">
        <f t="shared" si="6"/>
        <v>0</v>
      </c>
    </row>
    <row r="23" spans="1:66" s="781" customFormat="1" ht="38.25" x14ac:dyDescent="0.2">
      <c r="A23" s="826" t="str">
        <f>'3. PEP'!A37</f>
        <v>1.2.4</v>
      </c>
      <c r="B23" s="825" t="str">
        <f>'3. PEP'!B37</f>
        <v>Suscripción de Convenio con Municipios para Obras de Mantenimiento. Convenio Grupo 2: 70.04 km</v>
      </c>
      <c r="C23" s="759">
        <f>'3. PEP'!G37</f>
        <v>420240.00000000006</v>
      </c>
      <c r="D23" s="759">
        <v>0</v>
      </c>
      <c r="E23" s="759">
        <v>0</v>
      </c>
      <c r="F23" s="759">
        <v>0</v>
      </c>
      <c r="G23" s="759">
        <v>0</v>
      </c>
      <c r="H23" s="759">
        <v>0</v>
      </c>
      <c r="I23" s="759">
        <v>0</v>
      </c>
      <c r="J23" s="759">
        <v>0</v>
      </c>
      <c r="K23" s="759">
        <v>0</v>
      </c>
      <c r="L23" s="759">
        <v>0</v>
      </c>
      <c r="M23" s="759">
        <v>0</v>
      </c>
      <c r="N23" s="759">
        <v>0</v>
      </c>
      <c r="O23" s="759">
        <v>0</v>
      </c>
      <c r="P23" s="759">
        <f>+$C$23/8</f>
        <v>52530.000000000007</v>
      </c>
      <c r="Q23" s="759">
        <v>0</v>
      </c>
      <c r="R23" s="759">
        <v>0</v>
      </c>
      <c r="S23" s="759">
        <v>0</v>
      </c>
      <c r="T23" s="759">
        <v>0</v>
      </c>
      <c r="U23" s="759">
        <v>0</v>
      </c>
      <c r="V23" s="759">
        <f>+$C$23/8</f>
        <v>52530.000000000007</v>
      </c>
      <c r="W23" s="759">
        <v>0</v>
      </c>
      <c r="X23" s="759">
        <v>0</v>
      </c>
      <c r="Y23" s="759">
        <v>0</v>
      </c>
      <c r="Z23" s="759">
        <v>0</v>
      </c>
      <c r="AA23" s="759">
        <v>0</v>
      </c>
      <c r="AB23" s="759">
        <f>+$C$23/8</f>
        <v>52530.000000000007</v>
      </c>
      <c r="AC23" s="759">
        <v>0</v>
      </c>
      <c r="AD23" s="759">
        <v>0</v>
      </c>
      <c r="AE23" s="759">
        <v>0</v>
      </c>
      <c r="AF23" s="759">
        <v>0</v>
      </c>
      <c r="AG23" s="759">
        <v>0</v>
      </c>
      <c r="AH23" s="759">
        <f>+$C$23/8</f>
        <v>52530.000000000007</v>
      </c>
      <c r="AI23" s="759">
        <v>0</v>
      </c>
      <c r="AJ23" s="759">
        <v>0</v>
      </c>
      <c r="AK23" s="759">
        <v>0</v>
      </c>
      <c r="AL23" s="759">
        <v>0</v>
      </c>
      <c r="AM23" s="759">
        <v>0</v>
      </c>
      <c r="AN23" s="759">
        <f>+$C$23/8</f>
        <v>52530.000000000007</v>
      </c>
      <c r="AO23" s="759">
        <v>0</v>
      </c>
      <c r="AP23" s="759">
        <v>0</v>
      </c>
      <c r="AQ23" s="759">
        <v>0</v>
      </c>
      <c r="AR23" s="759">
        <v>0</v>
      </c>
      <c r="AS23" s="759">
        <v>0</v>
      </c>
      <c r="AT23" s="759">
        <f>+$C$23/8</f>
        <v>52530.000000000007</v>
      </c>
      <c r="AU23" s="759">
        <v>0</v>
      </c>
      <c r="AV23" s="759">
        <v>0</v>
      </c>
      <c r="AW23" s="759">
        <v>0</v>
      </c>
      <c r="AX23" s="759">
        <v>0</v>
      </c>
      <c r="AY23" s="759">
        <v>0</v>
      </c>
      <c r="AZ23" s="759">
        <f>+$C$23/8</f>
        <v>52530.000000000007</v>
      </c>
      <c r="BA23" s="759">
        <v>0</v>
      </c>
      <c r="BB23" s="759">
        <v>0</v>
      </c>
      <c r="BC23" s="759">
        <v>0</v>
      </c>
      <c r="BD23" s="759">
        <v>0</v>
      </c>
      <c r="BE23" s="759">
        <v>0</v>
      </c>
      <c r="BF23" s="759">
        <f>+$C$23/8</f>
        <v>52530.000000000007</v>
      </c>
      <c r="BG23" s="759">
        <v>0</v>
      </c>
      <c r="BH23" s="759">
        <v>0</v>
      </c>
      <c r="BI23" s="759">
        <v>0</v>
      </c>
      <c r="BJ23" s="759">
        <v>0</v>
      </c>
      <c r="BK23" s="759">
        <v>0</v>
      </c>
      <c r="BL23" s="759">
        <f t="shared" si="5"/>
        <v>420240.00000000006</v>
      </c>
      <c r="BM23" s="759"/>
      <c r="BN23" s="891">
        <f t="shared" si="6"/>
        <v>0</v>
      </c>
    </row>
    <row r="24" spans="1:66" s="781" customFormat="1" ht="38.25" x14ac:dyDescent="0.2">
      <c r="A24" s="826" t="str">
        <f>'3. PEP'!A38</f>
        <v>1.2.5</v>
      </c>
      <c r="B24" s="825" t="str">
        <f>'3. PEP'!B38</f>
        <v>Suscripción de Convenio con Municipios para Obras de Mantenimiento. Convenio Grupo 3: 256.75 km</v>
      </c>
      <c r="C24" s="759">
        <f>'3. PEP'!G38</f>
        <v>1155375</v>
      </c>
      <c r="D24" s="759"/>
      <c r="E24" s="759">
        <v>0</v>
      </c>
      <c r="F24" s="759">
        <v>0</v>
      </c>
      <c r="G24" s="759">
        <v>0</v>
      </c>
      <c r="H24" s="759">
        <v>0</v>
      </c>
      <c r="I24" s="759">
        <v>0</v>
      </c>
      <c r="J24" s="759">
        <v>0</v>
      </c>
      <c r="K24" s="759">
        <v>0</v>
      </c>
      <c r="L24" s="759">
        <v>0</v>
      </c>
      <c r="M24" s="759">
        <v>0</v>
      </c>
      <c r="N24" s="759">
        <v>0</v>
      </c>
      <c r="O24" s="759">
        <v>0</v>
      </c>
      <c r="P24" s="759">
        <v>0</v>
      </c>
      <c r="Q24" s="759">
        <v>0</v>
      </c>
      <c r="R24" s="759">
        <v>0</v>
      </c>
      <c r="S24" s="759">
        <v>0</v>
      </c>
      <c r="T24" s="759">
        <v>0</v>
      </c>
      <c r="U24" s="759">
        <v>0</v>
      </c>
      <c r="V24" s="759">
        <v>0</v>
      </c>
      <c r="W24" s="759">
        <v>0</v>
      </c>
      <c r="X24" s="759">
        <v>0</v>
      </c>
      <c r="Y24" s="759">
        <v>0</v>
      </c>
      <c r="Z24" s="759">
        <v>0</v>
      </c>
      <c r="AA24" s="759">
        <v>0</v>
      </c>
      <c r="AB24" s="759">
        <f>+$C$24/6</f>
        <v>192562.5</v>
      </c>
      <c r="AC24" s="759">
        <v>0</v>
      </c>
      <c r="AD24" s="759">
        <v>0</v>
      </c>
      <c r="AE24" s="759">
        <v>0</v>
      </c>
      <c r="AF24" s="759">
        <v>0</v>
      </c>
      <c r="AG24" s="759">
        <v>0</v>
      </c>
      <c r="AH24" s="759">
        <f>+$C$24/6</f>
        <v>192562.5</v>
      </c>
      <c r="AI24" s="759">
        <v>0</v>
      </c>
      <c r="AJ24" s="759">
        <v>0</v>
      </c>
      <c r="AK24" s="759">
        <v>0</v>
      </c>
      <c r="AL24" s="759">
        <v>0</v>
      </c>
      <c r="AM24" s="759">
        <v>0</v>
      </c>
      <c r="AN24" s="759">
        <f>+$C$24/6</f>
        <v>192562.5</v>
      </c>
      <c r="AO24" s="759">
        <v>0</v>
      </c>
      <c r="AP24" s="759">
        <v>0</v>
      </c>
      <c r="AQ24" s="759">
        <v>0</v>
      </c>
      <c r="AR24" s="759">
        <v>0</v>
      </c>
      <c r="AS24" s="759">
        <v>0</v>
      </c>
      <c r="AT24" s="759">
        <f>+$C$24/6</f>
        <v>192562.5</v>
      </c>
      <c r="AU24" s="759">
        <v>0</v>
      </c>
      <c r="AV24" s="759">
        <v>0</v>
      </c>
      <c r="AW24" s="759">
        <v>0</v>
      </c>
      <c r="AX24" s="759">
        <v>0</v>
      </c>
      <c r="AY24" s="759">
        <v>0</v>
      </c>
      <c r="AZ24" s="759">
        <f>+$C$24/6</f>
        <v>192562.5</v>
      </c>
      <c r="BA24" s="759">
        <v>0</v>
      </c>
      <c r="BB24" s="759">
        <v>0</v>
      </c>
      <c r="BC24" s="759">
        <v>0</v>
      </c>
      <c r="BD24" s="759">
        <v>0</v>
      </c>
      <c r="BE24" s="759">
        <v>0</v>
      </c>
      <c r="BF24" s="759">
        <f>+$C$24/6</f>
        <v>192562.5</v>
      </c>
      <c r="BG24" s="759">
        <v>0</v>
      </c>
      <c r="BH24" s="759">
        <v>0</v>
      </c>
      <c r="BI24" s="759">
        <v>0</v>
      </c>
      <c r="BJ24" s="759">
        <v>0</v>
      </c>
      <c r="BK24" s="759">
        <v>0</v>
      </c>
      <c r="BL24" s="759">
        <f t="shared" si="5"/>
        <v>1155375</v>
      </c>
      <c r="BM24" s="759"/>
      <c r="BN24" s="891">
        <f t="shared" si="6"/>
        <v>0</v>
      </c>
    </row>
    <row r="25" spans="1:66" s="781" customFormat="1" ht="38.25" x14ac:dyDescent="0.2">
      <c r="A25" s="826" t="str">
        <f>'3. PEP'!A39</f>
        <v>1.2.6</v>
      </c>
      <c r="B25" s="825" t="str">
        <f>'3. PEP'!B39</f>
        <v>Suscripción de Convenio con Municipios para Obras de Mantenimiento. Convenio Grupo 4: 29.30 km</v>
      </c>
      <c r="C25" s="759">
        <f>'3. PEP'!G39</f>
        <v>87900</v>
      </c>
      <c r="D25" s="759"/>
      <c r="E25" s="759">
        <v>0</v>
      </c>
      <c r="F25" s="759">
        <v>0</v>
      </c>
      <c r="G25" s="759">
        <v>0</v>
      </c>
      <c r="H25" s="759">
        <v>0</v>
      </c>
      <c r="I25" s="759">
        <v>0</v>
      </c>
      <c r="J25" s="759"/>
      <c r="K25" s="759">
        <v>0</v>
      </c>
      <c r="L25" s="759">
        <v>0</v>
      </c>
      <c r="M25" s="759">
        <v>0</v>
      </c>
      <c r="N25" s="759">
        <v>0</v>
      </c>
      <c r="O25" s="759">
        <v>0</v>
      </c>
      <c r="P25" s="759">
        <v>0</v>
      </c>
      <c r="Q25" s="759">
        <v>0</v>
      </c>
      <c r="R25" s="759">
        <v>0</v>
      </c>
      <c r="S25" s="759">
        <v>0</v>
      </c>
      <c r="T25" s="759">
        <v>0</v>
      </c>
      <c r="U25" s="759">
        <v>0</v>
      </c>
      <c r="V25" s="759">
        <v>0</v>
      </c>
      <c r="W25" s="759">
        <v>0</v>
      </c>
      <c r="X25" s="759">
        <v>0</v>
      </c>
      <c r="Y25" s="759">
        <v>0</v>
      </c>
      <c r="Z25" s="759">
        <v>0</v>
      </c>
      <c r="AA25" s="759">
        <v>0</v>
      </c>
      <c r="AB25" s="759">
        <v>0</v>
      </c>
      <c r="AC25" s="759">
        <v>0</v>
      </c>
      <c r="AD25" s="759">
        <v>0</v>
      </c>
      <c r="AE25" s="759">
        <v>0</v>
      </c>
      <c r="AF25" s="759">
        <v>0</v>
      </c>
      <c r="AG25" s="759">
        <v>0</v>
      </c>
      <c r="AH25" s="759">
        <v>0</v>
      </c>
      <c r="AI25" s="759">
        <v>0</v>
      </c>
      <c r="AJ25" s="759">
        <v>0</v>
      </c>
      <c r="AK25" s="759">
        <v>0</v>
      </c>
      <c r="AL25" s="759">
        <v>0</v>
      </c>
      <c r="AM25" s="759">
        <v>0</v>
      </c>
      <c r="AN25" s="759">
        <f>+$C$25/4</f>
        <v>21975</v>
      </c>
      <c r="AO25" s="759">
        <v>0</v>
      </c>
      <c r="AP25" s="759">
        <v>0</v>
      </c>
      <c r="AQ25" s="759">
        <v>0</v>
      </c>
      <c r="AR25" s="759">
        <v>0</v>
      </c>
      <c r="AS25" s="759">
        <v>0</v>
      </c>
      <c r="AT25" s="759">
        <f>+$C$25/4</f>
        <v>21975</v>
      </c>
      <c r="AU25" s="759">
        <v>0</v>
      </c>
      <c r="AV25" s="759">
        <v>0</v>
      </c>
      <c r="AW25" s="759">
        <v>0</v>
      </c>
      <c r="AX25" s="759">
        <v>0</v>
      </c>
      <c r="AY25" s="759">
        <v>0</v>
      </c>
      <c r="AZ25" s="759">
        <f>+$C$25/4</f>
        <v>21975</v>
      </c>
      <c r="BA25" s="759">
        <v>0</v>
      </c>
      <c r="BB25" s="759">
        <v>0</v>
      </c>
      <c r="BC25" s="759">
        <v>0</v>
      </c>
      <c r="BD25" s="759">
        <v>0</v>
      </c>
      <c r="BE25" s="759">
        <v>0</v>
      </c>
      <c r="BF25" s="759">
        <f>+$C$25/4</f>
        <v>21975</v>
      </c>
      <c r="BG25" s="759">
        <v>0</v>
      </c>
      <c r="BH25" s="759">
        <v>0</v>
      </c>
      <c r="BI25" s="759">
        <v>0</v>
      </c>
      <c r="BJ25" s="759">
        <v>0</v>
      </c>
      <c r="BK25" s="759">
        <v>0</v>
      </c>
      <c r="BL25" s="759">
        <f t="shared" si="5"/>
        <v>87900</v>
      </c>
      <c r="BM25" s="759"/>
      <c r="BN25" s="891">
        <f t="shared" si="6"/>
        <v>0</v>
      </c>
    </row>
    <row r="26" spans="1:66" s="781" customFormat="1" ht="25.5" x14ac:dyDescent="0.2">
      <c r="A26" s="847">
        <f>'3. PEP'!A40</f>
        <v>1.3</v>
      </c>
      <c r="B26" s="219" t="str">
        <f>'3. PEP'!B40</f>
        <v>Producto 3: 600 ml de Puentes de madera reemplazados por puentes de HoAo</v>
      </c>
      <c r="C26" s="760">
        <f>'3. PEP'!G40</f>
        <v>11660000</v>
      </c>
      <c r="D26" s="760">
        <f>+D27+D28+D29+D30+D31</f>
        <v>0</v>
      </c>
      <c r="E26" s="760">
        <f t="shared" ref="E26:BK26" si="8">+E27+E28+E29+E30+E31</f>
        <v>0</v>
      </c>
      <c r="F26" s="760">
        <f t="shared" si="8"/>
        <v>0</v>
      </c>
      <c r="G26" s="760">
        <f t="shared" si="8"/>
        <v>0</v>
      </c>
      <c r="H26" s="760">
        <f t="shared" si="8"/>
        <v>0</v>
      </c>
      <c r="I26" s="760">
        <f t="shared" si="8"/>
        <v>0</v>
      </c>
      <c r="J26" s="760">
        <f t="shared" si="8"/>
        <v>0</v>
      </c>
      <c r="K26" s="760">
        <f t="shared" si="8"/>
        <v>0</v>
      </c>
      <c r="L26" s="760">
        <f t="shared" si="8"/>
        <v>0</v>
      </c>
      <c r="M26" s="760">
        <f t="shared" si="8"/>
        <v>0</v>
      </c>
      <c r="N26" s="760">
        <f t="shared" si="8"/>
        <v>2111500</v>
      </c>
      <c r="O26" s="760">
        <f t="shared" si="8"/>
        <v>139465</v>
      </c>
      <c r="P26" s="760">
        <f t="shared" si="8"/>
        <v>164600</v>
      </c>
      <c r="Q26" s="760">
        <f t="shared" si="8"/>
        <v>345735</v>
      </c>
      <c r="R26" s="760">
        <f t="shared" si="8"/>
        <v>265130</v>
      </c>
      <c r="S26" s="760">
        <f t="shared" si="8"/>
        <v>265130</v>
      </c>
      <c r="T26" s="760">
        <f t="shared" si="8"/>
        <v>466190</v>
      </c>
      <c r="U26" s="760">
        <f t="shared" si="8"/>
        <v>516450</v>
      </c>
      <c r="V26" s="760">
        <f t="shared" si="8"/>
        <v>828450</v>
      </c>
      <c r="W26" s="760">
        <f t="shared" si="8"/>
        <v>566720</v>
      </c>
      <c r="X26" s="760">
        <f t="shared" si="8"/>
        <v>566720</v>
      </c>
      <c r="Y26" s="760">
        <f t="shared" si="8"/>
        <v>828450</v>
      </c>
      <c r="Z26" s="760">
        <f t="shared" si="8"/>
        <v>415920</v>
      </c>
      <c r="AA26" s="760">
        <f t="shared" si="8"/>
        <v>315390</v>
      </c>
      <c r="AB26" s="760">
        <f t="shared" si="8"/>
        <v>214860</v>
      </c>
      <c r="AC26" s="760">
        <f t="shared" si="8"/>
        <v>114290</v>
      </c>
      <c r="AD26" s="760">
        <f t="shared" si="8"/>
        <v>0</v>
      </c>
      <c r="AE26" s="760">
        <f t="shared" si="8"/>
        <v>353500</v>
      </c>
      <c r="AF26" s="760">
        <f t="shared" si="8"/>
        <v>66600</v>
      </c>
      <c r="AG26" s="760">
        <f t="shared" si="8"/>
        <v>82013</v>
      </c>
      <c r="AH26" s="760">
        <f t="shared" si="8"/>
        <v>97425</v>
      </c>
      <c r="AI26" s="760">
        <f t="shared" si="8"/>
        <v>112838</v>
      </c>
      <c r="AJ26" s="760">
        <f t="shared" si="8"/>
        <v>128250</v>
      </c>
      <c r="AK26" s="760">
        <f t="shared" si="8"/>
        <v>159075</v>
      </c>
      <c r="AL26" s="760">
        <f t="shared" si="8"/>
        <v>159075</v>
      </c>
      <c r="AM26" s="760">
        <f t="shared" si="8"/>
        <v>189900</v>
      </c>
      <c r="AN26" s="760">
        <f t="shared" si="8"/>
        <v>220725</v>
      </c>
      <c r="AO26" s="760">
        <f t="shared" si="8"/>
        <v>251550</v>
      </c>
      <c r="AP26" s="760">
        <f t="shared" si="8"/>
        <v>251550</v>
      </c>
      <c r="AQ26" s="760">
        <f t="shared" si="8"/>
        <v>220725</v>
      </c>
      <c r="AR26" s="760">
        <f t="shared" si="8"/>
        <v>220725</v>
      </c>
      <c r="AS26" s="760">
        <f t="shared" si="8"/>
        <v>189900</v>
      </c>
      <c r="AT26" s="760">
        <f t="shared" si="8"/>
        <v>189900</v>
      </c>
      <c r="AU26" s="760">
        <f t="shared" si="8"/>
        <v>159075</v>
      </c>
      <c r="AV26" s="760">
        <f t="shared" si="8"/>
        <v>159075</v>
      </c>
      <c r="AW26" s="760">
        <f t="shared" si="8"/>
        <v>128250</v>
      </c>
      <c r="AX26" s="760">
        <f t="shared" si="8"/>
        <v>128250</v>
      </c>
      <c r="AY26" s="760">
        <f t="shared" si="8"/>
        <v>66599</v>
      </c>
      <c r="AZ26" s="760">
        <f t="shared" si="8"/>
        <v>0</v>
      </c>
      <c r="BA26" s="760">
        <f t="shared" si="8"/>
        <v>0</v>
      </c>
      <c r="BB26" s="760">
        <f t="shared" si="8"/>
        <v>0</v>
      </c>
      <c r="BC26" s="760">
        <f t="shared" si="8"/>
        <v>0</v>
      </c>
      <c r="BD26" s="760">
        <f t="shared" si="8"/>
        <v>0</v>
      </c>
      <c r="BE26" s="760">
        <f t="shared" si="8"/>
        <v>0</v>
      </c>
      <c r="BF26" s="760">
        <f t="shared" si="8"/>
        <v>0</v>
      </c>
      <c r="BG26" s="760">
        <f t="shared" si="8"/>
        <v>0</v>
      </c>
      <c r="BH26" s="760">
        <f t="shared" si="8"/>
        <v>0</v>
      </c>
      <c r="BI26" s="760">
        <f t="shared" si="8"/>
        <v>0</v>
      </c>
      <c r="BJ26" s="760">
        <f t="shared" si="8"/>
        <v>0</v>
      </c>
      <c r="BK26" s="760">
        <f t="shared" si="8"/>
        <v>0</v>
      </c>
      <c r="BL26" s="760">
        <f t="shared" si="5"/>
        <v>11660000</v>
      </c>
      <c r="BM26" s="760">
        <f t="shared" si="3"/>
        <v>0</v>
      </c>
      <c r="BN26" s="891">
        <f t="shared" si="6"/>
        <v>0</v>
      </c>
    </row>
    <row r="27" spans="1:66" s="781" customFormat="1" ht="38.25" x14ac:dyDescent="0.2">
      <c r="A27" s="316" t="str">
        <f>'3. PEP'!A41</f>
        <v>1.3.1</v>
      </c>
      <c r="B27" s="222" t="str">
        <f>'3. PEP'!B41</f>
        <v>Contratación de Firma Constructora para reemplazo de puentes - Grupo 1: Paraguarí - Misiones - Cordillera y San Pedro (405 ml)</v>
      </c>
      <c r="C27" s="759">
        <f>'3. PEP'!G41</f>
        <v>6885000</v>
      </c>
      <c r="D27" s="759">
        <v>0</v>
      </c>
      <c r="E27" s="759">
        <v>0</v>
      </c>
      <c r="F27" s="759">
        <v>0</v>
      </c>
      <c r="G27" s="759">
        <v>0</v>
      </c>
      <c r="H27" s="759">
        <v>0</v>
      </c>
      <c r="I27" s="759">
        <v>0</v>
      </c>
      <c r="J27" s="759">
        <v>0</v>
      </c>
      <c r="K27" s="759">
        <v>0</v>
      </c>
      <c r="L27" s="759">
        <v>0</v>
      </c>
      <c r="M27" s="759">
        <v>0</v>
      </c>
      <c r="N27" s="759">
        <f>'Puentes G1'!B64</f>
        <v>2065500</v>
      </c>
      <c r="O27" s="759">
        <f>'Puentes G1'!C64</f>
        <v>120490</v>
      </c>
      <c r="P27" s="759">
        <f>'Puentes G1'!D64</f>
        <v>144590</v>
      </c>
      <c r="Q27" s="759">
        <f>'Puentes G1'!E64</f>
        <v>168690</v>
      </c>
      <c r="R27" s="759">
        <f>'Puentes G1'!F64</f>
        <v>240980</v>
      </c>
      <c r="S27" s="759">
        <f>'Puentes G1'!G64</f>
        <v>240980</v>
      </c>
      <c r="T27" s="759">
        <f>'Puentes G1'!H64</f>
        <v>433760</v>
      </c>
      <c r="U27" s="759">
        <f>'Puentes G1'!I64</f>
        <v>481950</v>
      </c>
      <c r="V27" s="759">
        <f>'Puentes G1'!J64</f>
        <v>481950</v>
      </c>
      <c r="W27" s="759">
        <f>'Puentes G1'!K64</f>
        <v>530150</v>
      </c>
      <c r="X27" s="759">
        <f>'Puentes G1'!L64</f>
        <v>530150</v>
      </c>
      <c r="Y27" s="759">
        <f>'Puentes G1'!M64</f>
        <v>481950</v>
      </c>
      <c r="Z27" s="759">
        <f>'Puentes G1'!N64</f>
        <v>385560</v>
      </c>
      <c r="AA27" s="759">
        <f>'Puentes G1'!O64</f>
        <v>289170</v>
      </c>
      <c r="AB27" s="759">
        <f>'Puentes G1'!P64</f>
        <v>192780</v>
      </c>
      <c r="AC27" s="759">
        <f>96350</f>
        <v>96350</v>
      </c>
      <c r="AD27" s="759">
        <v>0</v>
      </c>
      <c r="AE27" s="759">
        <v>0</v>
      </c>
      <c r="AF27" s="759">
        <v>0</v>
      </c>
      <c r="AG27" s="759">
        <v>0</v>
      </c>
      <c r="AH27" s="759">
        <v>0</v>
      </c>
      <c r="AI27" s="759">
        <v>0</v>
      </c>
      <c r="AJ27" s="759">
        <v>0</v>
      </c>
      <c r="AK27" s="759">
        <v>0</v>
      </c>
      <c r="AL27" s="759">
        <v>0</v>
      </c>
      <c r="AM27" s="759">
        <v>0</v>
      </c>
      <c r="AN27" s="759">
        <v>0</v>
      </c>
      <c r="AO27" s="759">
        <v>0</v>
      </c>
      <c r="AP27" s="759">
        <v>0</v>
      </c>
      <c r="AQ27" s="759">
        <v>0</v>
      </c>
      <c r="AR27" s="759">
        <v>0</v>
      </c>
      <c r="AS27" s="759">
        <v>0</v>
      </c>
      <c r="AT27" s="759">
        <v>0</v>
      </c>
      <c r="AU27" s="759">
        <v>0</v>
      </c>
      <c r="AV27" s="759">
        <v>0</v>
      </c>
      <c r="AW27" s="759">
        <v>0</v>
      </c>
      <c r="AX27" s="759">
        <v>0</v>
      </c>
      <c r="AY27" s="759">
        <v>0</v>
      </c>
      <c r="AZ27" s="759">
        <v>0</v>
      </c>
      <c r="BA27" s="759">
        <v>0</v>
      </c>
      <c r="BB27" s="759">
        <v>0</v>
      </c>
      <c r="BC27" s="759">
        <v>0</v>
      </c>
      <c r="BD27" s="759">
        <v>0</v>
      </c>
      <c r="BE27" s="759">
        <v>0</v>
      </c>
      <c r="BF27" s="759">
        <v>0</v>
      </c>
      <c r="BG27" s="759">
        <v>0</v>
      </c>
      <c r="BH27" s="759">
        <v>0</v>
      </c>
      <c r="BI27" s="759">
        <v>0</v>
      </c>
      <c r="BJ27" s="759">
        <v>0</v>
      </c>
      <c r="BK27" s="759">
        <v>0</v>
      </c>
      <c r="BL27" s="759">
        <f t="shared" si="5"/>
        <v>6885000</v>
      </c>
      <c r="BM27" s="759">
        <f t="shared" si="3"/>
        <v>0</v>
      </c>
      <c r="BN27" s="891">
        <f t="shared" si="6"/>
        <v>0</v>
      </c>
    </row>
    <row r="28" spans="1:66" s="781" customFormat="1" ht="38.25" x14ac:dyDescent="0.2">
      <c r="A28" s="316" t="str">
        <f>'3. PEP'!A42</f>
        <v>1.3.2</v>
      </c>
      <c r="B28" s="222" t="str">
        <f>'3. PEP'!B42</f>
        <v>Contratación de Firma Constructora para reemplazo de puentes - Grupo 2:  Guaira - Alto Paraná y Amambay (195 ml)</v>
      </c>
      <c r="C28" s="759">
        <f>'3. PEP'!G42</f>
        <v>3315000</v>
      </c>
      <c r="D28" s="759">
        <v>0</v>
      </c>
      <c r="E28" s="759">
        <v>0</v>
      </c>
      <c r="F28" s="759">
        <v>0</v>
      </c>
      <c r="G28" s="759">
        <v>0</v>
      </c>
      <c r="H28" s="759">
        <v>0</v>
      </c>
      <c r="I28" s="759">
        <v>0</v>
      </c>
      <c r="J28" s="759">
        <v>0</v>
      </c>
      <c r="K28" s="759">
        <v>0</v>
      </c>
      <c r="L28" s="759">
        <v>0</v>
      </c>
      <c r="M28" s="759">
        <v>0</v>
      </c>
      <c r="N28" s="759">
        <v>0</v>
      </c>
      <c r="O28" s="759">
        <v>0</v>
      </c>
      <c r="P28" s="759">
        <v>0</v>
      </c>
      <c r="Q28" s="759">
        <v>0</v>
      </c>
      <c r="R28" s="759">
        <v>0</v>
      </c>
      <c r="S28" s="759">
        <v>0</v>
      </c>
      <c r="T28" s="759">
        <v>0</v>
      </c>
      <c r="U28" s="759">
        <v>0</v>
      </c>
      <c r="V28" s="759">
        <v>0</v>
      </c>
      <c r="W28" s="759">
        <v>0</v>
      </c>
      <c r="X28" s="759">
        <v>0</v>
      </c>
      <c r="Y28" s="759">
        <v>0</v>
      </c>
      <c r="Z28" s="759">
        <v>0</v>
      </c>
      <c r="AA28" s="759">
        <v>0</v>
      </c>
      <c r="AB28" s="759">
        <v>0</v>
      </c>
      <c r="AC28" s="759">
        <v>0</v>
      </c>
      <c r="AD28" s="759">
        <v>0</v>
      </c>
      <c r="AE28" s="759">
        <f>'Puentes G2'!B46</f>
        <v>331500</v>
      </c>
      <c r="AF28" s="759">
        <f>'Puentes G2'!C46</f>
        <v>59670</v>
      </c>
      <c r="AG28" s="759">
        <f>'Puentes G2'!D46</f>
        <v>74588</v>
      </c>
      <c r="AH28" s="759">
        <f>'Puentes G2'!E46</f>
        <v>89505</v>
      </c>
      <c r="AI28" s="759">
        <f>'Puentes G2'!F46</f>
        <v>104423</v>
      </c>
      <c r="AJ28" s="759">
        <f>'Puentes G2'!G46</f>
        <v>119340</v>
      </c>
      <c r="AK28" s="759">
        <f>'Puentes G2'!H46</f>
        <v>149175</v>
      </c>
      <c r="AL28" s="759">
        <f>'Puentes G2'!I46</f>
        <v>149175</v>
      </c>
      <c r="AM28" s="759">
        <f>'Puentes G2'!J46</f>
        <v>179010</v>
      </c>
      <c r="AN28" s="759">
        <f>'Puentes G2'!K46</f>
        <v>208845</v>
      </c>
      <c r="AO28" s="759">
        <f>'Puentes G2'!L46</f>
        <v>238680</v>
      </c>
      <c r="AP28" s="759">
        <f>'Puentes G2'!M46</f>
        <v>238680</v>
      </c>
      <c r="AQ28" s="759">
        <f>'Puentes G2'!N46</f>
        <v>208845</v>
      </c>
      <c r="AR28" s="759">
        <f>'Puentes G2'!O46</f>
        <v>208845</v>
      </c>
      <c r="AS28" s="759">
        <f>'Puentes G2'!P46</f>
        <v>179010</v>
      </c>
      <c r="AT28" s="759">
        <f>'Puentes G2'!Q46</f>
        <v>179010</v>
      </c>
      <c r="AU28" s="759">
        <f>'Puentes G2'!R46</f>
        <v>149175</v>
      </c>
      <c r="AV28" s="759">
        <f>'Puentes G2'!S46</f>
        <v>149175</v>
      </c>
      <c r="AW28" s="759">
        <f>'Puentes G2'!T46</f>
        <v>119340</v>
      </c>
      <c r="AX28" s="759">
        <f>'Puentes G2'!U46</f>
        <v>119340</v>
      </c>
      <c r="AY28" s="759">
        <f>59669</f>
        <v>59669</v>
      </c>
      <c r="AZ28" s="759">
        <v>0</v>
      </c>
      <c r="BA28" s="759">
        <v>0</v>
      </c>
      <c r="BB28" s="759">
        <v>0</v>
      </c>
      <c r="BC28" s="759">
        <v>0</v>
      </c>
      <c r="BD28" s="759">
        <v>0</v>
      </c>
      <c r="BE28" s="759">
        <v>0</v>
      </c>
      <c r="BF28" s="759">
        <v>0</v>
      </c>
      <c r="BG28" s="759">
        <v>0</v>
      </c>
      <c r="BH28" s="759">
        <v>0</v>
      </c>
      <c r="BI28" s="759">
        <v>0</v>
      </c>
      <c r="BJ28" s="759">
        <v>0</v>
      </c>
      <c r="BK28" s="759">
        <v>0</v>
      </c>
      <c r="BL28" s="759">
        <f t="shared" si="5"/>
        <v>3315000</v>
      </c>
      <c r="BM28" s="759">
        <f t="shared" si="3"/>
        <v>0</v>
      </c>
      <c r="BN28" s="891">
        <f t="shared" si="6"/>
        <v>0</v>
      </c>
    </row>
    <row r="29" spans="1:66" s="781" customFormat="1" ht="25.5" x14ac:dyDescent="0.2">
      <c r="A29" s="315" t="str">
        <f>'3. PEP'!A43</f>
        <v>1.3.3</v>
      </c>
      <c r="B29" s="218" t="str">
        <f>'3. PEP'!B43</f>
        <v>Contratación de Firma Consultora para Fiscalización de reemplazo de puentes Grupo 1</v>
      </c>
      <c r="C29" s="759">
        <f>'3. PEP'!G43</f>
        <v>460000</v>
      </c>
      <c r="D29" s="759">
        <v>0</v>
      </c>
      <c r="E29" s="759">
        <v>0</v>
      </c>
      <c r="F29" s="759">
        <v>0</v>
      </c>
      <c r="G29" s="759">
        <v>0</v>
      </c>
      <c r="H29" s="759">
        <v>0</v>
      </c>
      <c r="I29" s="759">
        <v>0</v>
      </c>
      <c r="J29" s="759">
        <v>0</v>
      </c>
      <c r="K29" s="759">
        <v>0</v>
      </c>
      <c r="L29" s="759">
        <v>0</v>
      </c>
      <c r="M29" s="759">
        <v>0</v>
      </c>
      <c r="N29" s="759">
        <v>46000</v>
      </c>
      <c r="O29" s="759">
        <v>18975</v>
      </c>
      <c r="P29" s="759">
        <v>20010</v>
      </c>
      <c r="Q29" s="759">
        <v>21045</v>
      </c>
      <c r="R29" s="759">
        <v>24150</v>
      </c>
      <c r="S29" s="759">
        <v>24150</v>
      </c>
      <c r="T29" s="759">
        <v>32430</v>
      </c>
      <c r="U29" s="759">
        <v>34500</v>
      </c>
      <c r="V29" s="759">
        <v>34500</v>
      </c>
      <c r="W29" s="759">
        <v>36570</v>
      </c>
      <c r="X29" s="759">
        <v>36570</v>
      </c>
      <c r="Y29" s="759">
        <v>34500</v>
      </c>
      <c r="Z29" s="759">
        <v>30360</v>
      </c>
      <c r="AA29" s="759">
        <v>26220</v>
      </c>
      <c r="AB29" s="759">
        <v>22080</v>
      </c>
      <c r="AC29" s="759">
        <v>17940</v>
      </c>
      <c r="AD29" s="759">
        <v>0</v>
      </c>
      <c r="AE29" s="759">
        <v>0</v>
      </c>
      <c r="AF29" s="759">
        <v>0</v>
      </c>
      <c r="AG29" s="759">
        <v>0</v>
      </c>
      <c r="AH29" s="759">
        <v>0</v>
      </c>
      <c r="AI29" s="759">
        <v>0</v>
      </c>
      <c r="AJ29" s="759">
        <v>0</v>
      </c>
      <c r="AK29" s="759">
        <v>0</v>
      </c>
      <c r="AL29" s="759">
        <v>0</v>
      </c>
      <c r="AM29" s="759">
        <v>0</v>
      </c>
      <c r="AN29" s="759">
        <v>0</v>
      </c>
      <c r="AO29" s="759">
        <v>0</v>
      </c>
      <c r="AP29" s="759">
        <v>0</v>
      </c>
      <c r="AQ29" s="759">
        <v>0</v>
      </c>
      <c r="AR29" s="759">
        <v>0</v>
      </c>
      <c r="AS29" s="759">
        <v>0</v>
      </c>
      <c r="AT29" s="759">
        <v>0</v>
      </c>
      <c r="AU29" s="759">
        <v>0</v>
      </c>
      <c r="AV29" s="759">
        <v>0</v>
      </c>
      <c r="AW29" s="759">
        <v>0</v>
      </c>
      <c r="AX29" s="759">
        <v>0</v>
      </c>
      <c r="AY29" s="759">
        <v>0</v>
      </c>
      <c r="AZ29" s="759">
        <v>0</v>
      </c>
      <c r="BA29" s="759">
        <v>0</v>
      </c>
      <c r="BB29" s="759">
        <v>0</v>
      </c>
      <c r="BC29" s="759">
        <v>0</v>
      </c>
      <c r="BD29" s="759">
        <v>0</v>
      </c>
      <c r="BE29" s="759">
        <v>0</v>
      </c>
      <c r="BF29" s="759">
        <v>0</v>
      </c>
      <c r="BG29" s="759">
        <v>0</v>
      </c>
      <c r="BH29" s="759">
        <v>0</v>
      </c>
      <c r="BI29" s="759">
        <v>0</v>
      </c>
      <c r="BJ29" s="759">
        <v>0</v>
      </c>
      <c r="BK29" s="759">
        <v>0</v>
      </c>
      <c r="BL29" s="759">
        <f>SUM(D29:BK29)</f>
        <v>460000</v>
      </c>
      <c r="BM29" s="759">
        <f>C29-BL29</f>
        <v>0</v>
      </c>
      <c r="BN29" s="891">
        <f>+BL29-C29</f>
        <v>0</v>
      </c>
    </row>
    <row r="30" spans="1:66" s="781" customFormat="1" ht="25.5" x14ac:dyDescent="0.2">
      <c r="A30" s="315" t="str">
        <f>'3. PEP'!A44</f>
        <v>1.3.4</v>
      </c>
      <c r="B30" s="218" t="str">
        <f>'3. PEP'!B44</f>
        <v>Contratación de Firma Consultora para Fiscalización de reemplazo de puentes Grupo 2</v>
      </c>
      <c r="C30" s="759">
        <f>'3. PEP'!G44</f>
        <v>220000</v>
      </c>
      <c r="D30" s="759">
        <v>0</v>
      </c>
      <c r="E30" s="759">
        <v>0</v>
      </c>
      <c r="F30" s="759">
        <v>0</v>
      </c>
      <c r="G30" s="759">
        <v>0</v>
      </c>
      <c r="H30" s="759">
        <v>0</v>
      </c>
      <c r="I30" s="759">
        <v>0</v>
      </c>
      <c r="J30" s="759">
        <v>0</v>
      </c>
      <c r="K30" s="759">
        <v>0</v>
      </c>
      <c r="L30" s="759">
        <v>0</v>
      </c>
      <c r="M30" s="759">
        <v>0</v>
      </c>
      <c r="N30" s="759">
        <v>0</v>
      </c>
      <c r="O30" s="759">
        <v>0</v>
      </c>
      <c r="P30" s="759">
        <v>0</v>
      </c>
      <c r="Q30" s="759">
        <v>0</v>
      </c>
      <c r="R30" s="759">
        <v>0</v>
      </c>
      <c r="S30" s="759">
        <v>0</v>
      </c>
      <c r="T30" s="759">
        <v>0</v>
      </c>
      <c r="U30" s="759">
        <v>0</v>
      </c>
      <c r="V30" s="759">
        <v>0</v>
      </c>
      <c r="W30" s="759">
        <v>0</v>
      </c>
      <c r="X30" s="759">
        <v>0</v>
      </c>
      <c r="Y30" s="759">
        <v>0</v>
      </c>
      <c r="Z30" s="759">
        <v>0</v>
      </c>
      <c r="AA30" s="759">
        <v>0</v>
      </c>
      <c r="AB30" s="759">
        <v>0</v>
      </c>
      <c r="AC30" s="759">
        <v>0</v>
      </c>
      <c r="AD30" s="759">
        <v>0</v>
      </c>
      <c r="AE30" s="759">
        <v>22000</v>
      </c>
      <c r="AF30" s="759">
        <v>6930</v>
      </c>
      <c r="AG30" s="759">
        <v>7425</v>
      </c>
      <c r="AH30" s="759">
        <v>7920</v>
      </c>
      <c r="AI30" s="759">
        <v>8415</v>
      </c>
      <c r="AJ30" s="759">
        <v>8910</v>
      </c>
      <c r="AK30" s="759">
        <v>9900</v>
      </c>
      <c r="AL30" s="759">
        <v>9900</v>
      </c>
      <c r="AM30" s="759">
        <v>10890</v>
      </c>
      <c r="AN30" s="759">
        <v>11880</v>
      </c>
      <c r="AO30" s="759">
        <v>12870</v>
      </c>
      <c r="AP30" s="759">
        <v>12870</v>
      </c>
      <c r="AQ30" s="759">
        <v>11880</v>
      </c>
      <c r="AR30" s="759">
        <v>11880</v>
      </c>
      <c r="AS30" s="759">
        <v>10890</v>
      </c>
      <c r="AT30" s="759">
        <v>10890</v>
      </c>
      <c r="AU30" s="759">
        <v>9900</v>
      </c>
      <c r="AV30" s="759">
        <v>9900</v>
      </c>
      <c r="AW30" s="759">
        <v>8910</v>
      </c>
      <c r="AX30" s="759">
        <v>8910</v>
      </c>
      <c r="AY30" s="759">
        <v>6930</v>
      </c>
      <c r="AZ30" s="759">
        <v>0</v>
      </c>
      <c r="BA30" s="759">
        <v>0</v>
      </c>
      <c r="BB30" s="759">
        <v>0</v>
      </c>
      <c r="BC30" s="759">
        <v>0</v>
      </c>
      <c r="BD30" s="759">
        <v>0</v>
      </c>
      <c r="BE30" s="759">
        <v>0</v>
      </c>
      <c r="BF30" s="759">
        <v>0</v>
      </c>
      <c r="BG30" s="759">
        <v>0</v>
      </c>
      <c r="BH30" s="759">
        <v>0</v>
      </c>
      <c r="BI30" s="759">
        <v>0</v>
      </c>
      <c r="BJ30" s="759">
        <v>0</v>
      </c>
      <c r="BK30" s="759">
        <v>0</v>
      </c>
      <c r="BL30" s="759">
        <f>SUM(D30:BK30)</f>
        <v>220000</v>
      </c>
      <c r="BM30" s="759">
        <f>C30-BL30</f>
        <v>0</v>
      </c>
      <c r="BN30" s="891">
        <f>+BL30-C30</f>
        <v>0</v>
      </c>
    </row>
    <row r="31" spans="1:66" s="781" customFormat="1" ht="25.5" x14ac:dyDescent="0.2">
      <c r="A31" s="315" t="str">
        <f>'3. PEP'!A45</f>
        <v>1.3.5</v>
      </c>
      <c r="B31" s="218" t="str">
        <f>'3. PEP'!B45</f>
        <v>Contratación de Firma Consultora para el desarrollo de diseños de puentes - Grupo 2</v>
      </c>
      <c r="C31" s="759">
        <f>'3. PEP'!G45</f>
        <v>780000</v>
      </c>
      <c r="D31" s="759">
        <v>0</v>
      </c>
      <c r="E31" s="759">
        <v>0</v>
      </c>
      <c r="F31" s="759">
        <v>0</v>
      </c>
      <c r="G31" s="759">
        <v>0</v>
      </c>
      <c r="H31" s="759">
        <v>0</v>
      </c>
      <c r="I31" s="759">
        <v>0</v>
      </c>
      <c r="J31" s="759">
        <v>0</v>
      </c>
      <c r="K31" s="759">
        <v>0</v>
      </c>
      <c r="L31" s="759">
        <v>0</v>
      </c>
      <c r="M31" s="759">
        <v>0</v>
      </c>
      <c r="N31" s="759">
        <v>0</v>
      </c>
      <c r="O31" s="759">
        <v>0</v>
      </c>
      <c r="P31" s="759">
        <v>0</v>
      </c>
      <c r="Q31" s="759">
        <f>C31*0.2</f>
        <v>156000</v>
      </c>
      <c r="R31" s="759">
        <v>0</v>
      </c>
      <c r="S31" s="759">
        <v>0</v>
      </c>
      <c r="T31" s="759">
        <v>0</v>
      </c>
      <c r="U31" s="759">
        <v>0</v>
      </c>
      <c r="V31" s="759">
        <f>C31*0.4</f>
        <v>312000</v>
      </c>
      <c r="W31" s="759">
        <v>0</v>
      </c>
      <c r="X31" s="759">
        <v>0</v>
      </c>
      <c r="Y31" s="759">
        <f>C31*0.4</f>
        <v>312000</v>
      </c>
      <c r="Z31" s="759">
        <v>0</v>
      </c>
      <c r="AA31" s="759">
        <v>0</v>
      </c>
      <c r="AB31" s="759">
        <v>0</v>
      </c>
      <c r="AC31" s="759">
        <v>0</v>
      </c>
      <c r="AD31" s="759">
        <v>0</v>
      </c>
      <c r="AE31" s="759">
        <v>0</v>
      </c>
      <c r="AF31" s="759">
        <v>0</v>
      </c>
      <c r="AG31" s="759">
        <v>0</v>
      </c>
      <c r="AH31" s="759">
        <v>0</v>
      </c>
      <c r="AI31" s="759">
        <v>0</v>
      </c>
      <c r="AJ31" s="759">
        <v>0</v>
      </c>
      <c r="AK31" s="759">
        <v>0</v>
      </c>
      <c r="AL31" s="759">
        <v>0</v>
      </c>
      <c r="AM31" s="759">
        <v>0</v>
      </c>
      <c r="AN31" s="759">
        <v>0</v>
      </c>
      <c r="AO31" s="759">
        <v>0</v>
      </c>
      <c r="AP31" s="759">
        <v>0</v>
      </c>
      <c r="AQ31" s="759">
        <v>0</v>
      </c>
      <c r="AR31" s="759">
        <v>0</v>
      </c>
      <c r="AS31" s="759">
        <v>0</v>
      </c>
      <c r="AT31" s="759">
        <v>0</v>
      </c>
      <c r="AU31" s="759">
        <v>0</v>
      </c>
      <c r="AV31" s="759">
        <v>0</v>
      </c>
      <c r="AW31" s="759">
        <v>0</v>
      </c>
      <c r="AX31" s="759">
        <v>0</v>
      </c>
      <c r="AY31" s="759">
        <v>0</v>
      </c>
      <c r="AZ31" s="759">
        <v>0</v>
      </c>
      <c r="BA31" s="759">
        <v>0</v>
      </c>
      <c r="BB31" s="759">
        <v>0</v>
      </c>
      <c r="BC31" s="759">
        <v>0</v>
      </c>
      <c r="BD31" s="759">
        <v>0</v>
      </c>
      <c r="BE31" s="759">
        <v>0</v>
      </c>
      <c r="BF31" s="759">
        <v>0</v>
      </c>
      <c r="BG31" s="759">
        <v>0</v>
      </c>
      <c r="BH31" s="759">
        <v>0</v>
      </c>
      <c r="BI31" s="759">
        <v>0</v>
      </c>
      <c r="BJ31" s="759">
        <v>0</v>
      </c>
      <c r="BK31" s="759">
        <v>0</v>
      </c>
      <c r="BL31" s="759">
        <f>SUM(D31:BK31)</f>
        <v>780000</v>
      </c>
      <c r="BM31" s="759">
        <f>C31-BL31</f>
        <v>0</v>
      </c>
      <c r="BN31" s="891">
        <f>+BL31-C31</f>
        <v>0</v>
      </c>
    </row>
    <row r="32" spans="1:66" s="781" customFormat="1" ht="25.5" x14ac:dyDescent="0.2">
      <c r="A32" s="847">
        <f>'3. PEP'!A46</f>
        <v>1.4</v>
      </c>
      <c r="B32" s="219" t="str">
        <f>'3. PEP'!B46</f>
        <v>Producto 4: Mujeres Capacitadas en empleos no tradicionales del sector vial</v>
      </c>
      <c r="C32" s="760">
        <f>'3. PEP'!G46</f>
        <v>220000</v>
      </c>
      <c r="D32" s="760">
        <f>+D33+D34</f>
        <v>0</v>
      </c>
      <c r="E32" s="760">
        <f t="shared" ref="E32:BK32" si="9">+E33+E34</f>
        <v>0</v>
      </c>
      <c r="F32" s="760">
        <f t="shared" si="9"/>
        <v>0</v>
      </c>
      <c r="G32" s="760">
        <f t="shared" si="9"/>
        <v>0</v>
      </c>
      <c r="H32" s="760">
        <f t="shared" si="9"/>
        <v>0</v>
      </c>
      <c r="I32" s="760">
        <f t="shared" si="9"/>
        <v>0</v>
      </c>
      <c r="J32" s="760">
        <f t="shared" si="9"/>
        <v>0</v>
      </c>
      <c r="K32" s="760">
        <f t="shared" si="9"/>
        <v>0</v>
      </c>
      <c r="L32" s="760">
        <f t="shared" si="9"/>
        <v>0</v>
      </c>
      <c r="M32" s="760">
        <f t="shared" si="9"/>
        <v>0</v>
      </c>
      <c r="N32" s="760">
        <f t="shared" si="9"/>
        <v>44000</v>
      </c>
      <c r="O32" s="760">
        <f t="shared" si="9"/>
        <v>0</v>
      </c>
      <c r="P32" s="760">
        <f t="shared" si="9"/>
        <v>0</v>
      </c>
      <c r="Q32" s="760">
        <f t="shared" si="9"/>
        <v>0</v>
      </c>
      <c r="R32" s="760">
        <f t="shared" si="9"/>
        <v>0</v>
      </c>
      <c r="S32" s="760">
        <f t="shared" si="9"/>
        <v>13500</v>
      </c>
      <c r="T32" s="760">
        <f t="shared" si="9"/>
        <v>19500</v>
      </c>
      <c r="U32" s="760">
        <f t="shared" si="9"/>
        <v>0</v>
      </c>
      <c r="V32" s="760">
        <f t="shared" si="9"/>
        <v>0</v>
      </c>
      <c r="W32" s="760">
        <f t="shared" si="9"/>
        <v>0</v>
      </c>
      <c r="X32" s="760">
        <f t="shared" si="9"/>
        <v>13500</v>
      </c>
      <c r="Y32" s="760">
        <f t="shared" si="9"/>
        <v>0</v>
      </c>
      <c r="Z32" s="760">
        <f t="shared" si="9"/>
        <v>13000</v>
      </c>
      <c r="AA32" s="760">
        <f t="shared" si="9"/>
        <v>0</v>
      </c>
      <c r="AB32" s="760">
        <f t="shared" si="9"/>
        <v>0</v>
      </c>
      <c r="AC32" s="760">
        <f t="shared" si="9"/>
        <v>9000</v>
      </c>
      <c r="AD32" s="760">
        <f t="shared" si="9"/>
        <v>0</v>
      </c>
      <c r="AE32" s="760">
        <f t="shared" si="9"/>
        <v>0</v>
      </c>
      <c r="AF32" s="760">
        <f t="shared" si="9"/>
        <v>19500</v>
      </c>
      <c r="AG32" s="760">
        <f t="shared" si="9"/>
        <v>0</v>
      </c>
      <c r="AH32" s="760">
        <f t="shared" si="9"/>
        <v>9000</v>
      </c>
      <c r="AI32" s="760">
        <f t="shared" si="9"/>
        <v>0</v>
      </c>
      <c r="AJ32" s="760">
        <f t="shared" si="9"/>
        <v>0</v>
      </c>
      <c r="AK32" s="760">
        <f t="shared" si="9"/>
        <v>0</v>
      </c>
      <c r="AL32" s="760">
        <f t="shared" si="9"/>
        <v>13000</v>
      </c>
      <c r="AM32" s="760">
        <f t="shared" si="9"/>
        <v>13500</v>
      </c>
      <c r="AN32" s="760">
        <f t="shared" si="9"/>
        <v>0</v>
      </c>
      <c r="AO32" s="760">
        <f t="shared" si="9"/>
        <v>0</v>
      </c>
      <c r="AP32" s="760">
        <f t="shared" si="9"/>
        <v>0</v>
      </c>
      <c r="AQ32" s="760">
        <f t="shared" si="9"/>
        <v>0</v>
      </c>
      <c r="AR32" s="760">
        <f t="shared" si="9"/>
        <v>26500</v>
      </c>
      <c r="AS32" s="760">
        <f t="shared" si="9"/>
        <v>0</v>
      </c>
      <c r="AT32" s="760">
        <f t="shared" si="9"/>
        <v>0</v>
      </c>
      <c r="AU32" s="760">
        <f t="shared" si="9"/>
        <v>0</v>
      </c>
      <c r="AV32" s="760">
        <f t="shared" si="9"/>
        <v>0</v>
      </c>
      <c r="AW32" s="760">
        <f t="shared" si="9"/>
        <v>0</v>
      </c>
      <c r="AX32" s="760">
        <f t="shared" si="9"/>
        <v>0</v>
      </c>
      <c r="AY32" s="760">
        <f t="shared" si="9"/>
        <v>26000</v>
      </c>
      <c r="AZ32" s="760">
        <f t="shared" si="9"/>
        <v>0</v>
      </c>
      <c r="BA32" s="760">
        <f t="shared" si="9"/>
        <v>0</v>
      </c>
      <c r="BB32" s="760">
        <f t="shared" si="9"/>
        <v>0</v>
      </c>
      <c r="BC32" s="760">
        <f t="shared" si="9"/>
        <v>0</v>
      </c>
      <c r="BD32" s="760">
        <f t="shared" si="9"/>
        <v>0</v>
      </c>
      <c r="BE32" s="760">
        <f t="shared" si="9"/>
        <v>0</v>
      </c>
      <c r="BF32" s="760">
        <f t="shared" si="9"/>
        <v>0</v>
      </c>
      <c r="BG32" s="760">
        <f t="shared" si="9"/>
        <v>0</v>
      </c>
      <c r="BH32" s="760">
        <f t="shared" si="9"/>
        <v>0</v>
      </c>
      <c r="BI32" s="760">
        <f t="shared" si="9"/>
        <v>0</v>
      </c>
      <c r="BJ32" s="760">
        <f t="shared" si="9"/>
        <v>0</v>
      </c>
      <c r="BK32" s="760">
        <f t="shared" si="9"/>
        <v>0</v>
      </c>
      <c r="BL32" s="760">
        <f>+BL33+BL34</f>
        <v>220000</v>
      </c>
      <c r="BM32" s="760">
        <f t="shared" si="3"/>
        <v>0</v>
      </c>
      <c r="BN32" s="891">
        <f t="shared" si="6"/>
        <v>0</v>
      </c>
    </row>
    <row r="33" spans="1:70" s="781" customFormat="1" ht="25.5" x14ac:dyDescent="0.2">
      <c r="A33" s="315" t="str">
        <f>'3. PEP'!A47</f>
        <v>1.4.1</v>
      </c>
      <c r="B33" s="218" t="str">
        <f>'3. PEP'!B47</f>
        <v>Consultoría para diseño y divulgación de Programa de Educación Ambiental y de Género</v>
      </c>
      <c r="C33" s="759">
        <f>'3. PEP'!G47</f>
        <v>90000</v>
      </c>
      <c r="D33" s="759">
        <v>0</v>
      </c>
      <c r="E33" s="759">
        <v>0</v>
      </c>
      <c r="F33" s="759">
        <v>0</v>
      </c>
      <c r="G33" s="759">
        <v>0</v>
      </c>
      <c r="H33" s="759">
        <v>0</v>
      </c>
      <c r="I33" s="759">
        <v>0</v>
      </c>
      <c r="J33" s="759">
        <v>0</v>
      </c>
      <c r="K33" s="759">
        <v>0</v>
      </c>
      <c r="L33" s="759">
        <v>0</v>
      </c>
      <c r="M33" s="759">
        <v>0</v>
      </c>
      <c r="N33" s="759">
        <f>+$C$33*0.2</f>
        <v>18000</v>
      </c>
      <c r="O33" s="759">
        <v>0</v>
      </c>
      <c r="P33" s="759">
        <v>0</v>
      </c>
      <c r="Q33" s="759">
        <v>0</v>
      </c>
      <c r="R33" s="759">
        <f>+G33*0.2</f>
        <v>0</v>
      </c>
      <c r="S33" s="759">
        <f>+$C$33*0.15</f>
        <v>13500</v>
      </c>
      <c r="T33" s="759">
        <v>0</v>
      </c>
      <c r="U33" s="759">
        <v>0</v>
      </c>
      <c r="V33" s="759">
        <v>0</v>
      </c>
      <c r="W33" s="759">
        <v>0</v>
      </c>
      <c r="X33" s="759">
        <f>+$C$33*0.15</f>
        <v>13500</v>
      </c>
      <c r="Y33" s="759">
        <v>0</v>
      </c>
      <c r="Z33" s="759">
        <v>0</v>
      </c>
      <c r="AA33" s="759">
        <v>0</v>
      </c>
      <c r="AB33" s="759">
        <v>0</v>
      </c>
      <c r="AC33" s="759">
        <f>+$C$33*0.1</f>
        <v>9000</v>
      </c>
      <c r="AD33" s="759">
        <v>0</v>
      </c>
      <c r="AE33" s="759">
        <v>0</v>
      </c>
      <c r="AF33" s="759">
        <v>0</v>
      </c>
      <c r="AG33" s="759">
        <v>0</v>
      </c>
      <c r="AH33" s="759">
        <f>+$C$33*0.1</f>
        <v>9000</v>
      </c>
      <c r="AI33" s="759">
        <v>0</v>
      </c>
      <c r="AJ33" s="759">
        <v>0</v>
      </c>
      <c r="AK33" s="759">
        <v>0</v>
      </c>
      <c r="AL33" s="759">
        <v>0</v>
      </c>
      <c r="AM33" s="759">
        <f>+$C$33*0.15</f>
        <v>13500</v>
      </c>
      <c r="AN33" s="759">
        <v>0</v>
      </c>
      <c r="AO33" s="759">
        <v>0</v>
      </c>
      <c r="AP33" s="759">
        <v>0</v>
      </c>
      <c r="AQ33" s="759">
        <v>0</v>
      </c>
      <c r="AR33" s="759">
        <f>+$C$33*0.15</f>
        <v>13500</v>
      </c>
      <c r="AS33" s="759">
        <v>0</v>
      </c>
      <c r="AT33" s="759">
        <v>0</v>
      </c>
      <c r="AU33" s="759">
        <f>AT33</f>
        <v>0</v>
      </c>
      <c r="AV33" s="759">
        <v>0</v>
      </c>
      <c r="AW33" s="759">
        <v>0</v>
      </c>
      <c r="AX33" s="759">
        <v>0</v>
      </c>
      <c r="AY33" s="759">
        <v>0</v>
      </c>
      <c r="AZ33" s="759">
        <v>0</v>
      </c>
      <c r="BA33" s="759">
        <v>0</v>
      </c>
      <c r="BB33" s="759">
        <v>0</v>
      </c>
      <c r="BC33" s="759">
        <v>0</v>
      </c>
      <c r="BD33" s="759">
        <v>0</v>
      </c>
      <c r="BE33" s="759">
        <v>0</v>
      </c>
      <c r="BF33" s="759">
        <v>0</v>
      </c>
      <c r="BG33" s="759">
        <v>0</v>
      </c>
      <c r="BH33" s="759">
        <v>0</v>
      </c>
      <c r="BI33" s="759">
        <v>0</v>
      </c>
      <c r="BJ33" s="759">
        <v>0</v>
      </c>
      <c r="BK33" s="759">
        <v>0</v>
      </c>
      <c r="BL33" s="759">
        <f t="shared" si="5"/>
        <v>90000</v>
      </c>
      <c r="BM33" s="759">
        <f t="shared" si="3"/>
        <v>0</v>
      </c>
      <c r="BN33" s="891">
        <f t="shared" si="6"/>
        <v>0</v>
      </c>
    </row>
    <row r="34" spans="1:70" s="781" customFormat="1" ht="38.25" x14ac:dyDescent="0.2">
      <c r="A34" s="315" t="str">
        <f>'3. PEP'!A48</f>
        <v>1.4.2</v>
      </c>
      <c r="B34" s="218" t="str">
        <f>'3. PEP'!B48</f>
        <v>Consultoría para desarrollo de la generación de mano de obra local y genero en zona de emprendimiento</v>
      </c>
      <c r="C34" s="759">
        <f>'3. PEP'!G48</f>
        <v>130000</v>
      </c>
      <c r="D34" s="759">
        <v>0</v>
      </c>
      <c r="E34" s="759">
        <v>0</v>
      </c>
      <c r="F34" s="759">
        <v>0</v>
      </c>
      <c r="G34" s="759">
        <v>0</v>
      </c>
      <c r="H34" s="759">
        <v>0</v>
      </c>
      <c r="I34" s="759">
        <v>0</v>
      </c>
      <c r="J34" s="759">
        <v>0</v>
      </c>
      <c r="K34" s="759">
        <v>0</v>
      </c>
      <c r="L34" s="759">
        <v>0</v>
      </c>
      <c r="M34" s="759">
        <v>0</v>
      </c>
      <c r="N34" s="759">
        <f>+$C$34*0.2</f>
        <v>26000</v>
      </c>
      <c r="O34" s="759">
        <v>0</v>
      </c>
      <c r="P34" s="759">
        <v>0</v>
      </c>
      <c r="Q34" s="759">
        <v>0</v>
      </c>
      <c r="R34" s="759">
        <v>0</v>
      </c>
      <c r="S34" s="759">
        <v>0</v>
      </c>
      <c r="T34" s="759">
        <f>+$C$34*0.15</f>
        <v>19500</v>
      </c>
      <c r="U34" s="759">
        <v>0</v>
      </c>
      <c r="V34" s="759">
        <v>0</v>
      </c>
      <c r="W34" s="759">
        <v>0</v>
      </c>
      <c r="X34" s="759">
        <v>0</v>
      </c>
      <c r="Y34" s="759">
        <v>0</v>
      </c>
      <c r="Z34" s="759">
        <f>+$C$34*0.1</f>
        <v>13000</v>
      </c>
      <c r="AA34" s="759">
        <v>0</v>
      </c>
      <c r="AB34" s="759">
        <v>0</v>
      </c>
      <c r="AC34" s="759">
        <v>0</v>
      </c>
      <c r="AD34" s="759">
        <v>0</v>
      </c>
      <c r="AE34" s="759">
        <v>0</v>
      </c>
      <c r="AF34" s="759">
        <f>+$C$34*0.15</f>
        <v>19500</v>
      </c>
      <c r="AG34" s="759">
        <v>0</v>
      </c>
      <c r="AH34" s="759">
        <v>0</v>
      </c>
      <c r="AI34" s="759">
        <v>0</v>
      </c>
      <c r="AJ34" s="759">
        <v>0</v>
      </c>
      <c r="AK34" s="759">
        <v>0</v>
      </c>
      <c r="AL34" s="759">
        <f>+$C$34*0.1</f>
        <v>13000</v>
      </c>
      <c r="AM34" s="759">
        <v>0</v>
      </c>
      <c r="AN34" s="759">
        <v>0</v>
      </c>
      <c r="AO34" s="759">
        <v>0</v>
      </c>
      <c r="AP34" s="759">
        <v>0</v>
      </c>
      <c r="AQ34" s="759">
        <v>0</v>
      </c>
      <c r="AR34" s="759">
        <f>+$C$34*0.1</f>
        <v>13000</v>
      </c>
      <c r="AS34" s="759">
        <v>0</v>
      </c>
      <c r="AT34" s="759">
        <v>0</v>
      </c>
      <c r="AU34" s="759">
        <v>0</v>
      </c>
      <c r="AV34" s="759">
        <v>0</v>
      </c>
      <c r="AW34" s="759">
        <v>0</v>
      </c>
      <c r="AX34" s="759">
        <v>0</v>
      </c>
      <c r="AY34" s="759">
        <f>+$C$34*0.2</f>
        <v>26000</v>
      </c>
      <c r="AZ34" s="759">
        <v>0</v>
      </c>
      <c r="BA34" s="759">
        <v>0</v>
      </c>
      <c r="BB34" s="759">
        <v>0</v>
      </c>
      <c r="BC34" s="759">
        <v>0</v>
      </c>
      <c r="BD34" s="759">
        <v>0</v>
      </c>
      <c r="BE34" s="759">
        <v>0</v>
      </c>
      <c r="BF34" s="759">
        <v>0</v>
      </c>
      <c r="BG34" s="759">
        <v>0</v>
      </c>
      <c r="BH34" s="759">
        <v>0</v>
      </c>
      <c r="BI34" s="759">
        <v>0</v>
      </c>
      <c r="BJ34" s="759">
        <v>0</v>
      </c>
      <c r="BK34" s="759">
        <v>0</v>
      </c>
      <c r="BL34" s="759">
        <f t="shared" si="5"/>
        <v>130000</v>
      </c>
      <c r="BM34" s="759">
        <f t="shared" si="3"/>
        <v>0</v>
      </c>
      <c r="BN34" s="891">
        <f t="shared" si="6"/>
        <v>0</v>
      </c>
    </row>
    <row r="35" spans="1:70" s="781" customFormat="1" x14ac:dyDescent="0.2">
      <c r="A35" s="848">
        <f>'3. PEP'!A49</f>
        <v>2</v>
      </c>
      <c r="B35" s="224" t="str">
        <f>'3. PEP'!B49</f>
        <v>Otros Costos</v>
      </c>
      <c r="C35" s="757">
        <f>'3. PEP'!G49</f>
        <v>3780000</v>
      </c>
      <c r="D35" s="757">
        <f>+D36+D38+D42</f>
        <v>0</v>
      </c>
      <c r="E35" s="757">
        <f t="shared" ref="E35:BL35" si="10">+E36+E38+E42</f>
        <v>0</v>
      </c>
      <c r="F35" s="757">
        <f t="shared" si="10"/>
        <v>150000</v>
      </c>
      <c r="G35" s="757">
        <f t="shared" si="10"/>
        <v>0</v>
      </c>
      <c r="H35" s="757">
        <f t="shared" si="10"/>
        <v>0</v>
      </c>
      <c r="I35" s="757">
        <f t="shared" si="10"/>
        <v>150000</v>
      </c>
      <c r="J35" s="757">
        <f t="shared" si="10"/>
        <v>0</v>
      </c>
      <c r="K35" s="757">
        <f t="shared" si="10"/>
        <v>0</v>
      </c>
      <c r="L35" s="757">
        <f t="shared" si="10"/>
        <v>150000</v>
      </c>
      <c r="M35" s="757">
        <f t="shared" si="10"/>
        <v>0</v>
      </c>
      <c r="N35" s="757">
        <f t="shared" si="10"/>
        <v>5000</v>
      </c>
      <c r="O35" s="757">
        <f t="shared" si="10"/>
        <v>150000</v>
      </c>
      <c r="P35" s="757">
        <f t="shared" si="10"/>
        <v>0</v>
      </c>
      <c r="Q35" s="757">
        <f t="shared" si="10"/>
        <v>9000</v>
      </c>
      <c r="R35" s="757">
        <f t="shared" si="10"/>
        <v>150000</v>
      </c>
      <c r="S35" s="757">
        <f t="shared" si="10"/>
        <v>93500</v>
      </c>
      <c r="T35" s="757">
        <f t="shared" si="10"/>
        <v>13000</v>
      </c>
      <c r="U35" s="757">
        <f t="shared" si="10"/>
        <v>150000</v>
      </c>
      <c r="V35" s="757">
        <f t="shared" si="10"/>
        <v>0</v>
      </c>
      <c r="W35" s="757">
        <f t="shared" si="10"/>
        <v>60500</v>
      </c>
      <c r="X35" s="757">
        <f t="shared" si="10"/>
        <v>165000</v>
      </c>
      <c r="Y35" s="757">
        <f t="shared" si="10"/>
        <v>13000</v>
      </c>
      <c r="Z35" s="757">
        <f t="shared" si="10"/>
        <v>37500</v>
      </c>
      <c r="AA35" s="757">
        <f t="shared" si="10"/>
        <v>224000</v>
      </c>
      <c r="AB35" s="757">
        <f t="shared" si="10"/>
        <v>0</v>
      </c>
      <c r="AC35" s="757">
        <f t="shared" si="10"/>
        <v>56500</v>
      </c>
      <c r="AD35" s="757">
        <f t="shared" si="10"/>
        <v>165000</v>
      </c>
      <c r="AE35" s="757">
        <f t="shared" si="10"/>
        <v>21000</v>
      </c>
      <c r="AF35" s="757">
        <f t="shared" si="10"/>
        <v>13000</v>
      </c>
      <c r="AG35" s="757">
        <f t="shared" si="10"/>
        <v>197500</v>
      </c>
      <c r="AH35" s="757">
        <f t="shared" si="10"/>
        <v>15000</v>
      </c>
      <c r="AI35" s="757">
        <f t="shared" si="10"/>
        <v>25000</v>
      </c>
      <c r="AJ35" s="757">
        <f t="shared" si="10"/>
        <v>163000</v>
      </c>
      <c r="AK35" s="757">
        <f t="shared" si="10"/>
        <v>32500</v>
      </c>
      <c r="AL35" s="757">
        <f t="shared" si="10"/>
        <v>0</v>
      </c>
      <c r="AM35" s="757">
        <f t="shared" si="10"/>
        <v>170000</v>
      </c>
      <c r="AN35" s="757">
        <f t="shared" si="10"/>
        <v>0</v>
      </c>
      <c r="AO35" s="757">
        <f t="shared" si="10"/>
        <v>17000</v>
      </c>
      <c r="AP35" s="757">
        <f t="shared" si="10"/>
        <v>150000</v>
      </c>
      <c r="AQ35" s="757">
        <f t="shared" si="10"/>
        <v>13000</v>
      </c>
      <c r="AR35" s="757">
        <f t="shared" si="10"/>
        <v>23000</v>
      </c>
      <c r="AS35" s="757">
        <f t="shared" si="10"/>
        <v>163000</v>
      </c>
      <c r="AT35" s="757">
        <f t="shared" si="10"/>
        <v>0</v>
      </c>
      <c r="AU35" s="757">
        <f t="shared" si="10"/>
        <v>0</v>
      </c>
      <c r="AV35" s="757">
        <f t="shared" si="10"/>
        <v>150000</v>
      </c>
      <c r="AW35" s="757">
        <f t="shared" si="10"/>
        <v>0</v>
      </c>
      <c r="AX35" s="757">
        <f t="shared" si="10"/>
        <v>15000</v>
      </c>
      <c r="AY35" s="757">
        <f t="shared" si="10"/>
        <v>150000</v>
      </c>
      <c r="AZ35" s="757">
        <f t="shared" si="10"/>
        <v>0</v>
      </c>
      <c r="BA35" s="757">
        <f t="shared" si="10"/>
        <v>4000</v>
      </c>
      <c r="BB35" s="757">
        <f t="shared" si="10"/>
        <v>150000</v>
      </c>
      <c r="BC35" s="757">
        <f t="shared" si="10"/>
        <v>8000</v>
      </c>
      <c r="BD35" s="757">
        <f t="shared" si="10"/>
        <v>23000</v>
      </c>
      <c r="BE35" s="757">
        <f t="shared" si="10"/>
        <v>180000</v>
      </c>
      <c r="BF35" s="757">
        <f t="shared" si="10"/>
        <v>0</v>
      </c>
      <c r="BG35" s="757">
        <f t="shared" si="10"/>
        <v>19000</v>
      </c>
      <c r="BH35" s="757">
        <f t="shared" si="10"/>
        <v>150000</v>
      </c>
      <c r="BI35" s="757">
        <f t="shared" si="10"/>
        <v>28000</v>
      </c>
      <c r="BJ35" s="757">
        <f t="shared" si="10"/>
        <v>8000</v>
      </c>
      <c r="BK35" s="757">
        <f t="shared" si="10"/>
        <v>150000</v>
      </c>
      <c r="BL35" s="757">
        <f t="shared" si="10"/>
        <v>3780000</v>
      </c>
      <c r="BM35" s="757">
        <f t="shared" ref="BM35" si="11">C35-BL35</f>
        <v>0</v>
      </c>
      <c r="BN35" s="891">
        <f t="shared" si="6"/>
        <v>0</v>
      </c>
    </row>
    <row r="36" spans="1:70" x14ac:dyDescent="0.2">
      <c r="A36" s="847">
        <f>'3. PEP'!A50</f>
        <v>2.1</v>
      </c>
      <c r="B36" s="219" t="str">
        <f>'3. PEP'!B50</f>
        <v>Administración del Programa</v>
      </c>
      <c r="C36" s="760">
        <f>'3. PEP'!G50</f>
        <v>3000000</v>
      </c>
      <c r="D36" s="760">
        <f>D37</f>
        <v>0</v>
      </c>
      <c r="E36" s="760">
        <f t="shared" ref="E36:BK36" si="12">E37</f>
        <v>0</v>
      </c>
      <c r="F36" s="760">
        <f t="shared" si="12"/>
        <v>150000</v>
      </c>
      <c r="G36" s="760">
        <f t="shared" si="12"/>
        <v>0</v>
      </c>
      <c r="H36" s="760">
        <f t="shared" si="12"/>
        <v>0</v>
      </c>
      <c r="I36" s="760">
        <f t="shared" si="12"/>
        <v>150000</v>
      </c>
      <c r="J36" s="760">
        <f t="shared" si="12"/>
        <v>0</v>
      </c>
      <c r="K36" s="760">
        <f t="shared" si="12"/>
        <v>0</v>
      </c>
      <c r="L36" s="760">
        <f t="shared" si="12"/>
        <v>150000</v>
      </c>
      <c r="M36" s="760">
        <f t="shared" si="12"/>
        <v>0</v>
      </c>
      <c r="N36" s="760">
        <f t="shared" si="12"/>
        <v>0</v>
      </c>
      <c r="O36" s="760">
        <f t="shared" si="12"/>
        <v>150000</v>
      </c>
      <c r="P36" s="760">
        <f t="shared" si="12"/>
        <v>0</v>
      </c>
      <c r="Q36" s="760">
        <f t="shared" si="12"/>
        <v>0</v>
      </c>
      <c r="R36" s="760">
        <f t="shared" si="12"/>
        <v>150000</v>
      </c>
      <c r="S36" s="760">
        <f t="shared" si="12"/>
        <v>0</v>
      </c>
      <c r="T36" s="760">
        <f t="shared" si="12"/>
        <v>0</v>
      </c>
      <c r="U36" s="760">
        <f t="shared" si="12"/>
        <v>150000</v>
      </c>
      <c r="V36" s="760">
        <f t="shared" si="12"/>
        <v>0</v>
      </c>
      <c r="W36" s="760">
        <f t="shared" si="12"/>
        <v>0</v>
      </c>
      <c r="X36" s="760">
        <f t="shared" si="12"/>
        <v>150000</v>
      </c>
      <c r="Y36" s="760">
        <f t="shared" si="12"/>
        <v>0</v>
      </c>
      <c r="Z36" s="760">
        <f t="shared" si="12"/>
        <v>0</v>
      </c>
      <c r="AA36" s="760">
        <f t="shared" si="12"/>
        <v>150000</v>
      </c>
      <c r="AB36" s="760">
        <f t="shared" si="12"/>
        <v>0</v>
      </c>
      <c r="AC36" s="760">
        <f t="shared" si="12"/>
        <v>0</v>
      </c>
      <c r="AD36" s="760">
        <f t="shared" si="12"/>
        <v>150000</v>
      </c>
      <c r="AE36" s="760">
        <f t="shared" si="12"/>
        <v>0</v>
      </c>
      <c r="AF36" s="760">
        <f t="shared" si="12"/>
        <v>0</v>
      </c>
      <c r="AG36" s="760">
        <f t="shared" si="12"/>
        <v>150000</v>
      </c>
      <c r="AH36" s="760">
        <f t="shared" si="12"/>
        <v>0</v>
      </c>
      <c r="AI36" s="760">
        <f t="shared" si="12"/>
        <v>0</v>
      </c>
      <c r="AJ36" s="760">
        <f t="shared" si="12"/>
        <v>150000</v>
      </c>
      <c r="AK36" s="760">
        <f t="shared" si="12"/>
        <v>0</v>
      </c>
      <c r="AL36" s="760">
        <f t="shared" si="12"/>
        <v>0</v>
      </c>
      <c r="AM36" s="760">
        <f t="shared" si="12"/>
        <v>150000</v>
      </c>
      <c r="AN36" s="760">
        <f t="shared" si="12"/>
        <v>0</v>
      </c>
      <c r="AO36" s="760">
        <f t="shared" si="12"/>
        <v>0</v>
      </c>
      <c r="AP36" s="760">
        <f t="shared" si="12"/>
        <v>150000</v>
      </c>
      <c r="AQ36" s="760">
        <f t="shared" si="12"/>
        <v>0</v>
      </c>
      <c r="AR36" s="760">
        <f t="shared" si="12"/>
        <v>0</v>
      </c>
      <c r="AS36" s="760">
        <f t="shared" si="12"/>
        <v>150000</v>
      </c>
      <c r="AT36" s="760">
        <f t="shared" si="12"/>
        <v>0</v>
      </c>
      <c r="AU36" s="760">
        <f t="shared" si="12"/>
        <v>0</v>
      </c>
      <c r="AV36" s="760">
        <f t="shared" si="12"/>
        <v>150000</v>
      </c>
      <c r="AW36" s="760">
        <f t="shared" si="12"/>
        <v>0</v>
      </c>
      <c r="AX36" s="760">
        <f t="shared" si="12"/>
        <v>0</v>
      </c>
      <c r="AY36" s="760">
        <f t="shared" si="12"/>
        <v>150000</v>
      </c>
      <c r="AZ36" s="760">
        <f t="shared" si="12"/>
        <v>0</v>
      </c>
      <c r="BA36" s="760">
        <f t="shared" si="12"/>
        <v>0</v>
      </c>
      <c r="BB36" s="760">
        <f t="shared" si="12"/>
        <v>150000</v>
      </c>
      <c r="BC36" s="760">
        <f t="shared" si="12"/>
        <v>0</v>
      </c>
      <c r="BD36" s="760">
        <f t="shared" si="12"/>
        <v>0</v>
      </c>
      <c r="BE36" s="760">
        <f t="shared" si="12"/>
        <v>150000</v>
      </c>
      <c r="BF36" s="760">
        <f t="shared" si="12"/>
        <v>0</v>
      </c>
      <c r="BG36" s="760">
        <f t="shared" si="12"/>
        <v>0</v>
      </c>
      <c r="BH36" s="760">
        <f t="shared" si="12"/>
        <v>150000</v>
      </c>
      <c r="BI36" s="760">
        <f t="shared" si="12"/>
        <v>0</v>
      </c>
      <c r="BJ36" s="760">
        <f t="shared" si="12"/>
        <v>0</v>
      </c>
      <c r="BK36" s="760">
        <f t="shared" si="12"/>
        <v>150000</v>
      </c>
      <c r="BL36" s="760">
        <f t="shared" ref="BL36:BL41" si="13">SUM(D36:BK36)</f>
        <v>3000000</v>
      </c>
      <c r="BN36" s="891">
        <f t="shared" si="6"/>
        <v>0</v>
      </c>
    </row>
    <row r="37" spans="1:70" ht="25.5" x14ac:dyDescent="0.2">
      <c r="A37" s="317" t="str">
        <f>'3. PEP'!A51</f>
        <v>2.1.1</v>
      </c>
      <c r="B37" s="170" t="str">
        <f>'3. PEP'!B51</f>
        <v>Continuación de los servicios de la ECATEF para el Programa PR-L1092</v>
      </c>
      <c r="C37" s="761">
        <f>'3. PEP'!G51</f>
        <v>3000000</v>
      </c>
      <c r="D37" s="761">
        <v>0</v>
      </c>
      <c r="E37" s="761">
        <v>0</v>
      </c>
      <c r="F37" s="761">
        <f>C37/20</f>
        <v>150000</v>
      </c>
      <c r="G37" s="761">
        <v>0</v>
      </c>
      <c r="H37" s="761">
        <v>0</v>
      </c>
      <c r="I37" s="761">
        <f>F37</f>
        <v>150000</v>
      </c>
      <c r="J37" s="761">
        <v>0</v>
      </c>
      <c r="K37" s="761">
        <v>0</v>
      </c>
      <c r="L37" s="761">
        <f>I37</f>
        <v>150000</v>
      </c>
      <c r="M37" s="761">
        <v>0</v>
      </c>
      <c r="N37" s="761">
        <v>0</v>
      </c>
      <c r="O37" s="761">
        <f>L37</f>
        <v>150000</v>
      </c>
      <c r="P37" s="761">
        <v>0</v>
      </c>
      <c r="Q37" s="761">
        <v>0</v>
      </c>
      <c r="R37" s="761">
        <f>O37</f>
        <v>150000</v>
      </c>
      <c r="S37" s="761">
        <v>0</v>
      </c>
      <c r="T37" s="761">
        <v>0</v>
      </c>
      <c r="U37" s="761">
        <f>R37</f>
        <v>150000</v>
      </c>
      <c r="V37" s="761">
        <v>0</v>
      </c>
      <c r="W37" s="761">
        <v>0</v>
      </c>
      <c r="X37" s="761">
        <f>U37</f>
        <v>150000</v>
      </c>
      <c r="Y37" s="761">
        <v>0</v>
      </c>
      <c r="Z37" s="761">
        <v>0</v>
      </c>
      <c r="AA37" s="761">
        <f>X37</f>
        <v>150000</v>
      </c>
      <c r="AB37" s="761">
        <v>0</v>
      </c>
      <c r="AC37" s="761">
        <v>0</v>
      </c>
      <c r="AD37" s="761">
        <f>AA37</f>
        <v>150000</v>
      </c>
      <c r="AE37" s="761">
        <v>0</v>
      </c>
      <c r="AF37" s="761">
        <v>0</v>
      </c>
      <c r="AG37" s="761">
        <f>AD37</f>
        <v>150000</v>
      </c>
      <c r="AH37" s="761">
        <v>0</v>
      </c>
      <c r="AI37" s="761">
        <v>0</v>
      </c>
      <c r="AJ37" s="761">
        <f>AG37</f>
        <v>150000</v>
      </c>
      <c r="AK37" s="761">
        <v>0</v>
      </c>
      <c r="AL37" s="761">
        <v>0</v>
      </c>
      <c r="AM37" s="761">
        <f>AJ37</f>
        <v>150000</v>
      </c>
      <c r="AN37" s="761">
        <v>0</v>
      </c>
      <c r="AO37" s="761">
        <v>0</v>
      </c>
      <c r="AP37" s="761">
        <f>AM37</f>
        <v>150000</v>
      </c>
      <c r="AQ37" s="761">
        <v>0</v>
      </c>
      <c r="AR37" s="761">
        <v>0</v>
      </c>
      <c r="AS37" s="761">
        <f>AP37</f>
        <v>150000</v>
      </c>
      <c r="AT37" s="761">
        <v>0</v>
      </c>
      <c r="AU37" s="761">
        <v>0</v>
      </c>
      <c r="AV37" s="761">
        <f>AS37</f>
        <v>150000</v>
      </c>
      <c r="AW37" s="761">
        <v>0</v>
      </c>
      <c r="AX37" s="761">
        <v>0</v>
      </c>
      <c r="AY37" s="761">
        <f>AV37</f>
        <v>150000</v>
      </c>
      <c r="AZ37" s="761">
        <v>0</v>
      </c>
      <c r="BA37" s="761">
        <v>0</v>
      </c>
      <c r="BB37" s="761">
        <f>AY37</f>
        <v>150000</v>
      </c>
      <c r="BC37" s="761">
        <v>0</v>
      </c>
      <c r="BD37" s="761">
        <v>0</v>
      </c>
      <c r="BE37" s="761">
        <f>BB37</f>
        <v>150000</v>
      </c>
      <c r="BF37" s="761">
        <v>0</v>
      </c>
      <c r="BG37" s="761">
        <v>0</v>
      </c>
      <c r="BH37" s="761">
        <f>BE37</f>
        <v>150000</v>
      </c>
      <c r="BI37" s="761">
        <v>0</v>
      </c>
      <c r="BJ37" s="761">
        <v>0</v>
      </c>
      <c r="BK37" s="761">
        <f>BH37</f>
        <v>150000</v>
      </c>
      <c r="BL37" s="761">
        <f t="shared" si="13"/>
        <v>3000000</v>
      </c>
      <c r="BN37" s="891">
        <f t="shared" si="6"/>
        <v>0</v>
      </c>
    </row>
    <row r="38" spans="1:70" x14ac:dyDescent="0.2">
      <c r="A38" s="847">
        <f>'3. PEP'!A52</f>
        <v>2.2000000000000002</v>
      </c>
      <c r="B38" s="219" t="str">
        <f>'3. PEP'!B52</f>
        <v>Auditoria, Monitoreo y Evaluación desarrollados</v>
      </c>
      <c r="C38" s="760">
        <f>'3. PEP'!G52</f>
        <v>200000</v>
      </c>
      <c r="D38" s="760">
        <f>D39+D40+D41</f>
        <v>0</v>
      </c>
      <c r="E38" s="760">
        <f t="shared" ref="E38:BK38" si="14">E39+E40+E41</f>
        <v>0</v>
      </c>
      <c r="F38" s="760">
        <f t="shared" si="14"/>
        <v>0</v>
      </c>
      <c r="G38" s="760">
        <f t="shared" si="14"/>
        <v>0</v>
      </c>
      <c r="H38" s="760">
        <f t="shared" si="14"/>
        <v>0</v>
      </c>
      <c r="I38" s="760">
        <f t="shared" si="14"/>
        <v>0</v>
      </c>
      <c r="J38" s="760">
        <f t="shared" si="14"/>
        <v>0</v>
      </c>
      <c r="K38" s="760">
        <f t="shared" si="14"/>
        <v>0</v>
      </c>
      <c r="L38" s="760">
        <f t="shared" si="14"/>
        <v>0</v>
      </c>
      <c r="M38" s="760">
        <f t="shared" si="14"/>
        <v>0</v>
      </c>
      <c r="N38" s="760">
        <f t="shared" si="14"/>
        <v>0</v>
      </c>
      <c r="O38" s="760">
        <f t="shared" si="14"/>
        <v>0</v>
      </c>
      <c r="P38" s="760">
        <f t="shared" si="14"/>
        <v>0</v>
      </c>
      <c r="Q38" s="760">
        <f t="shared" si="14"/>
        <v>4000</v>
      </c>
      <c r="R38" s="760">
        <f t="shared" si="14"/>
        <v>0</v>
      </c>
      <c r="S38" s="760">
        <f t="shared" si="14"/>
        <v>8000</v>
      </c>
      <c r="T38" s="760">
        <f t="shared" si="14"/>
        <v>8000</v>
      </c>
      <c r="U38" s="760">
        <f t="shared" si="14"/>
        <v>0</v>
      </c>
      <c r="V38" s="760">
        <f t="shared" si="14"/>
        <v>0</v>
      </c>
      <c r="W38" s="760">
        <f t="shared" si="14"/>
        <v>0</v>
      </c>
      <c r="X38" s="760">
        <f t="shared" si="14"/>
        <v>0</v>
      </c>
      <c r="Y38" s="760">
        <f t="shared" si="14"/>
        <v>0</v>
      </c>
      <c r="Z38" s="760">
        <f t="shared" si="14"/>
        <v>0</v>
      </c>
      <c r="AA38" s="760">
        <f t="shared" si="14"/>
        <v>0</v>
      </c>
      <c r="AB38" s="760">
        <f t="shared" si="14"/>
        <v>0</v>
      </c>
      <c r="AC38" s="760">
        <f t="shared" si="14"/>
        <v>4000</v>
      </c>
      <c r="AD38" s="760">
        <f t="shared" si="14"/>
        <v>15000</v>
      </c>
      <c r="AE38" s="760">
        <f t="shared" si="14"/>
        <v>8000</v>
      </c>
      <c r="AF38" s="760">
        <f t="shared" si="14"/>
        <v>8000</v>
      </c>
      <c r="AG38" s="760">
        <f t="shared" si="14"/>
        <v>15000</v>
      </c>
      <c r="AH38" s="760">
        <f t="shared" si="14"/>
        <v>0</v>
      </c>
      <c r="AI38" s="760">
        <f t="shared" si="14"/>
        <v>20000</v>
      </c>
      <c r="AJ38" s="760">
        <f t="shared" si="14"/>
        <v>0</v>
      </c>
      <c r="AK38" s="760">
        <f t="shared" si="14"/>
        <v>0</v>
      </c>
      <c r="AL38" s="760">
        <f t="shared" si="14"/>
        <v>0</v>
      </c>
      <c r="AM38" s="760">
        <f t="shared" si="14"/>
        <v>0</v>
      </c>
      <c r="AN38" s="760">
        <f t="shared" si="14"/>
        <v>0</v>
      </c>
      <c r="AO38" s="760">
        <f t="shared" si="14"/>
        <v>4000</v>
      </c>
      <c r="AP38" s="760">
        <f t="shared" si="14"/>
        <v>0</v>
      </c>
      <c r="AQ38" s="760">
        <f t="shared" si="14"/>
        <v>8000</v>
      </c>
      <c r="AR38" s="760">
        <f t="shared" si="14"/>
        <v>8000</v>
      </c>
      <c r="AS38" s="760">
        <f t="shared" si="14"/>
        <v>0</v>
      </c>
      <c r="AT38" s="760">
        <f t="shared" si="14"/>
        <v>0</v>
      </c>
      <c r="AU38" s="760">
        <f t="shared" si="14"/>
        <v>0</v>
      </c>
      <c r="AV38" s="760">
        <f t="shared" si="14"/>
        <v>0</v>
      </c>
      <c r="AW38" s="760">
        <f t="shared" si="14"/>
        <v>0</v>
      </c>
      <c r="AX38" s="760">
        <f t="shared" si="14"/>
        <v>0</v>
      </c>
      <c r="AY38" s="760">
        <f t="shared" si="14"/>
        <v>0</v>
      </c>
      <c r="AZ38" s="760">
        <f t="shared" si="14"/>
        <v>0</v>
      </c>
      <c r="BA38" s="760">
        <f t="shared" si="14"/>
        <v>4000</v>
      </c>
      <c r="BB38" s="760">
        <f t="shared" si="14"/>
        <v>0</v>
      </c>
      <c r="BC38" s="760">
        <f t="shared" si="14"/>
        <v>8000</v>
      </c>
      <c r="BD38" s="760">
        <f t="shared" si="14"/>
        <v>23000</v>
      </c>
      <c r="BE38" s="760">
        <f t="shared" si="14"/>
        <v>0</v>
      </c>
      <c r="BF38" s="760">
        <f t="shared" si="14"/>
        <v>0</v>
      </c>
      <c r="BG38" s="760">
        <f t="shared" si="14"/>
        <v>19000</v>
      </c>
      <c r="BH38" s="760">
        <f t="shared" si="14"/>
        <v>0</v>
      </c>
      <c r="BI38" s="760">
        <f t="shared" si="14"/>
        <v>28000</v>
      </c>
      <c r="BJ38" s="760">
        <f t="shared" si="14"/>
        <v>8000</v>
      </c>
      <c r="BK38" s="760">
        <f t="shared" si="14"/>
        <v>0</v>
      </c>
      <c r="BL38" s="760">
        <f t="shared" si="13"/>
        <v>200000</v>
      </c>
      <c r="BN38" s="891">
        <f t="shared" si="6"/>
        <v>0</v>
      </c>
    </row>
    <row r="39" spans="1:70" ht="25.5" x14ac:dyDescent="0.2">
      <c r="A39" s="317" t="str">
        <f>'3. PEP'!A53</f>
        <v>2.2.1</v>
      </c>
      <c r="B39" s="170" t="str">
        <f>'3. PEP'!B53</f>
        <v>Contratación de Firma Consultora para la Auditoria Externa del Programa PR-L1092</v>
      </c>
      <c r="C39" s="761">
        <f>'3. PEP'!G53</f>
        <v>100000</v>
      </c>
      <c r="D39" s="761">
        <v>0</v>
      </c>
      <c r="E39" s="761">
        <v>0</v>
      </c>
      <c r="F39" s="761">
        <v>0</v>
      </c>
      <c r="G39" s="761">
        <v>0</v>
      </c>
      <c r="H39" s="761">
        <v>0</v>
      </c>
      <c r="I39" s="761">
        <v>0</v>
      </c>
      <c r="J39" s="761">
        <v>0</v>
      </c>
      <c r="K39" s="761">
        <v>0</v>
      </c>
      <c r="L39" s="761">
        <v>0</v>
      </c>
      <c r="M39" s="761">
        <v>0</v>
      </c>
      <c r="N39" s="761">
        <v>0</v>
      </c>
      <c r="O39" s="761">
        <v>0</v>
      </c>
      <c r="P39" s="761">
        <v>0</v>
      </c>
      <c r="Q39" s="761">
        <f>($C$39/5)*20%</f>
        <v>4000</v>
      </c>
      <c r="R39" s="761">
        <v>0</v>
      </c>
      <c r="S39" s="761">
        <f>($C$39/5)*40%</f>
        <v>8000</v>
      </c>
      <c r="T39" s="761">
        <f>($C$39/5)*40%</f>
        <v>8000</v>
      </c>
      <c r="U39" s="761">
        <v>0</v>
      </c>
      <c r="V39" s="761">
        <v>0</v>
      </c>
      <c r="W39" s="761">
        <v>0</v>
      </c>
      <c r="X39" s="761">
        <v>0</v>
      </c>
      <c r="Y39" s="761">
        <v>0</v>
      </c>
      <c r="Z39" s="761">
        <v>0</v>
      </c>
      <c r="AA39" s="761">
        <v>0</v>
      </c>
      <c r="AB39" s="761">
        <v>0</v>
      </c>
      <c r="AC39" s="761">
        <f>($C$39/5)*20%</f>
        <v>4000</v>
      </c>
      <c r="AD39" s="761">
        <v>0</v>
      </c>
      <c r="AE39" s="761">
        <f>($C$39/5)*40%</f>
        <v>8000</v>
      </c>
      <c r="AF39" s="761">
        <f>($C$39/5)*40%</f>
        <v>8000</v>
      </c>
      <c r="AG39" s="761">
        <v>0</v>
      </c>
      <c r="AH39" s="761">
        <v>0</v>
      </c>
      <c r="AI39" s="761">
        <v>0</v>
      </c>
      <c r="AJ39" s="761">
        <v>0</v>
      </c>
      <c r="AK39" s="761">
        <v>0</v>
      </c>
      <c r="AL39" s="761">
        <v>0</v>
      </c>
      <c r="AM39" s="761">
        <v>0</v>
      </c>
      <c r="AN39" s="761">
        <v>0</v>
      </c>
      <c r="AO39" s="761">
        <f>($C$39/5)*20%</f>
        <v>4000</v>
      </c>
      <c r="AP39" s="761">
        <v>0</v>
      </c>
      <c r="AQ39" s="761">
        <f>($C$39/5)*40%</f>
        <v>8000</v>
      </c>
      <c r="AR39" s="761">
        <f>($C$39/5)*40%</f>
        <v>8000</v>
      </c>
      <c r="AS39" s="761">
        <v>0</v>
      </c>
      <c r="AT39" s="761">
        <v>0</v>
      </c>
      <c r="AU39" s="761">
        <v>0</v>
      </c>
      <c r="AV39" s="761">
        <v>0</v>
      </c>
      <c r="AW39" s="761">
        <v>0</v>
      </c>
      <c r="AX39" s="761">
        <v>0</v>
      </c>
      <c r="AY39" s="761">
        <v>0</v>
      </c>
      <c r="AZ39" s="761">
        <v>0</v>
      </c>
      <c r="BA39" s="761">
        <f>($C$39/5)*20%</f>
        <v>4000</v>
      </c>
      <c r="BB39" s="761">
        <v>0</v>
      </c>
      <c r="BC39" s="761">
        <f>($C$39/5)*40%</f>
        <v>8000</v>
      </c>
      <c r="BD39" s="761">
        <f>($C$39/5)*40%</f>
        <v>8000</v>
      </c>
      <c r="BE39" s="761">
        <v>0</v>
      </c>
      <c r="BF39" s="761">
        <v>0</v>
      </c>
      <c r="BG39" s="761">
        <f>($C$39/5)*20%</f>
        <v>4000</v>
      </c>
      <c r="BH39" s="761">
        <v>0</v>
      </c>
      <c r="BI39" s="761">
        <f>($C$39/5)*40%</f>
        <v>8000</v>
      </c>
      <c r="BJ39" s="761">
        <f>($C$39/5)*40%</f>
        <v>8000</v>
      </c>
      <c r="BK39" s="761">
        <v>0</v>
      </c>
      <c r="BL39" s="761">
        <f t="shared" si="13"/>
        <v>100000</v>
      </c>
      <c r="BN39" s="891">
        <f t="shared" si="6"/>
        <v>0</v>
      </c>
    </row>
    <row r="40" spans="1:70" ht="25.5" x14ac:dyDescent="0.2">
      <c r="A40" s="317" t="str">
        <f>'3. PEP'!A54</f>
        <v>2.2.2</v>
      </c>
      <c r="B40" s="170" t="str">
        <f>'3. PEP'!B54</f>
        <v>Contratación de Firma Consultora para la Evaluación Intermedia del Programa</v>
      </c>
      <c r="C40" s="761">
        <f>'3. PEP'!G54</f>
        <v>50000</v>
      </c>
      <c r="D40" s="761">
        <v>0</v>
      </c>
      <c r="E40" s="761">
        <v>0</v>
      </c>
      <c r="F40" s="761">
        <v>0</v>
      </c>
      <c r="G40" s="761">
        <v>0</v>
      </c>
      <c r="H40" s="761">
        <v>0</v>
      </c>
      <c r="I40" s="761">
        <v>0</v>
      </c>
      <c r="J40" s="761">
        <v>0</v>
      </c>
      <c r="K40" s="761">
        <v>0</v>
      </c>
      <c r="L40" s="761">
        <v>0</v>
      </c>
      <c r="M40" s="761">
        <v>0</v>
      </c>
      <c r="N40" s="761">
        <v>0</v>
      </c>
      <c r="O40" s="761">
        <v>0</v>
      </c>
      <c r="P40" s="761">
        <v>0</v>
      </c>
      <c r="Q40" s="761">
        <v>0</v>
      </c>
      <c r="R40" s="761">
        <v>0</v>
      </c>
      <c r="S40" s="761">
        <v>0</v>
      </c>
      <c r="T40" s="761">
        <v>0</v>
      </c>
      <c r="U40" s="761">
        <v>0</v>
      </c>
      <c r="V40" s="761">
        <v>0</v>
      </c>
      <c r="W40" s="761">
        <v>0</v>
      </c>
      <c r="X40" s="761">
        <v>0</v>
      </c>
      <c r="Y40" s="761">
        <v>0</v>
      </c>
      <c r="Z40" s="761">
        <v>0</v>
      </c>
      <c r="AA40" s="761">
        <v>0</v>
      </c>
      <c r="AB40" s="761">
        <v>0</v>
      </c>
      <c r="AC40" s="761">
        <v>0</v>
      </c>
      <c r="AD40" s="761">
        <f>C40*0.3</f>
        <v>15000</v>
      </c>
      <c r="AE40" s="761">
        <v>0</v>
      </c>
      <c r="AF40" s="761">
        <v>0</v>
      </c>
      <c r="AG40" s="761">
        <f>C40*0.3</f>
        <v>15000</v>
      </c>
      <c r="AH40" s="761">
        <v>0</v>
      </c>
      <c r="AI40" s="761">
        <f>C40*0.4</f>
        <v>20000</v>
      </c>
      <c r="AJ40" s="761">
        <v>0</v>
      </c>
      <c r="AK40" s="761">
        <v>0</v>
      </c>
      <c r="AL40" s="761">
        <v>0</v>
      </c>
      <c r="AM40" s="761">
        <v>0</v>
      </c>
      <c r="AN40" s="761">
        <v>0</v>
      </c>
      <c r="AO40" s="761">
        <v>0</v>
      </c>
      <c r="AP40" s="761">
        <v>0</v>
      </c>
      <c r="AQ40" s="761">
        <v>0</v>
      </c>
      <c r="AR40" s="761">
        <v>0</v>
      </c>
      <c r="AS40" s="761">
        <v>0</v>
      </c>
      <c r="AT40" s="761">
        <v>0</v>
      </c>
      <c r="AU40" s="761">
        <v>0</v>
      </c>
      <c r="AV40" s="761">
        <v>0</v>
      </c>
      <c r="AW40" s="761">
        <v>0</v>
      </c>
      <c r="AX40" s="761">
        <v>0</v>
      </c>
      <c r="AY40" s="761">
        <v>0</v>
      </c>
      <c r="AZ40" s="761">
        <v>0</v>
      </c>
      <c r="BA40" s="761">
        <v>0</v>
      </c>
      <c r="BB40" s="761">
        <v>0</v>
      </c>
      <c r="BC40" s="761">
        <v>0</v>
      </c>
      <c r="BD40" s="761">
        <v>0</v>
      </c>
      <c r="BE40" s="761">
        <v>0</v>
      </c>
      <c r="BF40" s="761">
        <v>0</v>
      </c>
      <c r="BG40" s="761">
        <v>0</v>
      </c>
      <c r="BH40" s="761">
        <v>0</v>
      </c>
      <c r="BI40" s="761">
        <v>0</v>
      </c>
      <c r="BJ40" s="761">
        <v>0</v>
      </c>
      <c r="BK40" s="761">
        <v>0</v>
      </c>
      <c r="BL40" s="761">
        <f t="shared" si="13"/>
        <v>50000</v>
      </c>
      <c r="BN40" s="891">
        <f t="shared" si="6"/>
        <v>0</v>
      </c>
    </row>
    <row r="41" spans="1:70" ht="25.5" x14ac:dyDescent="0.2">
      <c r="A41" s="317" t="str">
        <f>'3. PEP'!A55</f>
        <v>2.2.3</v>
      </c>
      <c r="B41" s="170" t="str">
        <f>'3. PEP'!B55</f>
        <v>Contratación de Firma Consultora para la Evaluación Final del Programa</v>
      </c>
      <c r="C41" s="761">
        <f>'3. PEP'!G55</f>
        <v>50000</v>
      </c>
      <c r="D41" s="761">
        <v>0</v>
      </c>
      <c r="E41" s="761">
        <v>0</v>
      </c>
      <c r="F41" s="761">
        <v>0</v>
      </c>
      <c r="G41" s="761">
        <v>0</v>
      </c>
      <c r="H41" s="761">
        <v>0</v>
      </c>
      <c r="I41" s="761">
        <v>0</v>
      </c>
      <c r="J41" s="761">
        <v>0</v>
      </c>
      <c r="K41" s="761">
        <v>0</v>
      </c>
      <c r="L41" s="761">
        <v>0</v>
      </c>
      <c r="M41" s="761">
        <v>0</v>
      </c>
      <c r="N41" s="761">
        <v>0</v>
      </c>
      <c r="O41" s="761">
        <v>0</v>
      </c>
      <c r="P41" s="761">
        <v>0</v>
      </c>
      <c r="Q41" s="761">
        <v>0</v>
      </c>
      <c r="R41" s="761">
        <v>0</v>
      </c>
      <c r="S41" s="761">
        <v>0</v>
      </c>
      <c r="T41" s="761">
        <v>0</v>
      </c>
      <c r="U41" s="761">
        <v>0</v>
      </c>
      <c r="V41" s="761">
        <v>0</v>
      </c>
      <c r="W41" s="761">
        <v>0</v>
      </c>
      <c r="X41" s="761">
        <v>0</v>
      </c>
      <c r="Y41" s="761">
        <v>0</v>
      </c>
      <c r="Z41" s="761">
        <v>0</v>
      </c>
      <c r="AA41" s="761">
        <v>0</v>
      </c>
      <c r="AB41" s="761">
        <v>0</v>
      </c>
      <c r="AC41" s="761">
        <v>0</v>
      </c>
      <c r="AD41" s="761">
        <v>0</v>
      </c>
      <c r="AE41" s="761">
        <v>0</v>
      </c>
      <c r="AF41" s="761">
        <v>0</v>
      </c>
      <c r="AG41" s="761">
        <v>0</v>
      </c>
      <c r="AH41" s="761">
        <v>0</v>
      </c>
      <c r="AI41" s="761">
        <v>0</v>
      </c>
      <c r="AJ41" s="761">
        <v>0</v>
      </c>
      <c r="AK41" s="761">
        <v>0</v>
      </c>
      <c r="AL41" s="761">
        <v>0</v>
      </c>
      <c r="AM41" s="761">
        <v>0</v>
      </c>
      <c r="AN41" s="761">
        <v>0</v>
      </c>
      <c r="AO41" s="761">
        <v>0</v>
      </c>
      <c r="AP41" s="761">
        <v>0</v>
      </c>
      <c r="AQ41" s="761">
        <v>0</v>
      </c>
      <c r="AR41" s="761">
        <v>0</v>
      </c>
      <c r="AS41" s="761">
        <v>0</v>
      </c>
      <c r="AT41" s="761">
        <v>0</v>
      </c>
      <c r="AU41" s="761">
        <v>0</v>
      </c>
      <c r="AV41" s="761">
        <v>0</v>
      </c>
      <c r="AW41" s="761">
        <v>0</v>
      </c>
      <c r="AX41" s="761">
        <v>0</v>
      </c>
      <c r="AY41" s="761">
        <v>0</v>
      </c>
      <c r="AZ41" s="761">
        <v>0</v>
      </c>
      <c r="BA41" s="761">
        <v>0</v>
      </c>
      <c r="BB41" s="761">
        <v>0</v>
      </c>
      <c r="BC41" s="761">
        <v>0</v>
      </c>
      <c r="BD41" s="761">
        <f>C41*0.3</f>
        <v>15000</v>
      </c>
      <c r="BE41" s="761">
        <v>0</v>
      </c>
      <c r="BF41" s="761">
        <v>0</v>
      </c>
      <c r="BG41" s="761">
        <f>C41*0.3</f>
        <v>15000</v>
      </c>
      <c r="BH41" s="761">
        <v>0</v>
      </c>
      <c r="BI41" s="761">
        <f>C41*0.4</f>
        <v>20000</v>
      </c>
      <c r="BJ41" s="761">
        <v>0</v>
      </c>
      <c r="BK41" s="761">
        <v>0</v>
      </c>
      <c r="BL41" s="761">
        <f t="shared" si="13"/>
        <v>50000</v>
      </c>
      <c r="BN41" s="891">
        <f t="shared" si="6"/>
        <v>0</v>
      </c>
    </row>
    <row r="42" spans="1:70" x14ac:dyDescent="0.2">
      <c r="A42" s="847">
        <v>2.2999999999999998</v>
      </c>
      <c r="B42" s="219" t="str">
        <f>'3. PEP'!B56</f>
        <v>Gestión Socio Ambiental</v>
      </c>
      <c r="C42" s="760">
        <f>'3. PEP'!G56</f>
        <v>580000</v>
      </c>
      <c r="D42" s="760">
        <f>+D43+D44+D45+D46+D47</f>
        <v>0</v>
      </c>
      <c r="E42" s="760">
        <f t="shared" ref="E42:R42" si="15">+E43+E44+E45+E46+E47</f>
        <v>0</v>
      </c>
      <c r="F42" s="760">
        <f t="shared" si="15"/>
        <v>0</v>
      </c>
      <c r="G42" s="760">
        <f t="shared" si="15"/>
        <v>0</v>
      </c>
      <c r="H42" s="760">
        <f t="shared" si="15"/>
        <v>0</v>
      </c>
      <c r="I42" s="760">
        <f t="shared" si="15"/>
        <v>0</v>
      </c>
      <c r="J42" s="760">
        <f t="shared" si="15"/>
        <v>0</v>
      </c>
      <c r="K42" s="760">
        <f t="shared" si="15"/>
        <v>0</v>
      </c>
      <c r="L42" s="760">
        <f t="shared" si="15"/>
        <v>0</v>
      </c>
      <c r="M42" s="760">
        <f t="shared" si="15"/>
        <v>0</v>
      </c>
      <c r="N42" s="760">
        <f t="shared" si="15"/>
        <v>5000</v>
      </c>
      <c r="O42" s="760">
        <f t="shared" si="15"/>
        <v>0</v>
      </c>
      <c r="P42" s="760">
        <f t="shared" si="15"/>
        <v>0</v>
      </c>
      <c r="Q42" s="760">
        <f t="shared" si="15"/>
        <v>5000</v>
      </c>
      <c r="R42" s="760">
        <f t="shared" si="15"/>
        <v>0</v>
      </c>
      <c r="S42" s="760">
        <f t="shared" ref="S42" si="16">+S43+S44+S45+S46+S47</f>
        <v>85500</v>
      </c>
      <c r="T42" s="760">
        <f t="shared" ref="T42" si="17">+T43+T44+T45+T46+T47</f>
        <v>5000</v>
      </c>
      <c r="U42" s="760">
        <f t="shared" ref="U42" si="18">+U43+U44+U45+U46+U47</f>
        <v>0</v>
      </c>
      <c r="V42" s="760">
        <f t="shared" ref="V42" si="19">+V43+V44+V45+V46+V47</f>
        <v>0</v>
      </c>
      <c r="W42" s="760">
        <f t="shared" ref="W42" si="20">+W43+W44+W45+W46+W47</f>
        <v>60500</v>
      </c>
      <c r="X42" s="760">
        <f t="shared" ref="X42" si="21">+X43+X44+X45+X46+X47</f>
        <v>15000</v>
      </c>
      <c r="Y42" s="760">
        <f t="shared" ref="Y42" si="22">+Y43+Y44+Y45+Y46+Y47</f>
        <v>13000</v>
      </c>
      <c r="Z42" s="760">
        <f t="shared" ref="Z42" si="23">+Z43+Z44+Z45+Z46+Z47</f>
        <v>37500</v>
      </c>
      <c r="AA42" s="760">
        <f t="shared" ref="AA42" si="24">+AA43+AA44+AA45+AA46+AA47</f>
        <v>74000</v>
      </c>
      <c r="AB42" s="760">
        <f t="shared" ref="AB42" si="25">+AB43+AB44+AB45+AB46+AB47</f>
        <v>0</v>
      </c>
      <c r="AC42" s="760">
        <f t="shared" ref="AC42" si="26">+AC43+AC44+AC45+AC46+AC47</f>
        <v>52500</v>
      </c>
      <c r="AD42" s="760">
        <f t="shared" ref="AD42" si="27">+AD43+AD44+AD45+AD46+AD47</f>
        <v>0</v>
      </c>
      <c r="AE42" s="760">
        <f t="shared" ref="AE42:AF42" si="28">+AE43+AE44+AE45+AE46+AE47</f>
        <v>13000</v>
      </c>
      <c r="AF42" s="760">
        <f t="shared" si="28"/>
        <v>5000</v>
      </c>
      <c r="AG42" s="760">
        <f t="shared" ref="AG42" si="29">+AG43+AG44+AG45+AG46+AG47</f>
        <v>32500</v>
      </c>
      <c r="AH42" s="760">
        <f t="shared" ref="AH42" si="30">+AH43+AH44+AH45+AH46+AH47</f>
        <v>15000</v>
      </c>
      <c r="AI42" s="760">
        <f t="shared" ref="AI42" si="31">+AI43+AI44+AI45+AI46+AI47</f>
        <v>5000</v>
      </c>
      <c r="AJ42" s="760">
        <f t="shared" ref="AJ42" si="32">+AJ43+AJ44+AJ45+AJ46+AJ47</f>
        <v>13000</v>
      </c>
      <c r="AK42" s="760">
        <f t="shared" ref="AK42" si="33">+AK43+AK44+AK45+AK46+AK47</f>
        <v>32500</v>
      </c>
      <c r="AL42" s="760">
        <f t="shared" ref="AL42" si="34">+AL43+AL44+AL45+AL46+AL47</f>
        <v>0</v>
      </c>
      <c r="AM42" s="760">
        <f t="shared" ref="AM42" si="35">+AM43+AM44+AM45+AM46+AM47</f>
        <v>20000</v>
      </c>
      <c r="AN42" s="760">
        <f t="shared" ref="AN42" si="36">+AN43+AN44+AN45+AN46+AN47</f>
        <v>0</v>
      </c>
      <c r="AO42" s="760">
        <f t="shared" ref="AO42" si="37">+AO43+AO44+AO45+AO46+AO47</f>
        <v>13000</v>
      </c>
      <c r="AP42" s="760">
        <f t="shared" ref="AP42" si="38">+AP43+AP44+AP45+AP46+AP47</f>
        <v>0</v>
      </c>
      <c r="AQ42" s="760">
        <f t="shared" ref="AQ42" si="39">+AQ43+AQ44+AQ45+AQ46+AQ47</f>
        <v>5000</v>
      </c>
      <c r="AR42" s="760">
        <f t="shared" ref="AR42" si="40">+AR43+AR44+AR45+AR46+AR47</f>
        <v>15000</v>
      </c>
      <c r="AS42" s="760">
        <f t="shared" ref="AS42:AT42" si="41">+AS43+AS44+AS45+AS46+AS47</f>
        <v>13000</v>
      </c>
      <c r="AT42" s="760">
        <f t="shared" si="41"/>
        <v>0</v>
      </c>
      <c r="AU42" s="760">
        <f t="shared" ref="AU42" si="42">+AU43+AU44+AU45+AU46+AU47</f>
        <v>0</v>
      </c>
      <c r="AV42" s="760">
        <f t="shared" ref="AV42" si="43">+AV43+AV44+AV45+AV46+AV47</f>
        <v>0</v>
      </c>
      <c r="AW42" s="760">
        <f t="shared" ref="AW42" si="44">+AW43+AW44+AW45+AW46+AW47</f>
        <v>0</v>
      </c>
      <c r="AX42" s="760">
        <f t="shared" ref="AX42" si="45">+AX43+AX44+AX45+AX46+AX47</f>
        <v>15000</v>
      </c>
      <c r="AY42" s="760">
        <f t="shared" ref="AY42" si="46">+AY43+AY44+AY45+AY46+AY47</f>
        <v>0</v>
      </c>
      <c r="AZ42" s="760">
        <f t="shared" ref="AZ42" si="47">+AZ43+AZ44+AZ45+AZ46+AZ47</f>
        <v>0</v>
      </c>
      <c r="BA42" s="760">
        <f t="shared" ref="BA42" si="48">+BA43+BA44+BA45+BA46+BA47</f>
        <v>0</v>
      </c>
      <c r="BB42" s="760">
        <f t="shared" ref="BB42" si="49">+BB43+BB44+BB45+BB46+BB47</f>
        <v>0</v>
      </c>
      <c r="BC42" s="760">
        <f t="shared" ref="BC42" si="50">+BC43+BC44+BC45+BC46+BC47</f>
        <v>0</v>
      </c>
      <c r="BD42" s="760">
        <f t="shared" ref="BD42" si="51">+BD43+BD44+BD45+BD46+BD47</f>
        <v>0</v>
      </c>
      <c r="BE42" s="760">
        <f t="shared" ref="BE42" si="52">+BE43+BE44+BE45+BE46+BE47</f>
        <v>30000</v>
      </c>
      <c r="BF42" s="760">
        <f t="shared" ref="BF42" si="53">+BF43+BF44+BF45+BF46+BF47</f>
        <v>0</v>
      </c>
      <c r="BG42" s="760">
        <f t="shared" ref="BG42:BH42" si="54">+BG43+BG44+BG45+BG46+BG47</f>
        <v>0</v>
      </c>
      <c r="BH42" s="760">
        <f t="shared" si="54"/>
        <v>0</v>
      </c>
      <c r="BI42" s="760">
        <f t="shared" ref="BI42" si="55">+BI43+BI44+BI45+BI46+BI47</f>
        <v>0</v>
      </c>
      <c r="BJ42" s="760">
        <f t="shared" ref="BJ42" si="56">+BJ43+BJ44+BJ45+BJ46+BJ47</f>
        <v>0</v>
      </c>
      <c r="BK42" s="760">
        <f t="shared" ref="BK42" si="57">+BK43+BK44+BK45+BK46+BK47</f>
        <v>0</v>
      </c>
      <c r="BL42" s="760">
        <f t="shared" ref="BL42" si="58">SUM(D42:BK42)</f>
        <v>580000</v>
      </c>
      <c r="BN42" s="891">
        <f t="shared" ref="BN42" si="59">+BL42-C42</f>
        <v>0</v>
      </c>
    </row>
    <row r="43" spans="1:70" s="781" customFormat="1" ht="25.5" x14ac:dyDescent="0.2">
      <c r="A43" s="315" t="str">
        <f>'3. PEP'!A57</f>
        <v>2.3.1</v>
      </c>
      <c r="B43" s="218" t="str">
        <f>'3. PEP'!B57</f>
        <v>Consultoría de Diseño y Capacitación para el Gerenciamiento Ambiental</v>
      </c>
      <c r="C43" s="759">
        <f>'3. PEP'!G57</f>
        <v>65000</v>
      </c>
      <c r="D43" s="759">
        <v>0</v>
      </c>
      <c r="E43" s="759">
        <v>0</v>
      </c>
      <c r="F43" s="759">
        <v>0</v>
      </c>
      <c r="G43" s="759">
        <v>0</v>
      </c>
      <c r="H43" s="759">
        <v>0</v>
      </c>
      <c r="I43" s="759">
        <v>0</v>
      </c>
      <c r="J43" s="759">
        <v>0</v>
      </c>
      <c r="K43" s="759">
        <v>0</v>
      </c>
      <c r="L43" s="759">
        <v>0</v>
      </c>
      <c r="M43" s="759">
        <v>0</v>
      </c>
      <c r="N43" s="759">
        <v>0</v>
      </c>
      <c r="O43" s="759">
        <v>0</v>
      </c>
      <c r="P43" s="759">
        <v>0</v>
      </c>
      <c r="Q43" s="759">
        <v>0</v>
      </c>
      <c r="R43" s="759">
        <v>0</v>
      </c>
      <c r="S43" s="759">
        <v>0</v>
      </c>
      <c r="T43" s="759">
        <v>0</v>
      </c>
      <c r="U43" s="759">
        <v>0</v>
      </c>
      <c r="V43" s="759">
        <v>0</v>
      </c>
      <c r="W43" s="759">
        <v>0</v>
      </c>
      <c r="X43" s="759">
        <v>0</v>
      </c>
      <c r="Y43" s="759">
        <f>+$C$43*0.2</f>
        <v>13000</v>
      </c>
      <c r="Z43" s="759">
        <v>0</v>
      </c>
      <c r="AA43" s="759">
        <v>0</v>
      </c>
      <c r="AB43" s="759">
        <v>0</v>
      </c>
      <c r="AC43" s="759">
        <v>0</v>
      </c>
      <c r="AD43" s="759">
        <v>0</v>
      </c>
      <c r="AE43" s="759">
        <f>+$C$43*0.2</f>
        <v>13000</v>
      </c>
      <c r="AF43" s="759">
        <v>0</v>
      </c>
      <c r="AG43" s="759">
        <v>0</v>
      </c>
      <c r="AH43" s="759">
        <v>0</v>
      </c>
      <c r="AI43" s="759">
        <v>0</v>
      </c>
      <c r="AJ43" s="759">
        <f>+$C$43*0.2</f>
        <v>13000</v>
      </c>
      <c r="AK43" s="759">
        <v>0</v>
      </c>
      <c r="AL43" s="759">
        <v>0</v>
      </c>
      <c r="AM43" s="759">
        <v>0</v>
      </c>
      <c r="AN43" s="759">
        <v>0</v>
      </c>
      <c r="AO43" s="759">
        <f>+$C$43*0.2</f>
        <v>13000</v>
      </c>
      <c r="AP43" s="759">
        <v>0</v>
      </c>
      <c r="AQ43" s="759">
        <v>0</v>
      </c>
      <c r="AR43" s="759">
        <v>0</v>
      </c>
      <c r="AS43" s="759">
        <f>+$C$43*0.2</f>
        <v>13000</v>
      </c>
      <c r="AT43" s="759">
        <v>0</v>
      </c>
      <c r="AU43" s="759">
        <v>0</v>
      </c>
      <c r="AV43" s="759">
        <v>0</v>
      </c>
      <c r="AW43" s="759">
        <v>0</v>
      </c>
      <c r="AX43" s="759">
        <v>0</v>
      </c>
      <c r="AY43" s="759">
        <v>0</v>
      </c>
      <c r="AZ43" s="759">
        <v>0</v>
      </c>
      <c r="BA43" s="759">
        <v>0</v>
      </c>
      <c r="BB43" s="759">
        <v>0</v>
      </c>
      <c r="BC43" s="759">
        <v>0</v>
      </c>
      <c r="BD43" s="759">
        <v>0</v>
      </c>
      <c r="BE43" s="759">
        <v>0</v>
      </c>
      <c r="BF43" s="759">
        <v>0</v>
      </c>
      <c r="BG43" s="759">
        <v>0</v>
      </c>
      <c r="BH43" s="759">
        <v>0</v>
      </c>
      <c r="BI43" s="759">
        <v>0</v>
      </c>
      <c r="BJ43" s="759">
        <v>0</v>
      </c>
      <c r="BK43" s="759">
        <v>0</v>
      </c>
      <c r="BL43" s="759">
        <f>SUM(D43:BK43)</f>
        <v>65000</v>
      </c>
      <c r="BM43" s="759">
        <f>C43-BL43</f>
        <v>0</v>
      </c>
      <c r="BN43" s="891">
        <f>+BL43-C43</f>
        <v>0</v>
      </c>
    </row>
    <row r="44" spans="1:70" s="781" customFormat="1" ht="25.5" x14ac:dyDescent="0.2">
      <c r="A44" s="315" t="str">
        <f>'3. PEP'!A58</f>
        <v>2.3.2</v>
      </c>
      <c r="B44" s="218" t="str">
        <f>'3. PEP'!B58</f>
        <v>Consultoría para desarrollo de apoyo a pueblos indígenas</v>
      </c>
      <c r="C44" s="759">
        <f>'3. PEP'!G58</f>
        <v>130000</v>
      </c>
      <c r="D44" s="759">
        <v>0</v>
      </c>
      <c r="E44" s="759">
        <v>0</v>
      </c>
      <c r="F44" s="759">
        <v>0</v>
      </c>
      <c r="G44" s="759">
        <v>0</v>
      </c>
      <c r="H44" s="759">
        <v>0</v>
      </c>
      <c r="I44" s="759">
        <v>0</v>
      </c>
      <c r="J44" s="759">
        <v>0</v>
      </c>
      <c r="K44" s="759">
        <v>0</v>
      </c>
      <c r="L44" s="759">
        <v>0</v>
      </c>
      <c r="M44" s="759">
        <v>0</v>
      </c>
      <c r="N44" s="759">
        <v>0</v>
      </c>
      <c r="O44" s="759">
        <v>0</v>
      </c>
      <c r="P44" s="759">
        <v>0</v>
      </c>
      <c r="Q44" s="759">
        <v>0</v>
      </c>
      <c r="R44" s="759">
        <v>0</v>
      </c>
      <c r="S44" s="759">
        <v>0</v>
      </c>
      <c r="T44" s="759">
        <v>0</v>
      </c>
      <c r="U44" s="759">
        <v>0</v>
      </c>
      <c r="V44" s="759">
        <v>0</v>
      </c>
      <c r="W44" s="759">
        <v>0</v>
      </c>
      <c r="X44" s="759">
        <v>0</v>
      </c>
      <c r="Y44" s="759">
        <v>0</v>
      </c>
      <c r="Z44" s="759">
        <f>+$C$44*0.25</f>
        <v>32500</v>
      </c>
      <c r="AA44" s="759">
        <v>0</v>
      </c>
      <c r="AB44" s="759">
        <v>0</v>
      </c>
      <c r="AC44" s="759">
        <f>+$C$44*0.25</f>
        <v>32500</v>
      </c>
      <c r="AD44" s="759">
        <v>0</v>
      </c>
      <c r="AE44" s="759">
        <v>0</v>
      </c>
      <c r="AF44" s="759">
        <v>0</v>
      </c>
      <c r="AG44" s="759">
        <f>+$C$44*0.25</f>
        <v>32500</v>
      </c>
      <c r="AH44" s="759">
        <v>0</v>
      </c>
      <c r="AI44" s="759">
        <v>0</v>
      </c>
      <c r="AJ44" s="759">
        <v>0</v>
      </c>
      <c r="AK44" s="759">
        <f>+$C$44*0.25</f>
        <v>32500</v>
      </c>
      <c r="AL44" s="759">
        <v>0</v>
      </c>
      <c r="AM44" s="759">
        <v>0</v>
      </c>
      <c r="AN44" s="759">
        <v>0</v>
      </c>
      <c r="AO44" s="759">
        <v>0</v>
      </c>
      <c r="AP44" s="759">
        <v>0</v>
      </c>
      <c r="AQ44" s="759">
        <v>0</v>
      </c>
      <c r="AR44" s="759">
        <v>0</v>
      </c>
      <c r="AS44" s="759">
        <v>0</v>
      </c>
      <c r="AT44" s="759">
        <v>0</v>
      </c>
      <c r="AU44" s="759">
        <v>0</v>
      </c>
      <c r="AV44" s="759">
        <v>0</v>
      </c>
      <c r="AW44" s="759">
        <v>0</v>
      </c>
      <c r="AX44" s="759">
        <v>0</v>
      </c>
      <c r="AY44" s="759">
        <v>0</v>
      </c>
      <c r="AZ44" s="759">
        <v>0</v>
      </c>
      <c r="BA44" s="759">
        <v>0</v>
      </c>
      <c r="BB44" s="759">
        <v>0</v>
      </c>
      <c r="BC44" s="759">
        <v>0</v>
      </c>
      <c r="BD44" s="759">
        <v>0</v>
      </c>
      <c r="BE44" s="759">
        <v>0</v>
      </c>
      <c r="BF44" s="759">
        <v>0</v>
      </c>
      <c r="BG44" s="759">
        <v>0</v>
      </c>
      <c r="BH44" s="759">
        <v>0</v>
      </c>
      <c r="BI44" s="759">
        <v>0</v>
      </c>
      <c r="BJ44" s="759">
        <v>0</v>
      </c>
      <c r="BK44" s="759">
        <v>0</v>
      </c>
      <c r="BL44" s="759">
        <f>SUM(D44:BK44)</f>
        <v>130000</v>
      </c>
      <c r="BM44" s="759">
        <f>C44-BL44</f>
        <v>0</v>
      </c>
      <c r="BN44" s="891">
        <f>+BL44-C44</f>
        <v>0</v>
      </c>
    </row>
    <row r="45" spans="1:70" s="781" customFormat="1" ht="25.5" x14ac:dyDescent="0.2">
      <c r="A45" s="315" t="str">
        <f>'3. PEP'!A59</f>
        <v>2.3.3</v>
      </c>
      <c r="B45" s="218" t="str">
        <f>'3. PEP'!B59</f>
        <v xml:space="preserve">Convenio con la DINAC para el desarrollo del Programa de Monitoreo Hidrológico </v>
      </c>
      <c r="C45" s="759">
        <f>'3. PEP'!G59</f>
        <v>185000</v>
      </c>
      <c r="D45" s="759">
        <v>0</v>
      </c>
      <c r="E45" s="759">
        <v>0</v>
      </c>
      <c r="F45" s="759">
        <v>0</v>
      </c>
      <c r="G45" s="759">
        <v>0</v>
      </c>
      <c r="H45" s="759">
        <v>0</v>
      </c>
      <c r="I45" s="759">
        <v>0</v>
      </c>
      <c r="J45" s="759">
        <v>0</v>
      </c>
      <c r="K45" s="759">
        <v>0</v>
      </c>
      <c r="L45" s="759">
        <v>0</v>
      </c>
      <c r="M45" s="759">
        <v>0</v>
      </c>
      <c r="N45" s="759">
        <v>0</v>
      </c>
      <c r="O45" s="759">
        <v>0</v>
      </c>
      <c r="P45" s="759">
        <v>0</v>
      </c>
      <c r="Q45" s="759">
        <v>0</v>
      </c>
      <c r="R45" s="759">
        <v>0</v>
      </c>
      <c r="S45" s="759">
        <f>+$C$45*0.3</f>
        <v>55500</v>
      </c>
      <c r="T45" s="759">
        <v>0</v>
      </c>
      <c r="U45" s="759">
        <v>0</v>
      </c>
      <c r="V45" s="759">
        <v>0</v>
      </c>
      <c r="W45" s="759">
        <f>+$C$45*0.3</f>
        <v>55500</v>
      </c>
      <c r="X45" s="759">
        <v>0</v>
      </c>
      <c r="Y45" s="759">
        <v>0</v>
      </c>
      <c r="Z45" s="759">
        <v>0</v>
      </c>
      <c r="AA45" s="759">
        <f>+$C$45*0.4</f>
        <v>74000</v>
      </c>
      <c r="AB45" s="759">
        <v>0</v>
      </c>
      <c r="AC45" s="759">
        <v>0</v>
      </c>
      <c r="AD45" s="759">
        <v>0</v>
      </c>
      <c r="AE45" s="759">
        <v>0</v>
      </c>
      <c r="AF45" s="759">
        <v>0</v>
      </c>
      <c r="AG45" s="759">
        <v>0</v>
      </c>
      <c r="AH45" s="759">
        <v>0</v>
      </c>
      <c r="AI45" s="759">
        <v>0</v>
      </c>
      <c r="AJ45" s="759">
        <v>0</v>
      </c>
      <c r="AK45" s="759">
        <v>0</v>
      </c>
      <c r="AL45" s="759">
        <v>0</v>
      </c>
      <c r="AM45" s="759">
        <v>0</v>
      </c>
      <c r="AN45" s="759">
        <v>0</v>
      </c>
      <c r="AO45" s="759">
        <v>0</v>
      </c>
      <c r="AP45" s="759">
        <v>0</v>
      </c>
      <c r="AQ45" s="759">
        <v>0</v>
      </c>
      <c r="AR45" s="759">
        <v>0</v>
      </c>
      <c r="AS45" s="759">
        <v>0</v>
      </c>
      <c r="AT45" s="759">
        <v>0</v>
      </c>
      <c r="AU45" s="759">
        <v>0</v>
      </c>
      <c r="AV45" s="759">
        <v>0</v>
      </c>
      <c r="AW45" s="759">
        <v>0</v>
      </c>
      <c r="AX45" s="759">
        <v>0</v>
      </c>
      <c r="AY45" s="759">
        <v>0</v>
      </c>
      <c r="AZ45" s="759">
        <v>0</v>
      </c>
      <c r="BA45" s="759">
        <v>0</v>
      </c>
      <c r="BB45" s="759">
        <v>0</v>
      </c>
      <c r="BC45" s="759">
        <v>0</v>
      </c>
      <c r="BD45" s="759">
        <v>0</v>
      </c>
      <c r="BE45" s="759">
        <v>0</v>
      </c>
      <c r="BF45" s="759">
        <v>0</v>
      </c>
      <c r="BG45" s="759">
        <v>0</v>
      </c>
      <c r="BH45" s="759">
        <v>0</v>
      </c>
      <c r="BI45" s="759">
        <v>0</v>
      </c>
      <c r="BJ45" s="759">
        <v>0</v>
      </c>
      <c r="BK45" s="759">
        <v>0</v>
      </c>
      <c r="BL45" s="759">
        <f>SUM(D45:BK45)</f>
        <v>185000</v>
      </c>
      <c r="BM45" s="759">
        <f>C45-BL45</f>
        <v>0</v>
      </c>
      <c r="BN45" s="891">
        <f>+BL45-C45</f>
        <v>0</v>
      </c>
    </row>
    <row r="46" spans="1:70" s="781" customFormat="1" ht="25.5" x14ac:dyDescent="0.2">
      <c r="A46" s="315" t="str">
        <f>'3. PEP'!A60</f>
        <v>2.3.4</v>
      </c>
      <c r="B46" s="218" t="str">
        <f>'3. PEP'!B60</f>
        <v>Consultoría "Monitoreo y Gestión Social Ambiental"</v>
      </c>
      <c r="C46" s="759">
        <f>'3. PEP'!G60</f>
        <v>150000</v>
      </c>
      <c r="D46" s="759">
        <v>0</v>
      </c>
      <c r="E46" s="759">
        <v>0</v>
      </c>
      <c r="F46" s="759">
        <v>0</v>
      </c>
      <c r="G46" s="759">
        <v>0</v>
      </c>
      <c r="H46" s="759">
        <v>0</v>
      </c>
      <c r="I46" s="759">
        <v>0</v>
      </c>
      <c r="J46" s="759">
        <v>0</v>
      </c>
      <c r="K46" s="759">
        <v>0</v>
      </c>
      <c r="L46" s="759">
        <v>0</v>
      </c>
      <c r="M46" s="759">
        <v>0</v>
      </c>
      <c r="N46" s="759">
        <v>0</v>
      </c>
      <c r="O46" s="759">
        <v>0</v>
      </c>
      <c r="P46" s="759">
        <v>0</v>
      </c>
      <c r="Q46" s="759">
        <v>0</v>
      </c>
      <c r="R46" s="759">
        <v>0</v>
      </c>
      <c r="S46" s="759">
        <f>+$C$46*0.2</f>
        <v>30000</v>
      </c>
      <c r="T46" s="759">
        <v>0</v>
      </c>
      <c r="U46" s="759">
        <v>0</v>
      </c>
      <c r="V46" s="759">
        <v>0</v>
      </c>
      <c r="W46" s="759">
        <v>0</v>
      </c>
      <c r="X46" s="759">
        <f>+$C$46*0.1</f>
        <v>15000</v>
      </c>
      <c r="Y46" s="759">
        <v>0</v>
      </c>
      <c r="Z46" s="759">
        <v>0</v>
      </c>
      <c r="AA46" s="759">
        <v>0</v>
      </c>
      <c r="AB46" s="759">
        <v>0</v>
      </c>
      <c r="AC46" s="759">
        <f>+$C$46*0.1</f>
        <v>15000</v>
      </c>
      <c r="AD46" s="759">
        <v>0</v>
      </c>
      <c r="AE46" s="759">
        <v>0</v>
      </c>
      <c r="AF46" s="759">
        <v>0</v>
      </c>
      <c r="AG46" s="759">
        <v>0</v>
      </c>
      <c r="AH46" s="759">
        <f>+$C$46*0.1</f>
        <v>15000</v>
      </c>
      <c r="AI46" s="759">
        <v>0</v>
      </c>
      <c r="AJ46" s="759">
        <v>0</v>
      </c>
      <c r="AK46" s="759">
        <v>0</v>
      </c>
      <c r="AL46" s="759">
        <v>0</v>
      </c>
      <c r="AM46" s="759">
        <f>+$C$46*0.1</f>
        <v>15000</v>
      </c>
      <c r="AN46" s="759">
        <v>0</v>
      </c>
      <c r="AO46" s="759">
        <v>0</v>
      </c>
      <c r="AP46" s="759">
        <v>0</v>
      </c>
      <c r="AQ46" s="759">
        <v>0</v>
      </c>
      <c r="AR46" s="759">
        <f>+$C$46*0.1</f>
        <v>15000</v>
      </c>
      <c r="AS46" s="759">
        <v>0</v>
      </c>
      <c r="AT46" s="759">
        <v>0</v>
      </c>
      <c r="AU46" s="759">
        <v>0</v>
      </c>
      <c r="AV46" s="759">
        <v>0</v>
      </c>
      <c r="AW46" s="759">
        <v>0</v>
      </c>
      <c r="AX46" s="759">
        <f>+$C$46*0.1</f>
        <v>15000</v>
      </c>
      <c r="AY46" s="759">
        <v>0</v>
      </c>
      <c r="AZ46" s="759">
        <v>0</v>
      </c>
      <c r="BA46" s="759">
        <v>0</v>
      </c>
      <c r="BB46" s="759">
        <v>0</v>
      </c>
      <c r="BC46" s="759">
        <v>0</v>
      </c>
      <c r="BD46" s="759">
        <v>0</v>
      </c>
      <c r="BE46" s="759">
        <f>+$C$46*0.2</f>
        <v>30000</v>
      </c>
      <c r="BF46" s="759">
        <v>0</v>
      </c>
      <c r="BG46" s="759">
        <v>0</v>
      </c>
      <c r="BH46" s="759">
        <v>0</v>
      </c>
      <c r="BI46" s="759">
        <v>0</v>
      </c>
      <c r="BJ46" s="759">
        <v>0</v>
      </c>
      <c r="BK46" s="759">
        <v>0</v>
      </c>
      <c r="BL46" s="759">
        <f>SUM(D46:BK46)</f>
        <v>150000</v>
      </c>
      <c r="BM46" s="759">
        <f>C46-BL46</f>
        <v>0</v>
      </c>
      <c r="BN46" s="891">
        <f>+BL46-C46</f>
        <v>0</v>
      </c>
    </row>
    <row r="47" spans="1:70" s="781" customFormat="1" ht="25.5" customHeight="1" x14ac:dyDescent="0.2">
      <c r="A47" s="315" t="str">
        <f>'3. PEP'!A61</f>
        <v>2.3.5</v>
      </c>
      <c r="B47" s="218" t="str">
        <f>'3. PEP'!B61</f>
        <v>Consultoría de Apoyo a la Supervisión Ambiental</v>
      </c>
      <c r="C47" s="759">
        <f>'3. PEP'!G61</f>
        <v>50000</v>
      </c>
      <c r="D47" s="759">
        <v>0</v>
      </c>
      <c r="E47" s="759">
        <v>0</v>
      </c>
      <c r="F47" s="759">
        <v>0</v>
      </c>
      <c r="G47" s="759">
        <v>0</v>
      </c>
      <c r="H47" s="759">
        <v>0</v>
      </c>
      <c r="I47" s="759">
        <v>0</v>
      </c>
      <c r="J47" s="759">
        <v>0</v>
      </c>
      <c r="K47" s="759">
        <v>0</v>
      </c>
      <c r="L47" s="759">
        <v>0</v>
      </c>
      <c r="M47" s="759">
        <v>0</v>
      </c>
      <c r="N47" s="759">
        <f>+$C$47*0.1</f>
        <v>5000</v>
      </c>
      <c r="O47" s="759">
        <v>0</v>
      </c>
      <c r="P47" s="759">
        <v>0</v>
      </c>
      <c r="Q47" s="759">
        <f>+$C$47*0.1</f>
        <v>5000</v>
      </c>
      <c r="R47" s="759">
        <v>0</v>
      </c>
      <c r="S47" s="759">
        <v>0</v>
      </c>
      <c r="T47" s="759">
        <f>+$C$47*0.1</f>
        <v>5000</v>
      </c>
      <c r="U47" s="759">
        <v>0</v>
      </c>
      <c r="V47" s="759">
        <v>0</v>
      </c>
      <c r="W47" s="759">
        <f>+$C$47*0.1</f>
        <v>5000</v>
      </c>
      <c r="X47" s="759">
        <v>0</v>
      </c>
      <c r="Y47" s="759">
        <v>0</v>
      </c>
      <c r="Z47" s="759">
        <f>+$C$47*0.1</f>
        <v>5000</v>
      </c>
      <c r="AA47" s="759">
        <v>0</v>
      </c>
      <c r="AB47" s="759">
        <v>0</v>
      </c>
      <c r="AC47" s="759">
        <f>+$C$47*0.1</f>
        <v>5000</v>
      </c>
      <c r="AD47" s="759">
        <v>0</v>
      </c>
      <c r="AE47" s="759">
        <v>0</v>
      </c>
      <c r="AF47" s="759">
        <f>+$C$47*0.1</f>
        <v>5000</v>
      </c>
      <c r="AG47" s="759">
        <v>0</v>
      </c>
      <c r="AH47" s="759">
        <v>0</v>
      </c>
      <c r="AI47" s="759">
        <f>+$C$47*0.1</f>
        <v>5000</v>
      </c>
      <c r="AJ47" s="759">
        <v>0</v>
      </c>
      <c r="AK47" s="759">
        <v>0</v>
      </c>
      <c r="AL47" s="759">
        <v>0</v>
      </c>
      <c r="AM47" s="759">
        <f>+$C$47*0.1</f>
        <v>5000</v>
      </c>
      <c r="AN47" s="759">
        <v>0</v>
      </c>
      <c r="AO47" s="759">
        <v>0</v>
      </c>
      <c r="AP47" s="759">
        <v>0</v>
      </c>
      <c r="AQ47" s="759">
        <f>+$C$47*0.1</f>
        <v>5000</v>
      </c>
      <c r="AR47" s="759">
        <v>0</v>
      </c>
      <c r="AS47" s="759">
        <v>0</v>
      </c>
      <c r="AT47" s="759">
        <v>0</v>
      </c>
      <c r="AU47" s="759">
        <v>0</v>
      </c>
      <c r="AV47" s="759">
        <v>0</v>
      </c>
      <c r="AW47" s="759">
        <v>0</v>
      </c>
      <c r="AX47" s="759">
        <v>0</v>
      </c>
      <c r="AY47" s="759">
        <v>0</v>
      </c>
      <c r="AZ47" s="759">
        <v>0</v>
      </c>
      <c r="BA47" s="759">
        <v>0</v>
      </c>
      <c r="BB47" s="759">
        <v>0</v>
      </c>
      <c r="BC47" s="759">
        <v>0</v>
      </c>
      <c r="BD47" s="759">
        <v>0</v>
      </c>
      <c r="BE47" s="759">
        <v>0</v>
      </c>
      <c r="BF47" s="759">
        <v>0</v>
      </c>
      <c r="BG47" s="759">
        <v>0</v>
      </c>
      <c r="BH47" s="759">
        <v>0</v>
      </c>
      <c r="BI47" s="759">
        <v>0</v>
      </c>
      <c r="BJ47" s="759">
        <v>0</v>
      </c>
      <c r="BK47" s="759">
        <v>0</v>
      </c>
      <c r="BL47" s="759">
        <f t="shared" ref="BL47" si="60">SUM(D47:BK47)</f>
        <v>50000</v>
      </c>
      <c r="BM47" s="759">
        <f>C47-BL47</f>
        <v>0</v>
      </c>
      <c r="BN47" s="891">
        <f>+BL47-C47</f>
        <v>0</v>
      </c>
    </row>
    <row r="48" spans="1:70" x14ac:dyDescent="0.2">
      <c r="A48" s="861"/>
      <c r="B48" s="862" t="s">
        <v>664</v>
      </c>
      <c r="C48" s="863"/>
      <c r="D48" s="863"/>
      <c r="E48" s="863"/>
      <c r="F48" s="863"/>
      <c r="G48" s="863"/>
      <c r="H48" s="863"/>
      <c r="I48" s="863"/>
      <c r="J48" s="863"/>
      <c r="K48" s="863"/>
      <c r="L48" s="863"/>
      <c r="M48" s="863"/>
      <c r="N48" s="863"/>
      <c r="O48" s="863"/>
      <c r="P48" s="863"/>
      <c r="Q48" s="863"/>
      <c r="R48" s="863"/>
      <c r="S48" s="863"/>
      <c r="T48" s="863"/>
      <c r="U48" s="863">
        <f>SUM(D11:U11)</f>
        <v>12088942</v>
      </c>
      <c r="V48" s="863"/>
      <c r="W48" s="863"/>
      <c r="X48" s="863"/>
      <c r="Y48" s="863"/>
      <c r="Z48" s="863"/>
      <c r="AA48" s="863"/>
      <c r="AB48" s="863"/>
      <c r="AC48" s="863"/>
      <c r="AD48" s="863"/>
      <c r="AE48" s="863"/>
      <c r="AF48" s="863"/>
      <c r="AG48" s="863">
        <f>SUM(V11:AG11)</f>
        <v>25063306.100000001</v>
      </c>
      <c r="AH48" s="863"/>
      <c r="AI48" s="863"/>
      <c r="AJ48" s="863"/>
      <c r="AK48" s="863"/>
      <c r="AL48" s="863"/>
      <c r="AM48" s="863"/>
      <c r="AN48" s="863"/>
      <c r="AO48" s="863"/>
      <c r="AP48" s="863"/>
      <c r="AQ48" s="863"/>
      <c r="AR48" s="863"/>
      <c r="AS48" s="863">
        <f>SUM(AH11:AS11)</f>
        <v>21093408.399999999</v>
      </c>
      <c r="AT48" s="863"/>
      <c r="AU48" s="863"/>
      <c r="AV48" s="863"/>
      <c r="AW48" s="863"/>
      <c r="AX48" s="863"/>
      <c r="AY48" s="863"/>
      <c r="AZ48" s="863"/>
      <c r="BA48" s="863"/>
      <c r="BB48" s="863"/>
      <c r="BC48" s="863"/>
      <c r="BD48" s="863"/>
      <c r="BE48" s="863">
        <f>SUM(AT11:BE11)</f>
        <v>2790072</v>
      </c>
      <c r="BF48" s="863"/>
      <c r="BG48" s="863"/>
      <c r="BH48" s="863"/>
      <c r="BI48" s="863"/>
      <c r="BJ48" s="863"/>
      <c r="BK48" s="863">
        <f>SUM(BF11:BK11)</f>
        <v>964271.5</v>
      </c>
      <c r="BL48" s="864"/>
      <c r="BM48" s="784"/>
      <c r="BN48" s="892"/>
      <c r="BO48" s="779"/>
      <c r="BP48" s="779"/>
      <c r="BQ48" s="779"/>
      <c r="BR48" s="779"/>
    </row>
  </sheetData>
  <mergeCells count="26">
    <mergeCell ref="V8:X8"/>
    <mergeCell ref="Y8:AA8"/>
    <mergeCell ref="AB8:AD8"/>
    <mergeCell ref="AE8:AG8"/>
    <mergeCell ref="BI8:BK8"/>
    <mergeCell ref="AH8:AJ8"/>
    <mergeCell ref="AK8:AM8"/>
    <mergeCell ref="AN8:AP8"/>
    <mergeCell ref="AQ8:AS8"/>
    <mergeCell ref="AT8:AV8"/>
    <mergeCell ref="A7:B10"/>
    <mergeCell ref="AW8:AY8"/>
    <mergeCell ref="AZ8:BB8"/>
    <mergeCell ref="BC8:BE8"/>
    <mergeCell ref="BF8:BH8"/>
    <mergeCell ref="AZ7:BK7"/>
    <mergeCell ref="D7:O7"/>
    <mergeCell ref="P7:AA7"/>
    <mergeCell ref="AB7:AM7"/>
    <mergeCell ref="AN7:AY7"/>
    <mergeCell ref="D8:F8"/>
    <mergeCell ref="G8:I8"/>
    <mergeCell ref="J8:L8"/>
    <mergeCell ref="M8:O8"/>
    <mergeCell ref="P8:R8"/>
    <mergeCell ref="S8:U8"/>
  </mergeCells>
  <pageMargins left="0.31496062992125984" right="0.31496062992125984" top="0.27559055118110237" bottom="0.27559055118110237" header="0.31496062992125984" footer="0.31496062992125984"/>
  <pageSetup paperSize="9" scale="53" orientation="landscape" r:id="rId1"/>
  <colBreaks count="4" manualBreakCount="4">
    <brk id="15" max="126" man="1"/>
    <brk id="27" max="126" man="1"/>
    <brk id="39" max="126" man="1"/>
    <brk id="51" max="12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showGridLines="0" topLeftCell="A13" zoomScale="80" zoomScaleNormal="80" zoomScaleSheetLayoutView="80" workbookViewId="0">
      <selection activeCell="B33" sqref="B33"/>
    </sheetView>
  </sheetViews>
  <sheetFormatPr defaultColWidth="9.140625" defaultRowHeight="12.75" x14ac:dyDescent="0.2"/>
  <cols>
    <col min="1" max="1" width="8.85546875" style="724" customWidth="1"/>
    <col min="2" max="2" width="49.85546875" style="144" customWidth="1"/>
    <col min="3" max="3" width="16.85546875" style="203" customWidth="1"/>
    <col min="4" max="8" width="15.42578125" style="203" customWidth="1"/>
    <col min="9" max="9" width="18" style="203" bestFit="1" customWidth="1"/>
    <col min="10" max="10" width="15" style="144" bestFit="1" customWidth="1"/>
    <col min="11" max="11" width="11.42578125" style="144" bestFit="1" customWidth="1"/>
    <col min="12" max="16384" width="9.140625" style="144"/>
  </cols>
  <sheetData>
    <row r="1" spans="1:10" ht="15" x14ac:dyDescent="0.25">
      <c r="A1" s="12" t="s">
        <v>189</v>
      </c>
      <c r="B1" s="11"/>
      <c r="C1" s="19"/>
      <c r="D1" s="19"/>
    </row>
    <row r="2" spans="1:10" ht="15" x14ac:dyDescent="0.25">
      <c r="A2" s="12" t="s">
        <v>46</v>
      </c>
      <c r="B2" s="11"/>
      <c r="C2" s="19"/>
      <c r="D2" s="19"/>
    </row>
    <row r="3" spans="1:10" ht="15" x14ac:dyDescent="0.25">
      <c r="A3" s="12"/>
      <c r="B3" s="13"/>
      <c r="C3" s="20"/>
      <c r="D3" s="20"/>
    </row>
    <row r="4" spans="1:10" ht="15" x14ac:dyDescent="0.25">
      <c r="A4" s="12" t="str">
        <f>'4. CC D'!A4</f>
        <v>Operación: Programa de Mejoramiento de Caminos Vecinales II (PMCV)</v>
      </c>
      <c r="B4" s="11"/>
      <c r="C4" s="19"/>
      <c r="D4" s="19"/>
    </row>
    <row r="5" spans="1:10" ht="15" x14ac:dyDescent="0.25">
      <c r="A5" s="12"/>
      <c r="B5" s="13"/>
      <c r="C5" s="20"/>
      <c r="D5" s="20"/>
    </row>
    <row r="6" spans="1:10" ht="15" x14ac:dyDescent="0.25">
      <c r="A6" s="12" t="s">
        <v>175</v>
      </c>
      <c r="B6" s="11"/>
      <c r="C6" s="19"/>
      <c r="D6" s="19"/>
    </row>
    <row r="7" spans="1:10" ht="13.5" thickBot="1" x14ac:dyDescent="0.25"/>
    <row r="8" spans="1:10" s="205" customFormat="1" x14ac:dyDescent="0.2">
      <c r="A8" s="988" t="s">
        <v>47</v>
      </c>
      <c r="B8" s="989"/>
      <c r="C8" s="21" t="s">
        <v>4</v>
      </c>
      <c r="D8" s="21" t="s">
        <v>40</v>
      </c>
      <c r="E8" s="21" t="s">
        <v>41</v>
      </c>
      <c r="F8" s="21" t="s">
        <v>42</v>
      </c>
      <c r="G8" s="21" t="s">
        <v>43</v>
      </c>
      <c r="H8" s="21" t="s">
        <v>44</v>
      </c>
      <c r="I8" s="204"/>
    </row>
    <row r="9" spans="1:10" x14ac:dyDescent="0.2">
      <c r="A9" s="314" t="str">
        <f>'6. PF M BID'!A12</f>
        <v>1.</v>
      </c>
      <c r="B9" s="224" t="str">
        <f>'6. PF M BID'!B12</f>
        <v>Componente I. Obras Civiles y Supervisión</v>
      </c>
      <c r="C9" s="757">
        <f>+C10+C16+C23+C29</f>
        <v>58220000</v>
      </c>
      <c r="D9" s="757">
        <f t="shared" ref="D9:H9" si="0">+D10+D16+D23+D29</f>
        <v>2873610</v>
      </c>
      <c r="E9" s="757">
        <f t="shared" si="0"/>
        <v>19213385.800000001</v>
      </c>
      <c r="F9" s="757">
        <f t="shared" si="0"/>
        <v>26754342.199999999</v>
      </c>
      <c r="G9" s="757">
        <f t="shared" si="0"/>
        <v>8266312</v>
      </c>
      <c r="H9" s="757">
        <f t="shared" si="0"/>
        <v>1112350</v>
      </c>
      <c r="J9" s="203"/>
    </row>
    <row r="10" spans="1:10" x14ac:dyDescent="0.2">
      <c r="A10" s="847">
        <f>'6. PF M BID'!A13</f>
        <v>1.1000000000000001</v>
      </c>
      <c r="B10" s="219" t="str">
        <f>'6. PF M BID'!B13</f>
        <v xml:space="preserve">Producto 1: 165 Km de Caminos Vecinales mejorados </v>
      </c>
      <c r="C10" s="758">
        <f>+C11+C12+C13+C14+C15</f>
        <v>42340000</v>
      </c>
      <c r="D10" s="758">
        <f>SUM('6. PF M BID'!D13:O13)</f>
        <v>364000</v>
      </c>
      <c r="E10" s="758">
        <f>SUM('6. PF M BID'!P13:AA13)</f>
        <v>12858515</v>
      </c>
      <c r="F10" s="758">
        <f>SUM('6. PF M BID'!AB13:AM13)</f>
        <v>24096154</v>
      </c>
      <c r="G10" s="758">
        <f>SUM('6. PF M BID'!AN13:AY13)</f>
        <v>5021331</v>
      </c>
      <c r="H10" s="758">
        <f>SUM('6. PF M BID'!AZ13:BK13)</f>
        <v>0</v>
      </c>
      <c r="J10" s="203"/>
    </row>
    <row r="11" spans="1:10" ht="38.25" x14ac:dyDescent="0.2">
      <c r="A11" s="315" t="str">
        <f>'6. PF M BID'!A14</f>
        <v>1.1.1</v>
      </c>
      <c r="B11" s="214" t="str">
        <f>'6. PF M BID'!B14</f>
        <v>Contratación de Firma Constructora para rehabilitación de Caminos Vecinales - Grupo 1: Itakyry - Arroyos y Esteros - Altos y Gral. Resquin. (65,51 Km)</v>
      </c>
      <c r="C11" s="760">
        <f>'6. PF M BID'!C14</f>
        <v>13200000</v>
      </c>
      <c r="D11" s="896">
        <f>SUM('6. PF M BID'!D14:O14)</f>
        <v>0</v>
      </c>
      <c r="E11" s="759">
        <f>SUM('6. PF M BID'!P14:AA14)</f>
        <v>10771200</v>
      </c>
      <c r="F11" s="759">
        <f>SUM('6. PF M BID'!AB14:AM14)</f>
        <v>2428800</v>
      </c>
      <c r="G11" s="759">
        <f>SUM('6. PF M BID'!AN14:AY14)</f>
        <v>0</v>
      </c>
      <c r="H11" s="759">
        <f>SUM('6. PF M BID'!AZ14:BK14)</f>
        <v>0</v>
      </c>
      <c r="J11" s="203"/>
    </row>
    <row r="12" spans="1:10" ht="38.25" x14ac:dyDescent="0.2">
      <c r="A12" s="826" t="str">
        <f>'6. PF M BID'!A15</f>
        <v>1.1.2</v>
      </c>
      <c r="B12" s="214" t="str">
        <f>'6. PF M BID'!B15</f>
        <v>Contratación de Firma Constructora para rehabilitación de Caminos Vecinales - Grupo 2:  La Paz - Gral. Artigas Fram y illa Ygatimi Ype Jhu (99 Km)</v>
      </c>
      <c r="C12" s="760">
        <f>'6. PF M BID'!C15</f>
        <v>24800000</v>
      </c>
      <c r="D12" s="896">
        <f>SUM('6. PF M BID'!D15:O15)</f>
        <v>0</v>
      </c>
      <c r="E12" s="759">
        <f>SUM('6. PF M BID'!P15:AA15)</f>
        <v>0</v>
      </c>
      <c r="F12" s="759">
        <f>SUM('6. PF M BID'!AB15:AM15)</f>
        <v>20236800</v>
      </c>
      <c r="G12" s="759">
        <f>SUM('6. PF M BID'!AN15:AY15)</f>
        <v>4563200</v>
      </c>
      <c r="H12" s="759">
        <f>SUM('6. PF M BID'!AZ15:BK15)</f>
        <v>0</v>
      </c>
      <c r="J12" s="203"/>
    </row>
    <row r="13" spans="1:10" ht="25.5" x14ac:dyDescent="0.2">
      <c r="A13" s="826" t="str">
        <f>'6. PF M BID'!A16</f>
        <v>1.1.3</v>
      </c>
      <c r="B13" s="214" t="str">
        <f>'6. PF M BID'!B16</f>
        <v>Contratación de Firma Consultora para Fiscalización de rehabilitación de Caminos Grupo 1</v>
      </c>
      <c r="C13" s="760">
        <f>'6. PF M BID'!C16</f>
        <v>875000</v>
      </c>
      <c r="D13" s="896">
        <f>SUM('6. PF M BID'!D16:O16)</f>
        <v>0</v>
      </c>
      <c r="E13" s="759">
        <f>SUM('6. PF M BID'!P16:AA16)</f>
        <v>631315</v>
      </c>
      <c r="F13" s="759">
        <f>SUM('6. PF M BID'!AB16:AM16)</f>
        <v>243685</v>
      </c>
      <c r="G13" s="759">
        <f>SUM('6. PF M BID'!AN16:AY16)</f>
        <v>0</v>
      </c>
      <c r="H13" s="759">
        <f>SUM('6. PF M BID'!AZ16:BK16)</f>
        <v>0</v>
      </c>
      <c r="J13" s="203"/>
    </row>
    <row r="14" spans="1:10" ht="25.5" x14ac:dyDescent="0.2">
      <c r="A14" s="826" t="str">
        <f>'6. PF M BID'!A17</f>
        <v>1.1.4</v>
      </c>
      <c r="B14" s="214" t="str">
        <f>'6. PF M BID'!B17</f>
        <v>Contratación de Firma Consultora para Fiscalización de rehabilitación de Caminos Grupo 2</v>
      </c>
      <c r="C14" s="760">
        <f>'6. PF M BID'!C17</f>
        <v>1645000</v>
      </c>
      <c r="D14" s="896">
        <f>SUM('6. PF M BID'!D17:O17)</f>
        <v>0</v>
      </c>
      <c r="E14" s="759">
        <f>SUM('6. PF M BID'!P17:AA17)</f>
        <v>0</v>
      </c>
      <c r="F14" s="759">
        <f>SUM('6. PF M BID'!AB17:AM17)</f>
        <v>1186869</v>
      </c>
      <c r="G14" s="759">
        <f>SUM('6. PF M BID'!AN17:AY17)</f>
        <v>458131</v>
      </c>
      <c r="H14" s="759">
        <f>SUM('6. PF M BID'!AZ17:BK17)</f>
        <v>0</v>
      </c>
      <c r="J14" s="203"/>
    </row>
    <row r="15" spans="1:10" ht="25.5" x14ac:dyDescent="0.2">
      <c r="A15" s="826" t="str">
        <f>'6. PF M BID'!A18</f>
        <v>1.1.5</v>
      </c>
      <c r="B15" s="214" t="str">
        <f>'6. PF M BID'!B18</f>
        <v>Contratación de Firma Consultora para el desarrollo de diseños de caminos - Grupo 2</v>
      </c>
      <c r="C15" s="760">
        <f>'6. PF M BID'!C18</f>
        <v>1820000</v>
      </c>
      <c r="D15" s="896">
        <f>SUM('6. PF M BID'!D18:O18)</f>
        <v>364000</v>
      </c>
      <c r="E15" s="759">
        <f>SUM('6. PF M BID'!P18:AA18)</f>
        <v>1456000</v>
      </c>
      <c r="F15" s="759">
        <f>SUM('6. PF M BID'!AB18:AM18)</f>
        <v>0</v>
      </c>
      <c r="G15" s="759">
        <f>SUM('6. PF M BID'!AN18:AY18)</f>
        <v>0</v>
      </c>
      <c r="H15" s="759">
        <f>SUM('6. PF M BID'!AZ18:BK18)</f>
        <v>0</v>
      </c>
      <c r="J15" s="203"/>
    </row>
    <row r="16" spans="1:10" ht="25.5" x14ac:dyDescent="0.2">
      <c r="A16" s="847">
        <f>'6. PF M BID'!A19</f>
        <v>1.2</v>
      </c>
      <c r="B16" s="219" t="str">
        <f>'6. PF M BID'!B19</f>
        <v xml:space="preserve">Producto 2: 713 Km de Caminos incorporados en un esquema de mantenimiento </v>
      </c>
      <c r="C16" s="760">
        <f>+C17+C18+C19+C20+C21+C22</f>
        <v>4000000</v>
      </c>
      <c r="D16" s="758">
        <f>SUM('6. PF M BID'!D19:O19)</f>
        <v>214645</v>
      </c>
      <c r="E16" s="760">
        <f>SUM('6. PF M BID'!P19:AA19)</f>
        <v>750485.8</v>
      </c>
      <c r="F16" s="760">
        <f>SUM('6. PF M BID'!AB19:AM19)</f>
        <v>916362.20000000007</v>
      </c>
      <c r="G16" s="760">
        <f>SUM('6. PF M BID'!AN19:AY19)</f>
        <v>1006157</v>
      </c>
      <c r="H16" s="760">
        <f>SUM('6. PF M BID'!AZ19:BK19)</f>
        <v>1112350</v>
      </c>
      <c r="J16" s="203"/>
    </row>
    <row r="17" spans="1:10" ht="25.5" x14ac:dyDescent="0.2">
      <c r="A17" s="315" t="str">
        <f>'6. PF M BID'!A20</f>
        <v>1.2.1</v>
      </c>
      <c r="B17" s="218" t="str">
        <f>'6. PF M BID'!B20</f>
        <v>Contratación de Firma Constructora para Obra de Mantenimiento. Contratos Grupo 1: 102.79 km</v>
      </c>
      <c r="C17" s="760">
        <f>'6. PF M BID'!C20</f>
        <v>764080</v>
      </c>
      <c r="D17" s="896">
        <f>SUM('6. PF M BID'!D20:O20)</f>
        <v>191020</v>
      </c>
      <c r="E17" s="759">
        <f>SUM('6. PF M BID'!P20:AA20)</f>
        <v>122252.79999999999</v>
      </c>
      <c r="F17" s="759">
        <f>SUM('6. PF M BID'!AB20:AM20)</f>
        <v>106971.2</v>
      </c>
      <c r="G17" s="759">
        <f>SUM('6. PF M BID'!AN20:AY20)</f>
        <v>152816</v>
      </c>
      <c r="H17" s="759">
        <f>SUM('6. PF M BID'!AZ20:BK20)</f>
        <v>191020</v>
      </c>
      <c r="J17" s="203"/>
    </row>
    <row r="18" spans="1:10" ht="25.5" x14ac:dyDescent="0.2">
      <c r="A18" s="826" t="str">
        <f>'6. PF M BID'!A21</f>
        <v>1.2.2</v>
      </c>
      <c r="B18" s="825" t="str">
        <f>'6. PF M BID'!B21</f>
        <v>Contratación de Firma Constructora para Obra de Mantenimiento. Contratos Grupo 2: 226.63 km</v>
      </c>
      <c r="C18" s="760">
        <f>'6. PF M BID'!C21</f>
        <v>1359780</v>
      </c>
      <c r="D18" s="896">
        <f>SUM('6. PF M BID'!D21:O21)</f>
        <v>0</v>
      </c>
      <c r="E18" s="759">
        <f>SUM('6. PF M BID'!P21:AA21)</f>
        <v>475923</v>
      </c>
      <c r="F18" s="759">
        <f>SUM('6. PF M BID'!AB21:AM21)</f>
        <v>271956</v>
      </c>
      <c r="G18" s="759">
        <f>SUM('6. PF M BID'!AN21:AY21)</f>
        <v>271956</v>
      </c>
      <c r="H18" s="759">
        <f>SUM('6. PF M BID'!AZ21:BK21)</f>
        <v>339945</v>
      </c>
      <c r="J18" s="203"/>
    </row>
    <row r="19" spans="1:10" ht="25.5" x14ac:dyDescent="0.2">
      <c r="A19" s="826" t="str">
        <f>'6. PF M BID'!A22</f>
        <v>1.2.3</v>
      </c>
      <c r="B19" s="825" t="str">
        <f>'6. PF M BID'!B22</f>
        <v>Suscripción de Convenio con Municipios para Obras de Mantenimiento. Convenio Grupo 1: 28.35 km</v>
      </c>
      <c r="C19" s="760">
        <f>'6. PF M BID'!C22</f>
        <v>212625</v>
      </c>
      <c r="D19" s="896">
        <f>SUM('6. PF M BID'!D22:O22)</f>
        <v>23625</v>
      </c>
      <c r="E19" s="759">
        <f>SUM('6. PF M BID'!P22:AA22)</f>
        <v>47250</v>
      </c>
      <c r="F19" s="759">
        <f>SUM('6. PF M BID'!AB22:AM22)</f>
        <v>47250</v>
      </c>
      <c r="G19" s="759">
        <f>SUM('6. PF M BID'!AN22:AY22)</f>
        <v>47250</v>
      </c>
      <c r="H19" s="759">
        <f>SUM('6. PF M BID'!AZ22:BK22)</f>
        <v>47250</v>
      </c>
      <c r="J19" s="203"/>
    </row>
    <row r="20" spans="1:10" ht="25.5" x14ac:dyDescent="0.2">
      <c r="A20" s="826" t="str">
        <f>'6. PF M BID'!A23</f>
        <v>1.2.4</v>
      </c>
      <c r="B20" s="825" t="str">
        <f>'6. PF M BID'!B23</f>
        <v>Suscripción de Convenio con Municipios para Obras de Mantenimiento. Convenio Grupo 2: 70.04 km</v>
      </c>
      <c r="C20" s="760">
        <f>'6. PF M BID'!C23</f>
        <v>420240.00000000006</v>
      </c>
      <c r="D20" s="896">
        <f>SUM('6. PF M BID'!D23:O23)</f>
        <v>0</v>
      </c>
      <c r="E20" s="759">
        <f>SUM('6. PF M BID'!P23:AA23)</f>
        <v>105060.00000000001</v>
      </c>
      <c r="F20" s="759">
        <f>SUM('6. PF M BID'!AB23:AM23)</f>
        <v>105060.00000000001</v>
      </c>
      <c r="G20" s="759">
        <f>SUM('6. PF M BID'!AN23:AY23)</f>
        <v>105060.00000000001</v>
      </c>
      <c r="H20" s="759">
        <f>SUM('6. PF M BID'!AZ23:BK23)</f>
        <v>105060.00000000001</v>
      </c>
      <c r="J20" s="203"/>
    </row>
    <row r="21" spans="1:10" ht="25.5" x14ac:dyDescent="0.2">
      <c r="A21" s="826" t="str">
        <f>'6. PF M BID'!A24</f>
        <v>1.2.5</v>
      </c>
      <c r="B21" s="825" t="str">
        <f>'6. PF M BID'!B24</f>
        <v>Suscripción de Convenio con Municipios para Obras de Mantenimiento. Convenio Grupo 3: 256.75 km</v>
      </c>
      <c r="C21" s="760">
        <f>'6. PF M BID'!C24</f>
        <v>1155375</v>
      </c>
      <c r="D21" s="896">
        <f>SUM('6. PF M BID'!D24:O24)</f>
        <v>0</v>
      </c>
      <c r="E21" s="759">
        <f>SUM('6. PF M BID'!P24:AA24)</f>
        <v>0</v>
      </c>
      <c r="F21" s="759">
        <f>SUM('6. PF M BID'!AB24:AM24)</f>
        <v>385125</v>
      </c>
      <c r="G21" s="759">
        <f>SUM('6. PF M BID'!AN24:AY24)</f>
        <v>385125</v>
      </c>
      <c r="H21" s="759">
        <f>SUM('6. PF M BID'!AZ24:BK24)</f>
        <v>385125</v>
      </c>
      <c r="J21" s="203"/>
    </row>
    <row r="22" spans="1:10" ht="25.5" x14ac:dyDescent="0.2">
      <c r="A22" s="826" t="str">
        <f>'6. PF M BID'!A25</f>
        <v>1.2.6</v>
      </c>
      <c r="B22" s="825" t="str">
        <f>'6. PF M BID'!B25</f>
        <v>Suscripción de Convenio con Municipios para Obras de Mantenimiento. Convenio Grupo 4: 29.30 km</v>
      </c>
      <c r="C22" s="760">
        <f>'6. PF M BID'!C25</f>
        <v>87900</v>
      </c>
      <c r="D22" s="896">
        <f>SUM('6. PF M BID'!D25:O25)</f>
        <v>0</v>
      </c>
      <c r="E22" s="759">
        <f>SUM('6. PF M BID'!P25:AA25)</f>
        <v>0</v>
      </c>
      <c r="F22" s="759">
        <f>SUM('6. PF M BID'!AB25:AM25)</f>
        <v>0</v>
      </c>
      <c r="G22" s="759">
        <f>SUM('6. PF M BID'!AN25:AY25)</f>
        <v>43950</v>
      </c>
      <c r="H22" s="759">
        <f>SUM('6. PF M BID'!AZ25:BK25)</f>
        <v>43950</v>
      </c>
      <c r="J22" s="203"/>
    </row>
    <row r="23" spans="1:10" ht="25.5" x14ac:dyDescent="0.2">
      <c r="A23" s="847">
        <f>'6. PF M BID'!A26</f>
        <v>1.3</v>
      </c>
      <c r="B23" s="219" t="str">
        <f>'6. PF M BID'!B26</f>
        <v>Producto 3: 600 ml de Puentes de madera reemplazados por puentes de HoAo</v>
      </c>
      <c r="C23" s="760">
        <f>+C24+C25+C26+C27+C28</f>
        <v>11660000</v>
      </c>
      <c r="D23" s="758">
        <f>SUM('6. PF M BID'!D26:O26)</f>
        <v>2250965</v>
      </c>
      <c r="E23" s="760">
        <f>SUM('6. PF M BID'!P26:AA26)</f>
        <v>5544885</v>
      </c>
      <c r="F23" s="760">
        <f>SUM('6. PF M BID'!AB26:AM26)</f>
        <v>1677826</v>
      </c>
      <c r="G23" s="760">
        <f>SUM('6. PF M BID'!AN26:AY26)</f>
        <v>2186324</v>
      </c>
      <c r="H23" s="760">
        <f>SUM('6. PF M BID'!AZ26:BK26)</f>
        <v>0</v>
      </c>
      <c r="J23" s="203"/>
    </row>
    <row r="24" spans="1:10" ht="38.25" x14ac:dyDescent="0.2">
      <c r="A24" s="316" t="str">
        <f>'6. PF M BID'!A27</f>
        <v>1.3.1</v>
      </c>
      <c r="B24" s="222" t="str">
        <f>'6. PF M BID'!B27</f>
        <v>Contratación de Firma Constructora para reemplazo de puentes - Grupo 1: Paraguarí - Misiones - Cordillera y San Pedro (405 ml)</v>
      </c>
      <c r="C24" s="760">
        <f>'6. PF M BID'!C27</f>
        <v>6885000</v>
      </c>
      <c r="D24" s="896">
        <f>SUM('6. PF M BID'!D27:O27)</f>
        <v>2185990</v>
      </c>
      <c r="E24" s="759">
        <f>SUM('6. PF M BID'!P27:AA27)</f>
        <v>4409880</v>
      </c>
      <c r="F24" s="759">
        <f>SUM('6. PF M BID'!AB27:AM27)</f>
        <v>289130</v>
      </c>
      <c r="G24" s="759">
        <f>SUM('6. PF M BID'!AN27:AY27)</f>
        <v>0</v>
      </c>
      <c r="H24" s="759">
        <f>SUM('6. PF M BID'!AZ27:BK27)</f>
        <v>0</v>
      </c>
      <c r="J24" s="203"/>
    </row>
    <row r="25" spans="1:10" ht="38.25" x14ac:dyDescent="0.2">
      <c r="A25" s="316" t="str">
        <f>'6. PF M BID'!A28</f>
        <v>1.3.2</v>
      </c>
      <c r="B25" s="222" t="str">
        <f>'6. PF M BID'!B28</f>
        <v>Contratación de Firma Constructora para reemplazo de puentes - Grupo 2:  Guaira - Alto Paraná y Amambay (195 ml)</v>
      </c>
      <c r="C25" s="760">
        <f>'6. PF M BID'!C28</f>
        <v>3315000</v>
      </c>
      <c r="D25" s="896">
        <f>SUM('6. PF M BID'!D28:O28)</f>
        <v>0</v>
      </c>
      <c r="E25" s="759">
        <f>SUM('6. PF M BID'!P28:AA28)</f>
        <v>0</v>
      </c>
      <c r="F25" s="759">
        <f>SUM('6. PF M BID'!AB28:AM28)</f>
        <v>1256386</v>
      </c>
      <c r="G25" s="759">
        <f>SUM('6. PF M BID'!AN28:AY28)</f>
        <v>2058614</v>
      </c>
      <c r="H25" s="759">
        <f>SUM('6. PF M BID'!AZ28:BK28)</f>
        <v>0</v>
      </c>
      <c r="J25" s="203"/>
    </row>
    <row r="26" spans="1:10" ht="25.5" x14ac:dyDescent="0.2">
      <c r="A26" s="316" t="str">
        <f>'6. PF M BID'!A29</f>
        <v>1.3.3</v>
      </c>
      <c r="B26" s="222" t="str">
        <f>'6. PF M BID'!B29</f>
        <v>Contratación de Firma Consultora para Fiscalización de reemplazo de puentes Grupo 1</v>
      </c>
      <c r="C26" s="760">
        <f>'6. PF M BID'!C29</f>
        <v>460000</v>
      </c>
      <c r="D26" s="896">
        <f>SUM('6. PF M BID'!D29:O29)</f>
        <v>64975</v>
      </c>
      <c r="E26" s="759">
        <f>SUM('6. PF M BID'!P29:AA29)</f>
        <v>355005</v>
      </c>
      <c r="F26" s="759">
        <f>SUM('6. PF M BID'!AB29:AM29)</f>
        <v>40020</v>
      </c>
      <c r="G26" s="759">
        <f>SUM('6. PF M BID'!AN29:AY29)</f>
        <v>0</v>
      </c>
      <c r="H26" s="759">
        <f>SUM('6. PF M BID'!AZ29:BK29)</f>
        <v>0</v>
      </c>
      <c r="J26" s="203"/>
    </row>
    <row r="27" spans="1:10" ht="25.5" x14ac:dyDescent="0.2">
      <c r="A27" s="316" t="str">
        <f>'6. PF M BID'!A30</f>
        <v>1.3.4</v>
      </c>
      <c r="B27" s="222" t="str">
        <f>'6. PF M BID'!B30</f>
        <v>Contratación de Firma Consultora para Fiscalización de reemplazo de puentes Grupo 2</v>
      </c>
      <c r="C27" s="760">
        <f>'6. PF M BID'!C30</f>
        <v>220000</v>
      </c>
      <c r="D27" s="896">
        <f>SUM('6. PF M BID'!D30:O30)</f>
        <v>0</v>
      </c>
      <c r="E27" s="759">
        <f>SUM('6. PF M BID'!P30:AA30)</f>
        <v>0</v>
      </c>
      <c r="F27" s="759">
        <f>SUM('6. PF M BID'!AB30:AM30)</f>
        <v>92290</v>
      </c>
      <c r="G27" s="759">
        <f>SUM('6. PF M BID'!AN30:AY30)</f>
        <v>127710</v>
      </c>
      <c r="H27" s="759">
        <f>SUM('6. PF M BID'!AZ30:BK30)</f>
        <v>0</v>
      </c>
      <c r="J27" s="203"/>
    </row>
    <row r="28" spans="1:10" ht="25.5" x14ac:dyDescent="0.2">
      <c r="A28" s="316" t="str">
        <f>'6. PF M BID'!A31</f>
        <v>1.3.5</v>
      </c>
      <c r="B28" s="222" t="str">
        <f>'6. PF M BID'!B31</f>
        <v>Contratación de Firma Consultora para el desarrollo de diseños de puentes - Grupo 2</v>
      </c>
      <c r="C28" s="760">
        <f>'6. PF M BID'!C31</f>
        <v>780000</v>
      </c>
      <c r="D28" s="896">
        <f>SUM('6. PF M BID'!D31:O31)</f>
        <v>0</v>
      </c>
      <c r="E28" s="759">
        <f>SUM('6. PF M BID'!P31:AA31)</f>
        <v>780000</v>
      </c>
      <c r="F28" s="759">
        <f>SUM('6. PF M BID'!AB31:AM31)</f>
        <v>0</v>
      </c>
      <c r="G28" s="759">
        <f>SUM('6. PF M BID'!AN31:AY31)</f>
        <v>0</v>
      </c>
      <c r="H28" s="759">
        <f>SUM('6. PF M BID'!AZ31:BK31)</f>
        <v>0</v>
      </c>
      <c r="J28" s="203"/>
    </row>
    <row r="29" spans="1:10" ht="25.5" x14ac:dyDescent="0.2">
      <c r="A29" s="847">
        <f>'6. PF M BID'!A32</f>
        <v>1.4</v>
      </c>
      <c r="B29" s="219" t="str">
        <f>'6. PF M BID'!B32</f>
        <v>Producto 4: Mujeres Capacitadas en empleos no tradicionales del sector vial</v>
      </c>
      <c r="C29" s="760">
        <f>+C30+C31</f>
        <v>220000</v>
      </c>
      <c r="D29" s="758">
        <f>SUM('6. PF M BID'!D32:O32)</f>
        <v>44000</v>
      </c>
      <c r="E29" s="760">
        <f>SUM('6. PF M BID'!P32:AA32)</f>
        <v>59500</v>
      </c>
      <c r="F29" s="760">
        <f>SUM('6. PF M BID'!AB32:AM32)</f>
        <v>64000</v>
      </c>
      <c r="G29" s="760">
        <f>SUM('6. PF M BID'!AN32:AY32)</f>
        <v>52500</v>
      </c>
      <c r="H29" s="760">
        <f>SUM('6. PF M BID'!AZ32:BK32)</f>
        <v>0</v>
      </c>
      <c r="J29" s="203"/>
    </row>
    <row r="30" spans="1:10" ht="25.5" x14ac:dyDescent="0.2">
      <c r="A30" s="315" t="str">
        <f>'6. PF M BID'!A33</f>
        <v>1.4.1</v>
      </c>
      <c r="B30" s="218" t="str">
        <f>'6. PF M BID'!B33</f>
        <v>Consultoría para diseño y divulgación de Programa de Educación Ambiental y de Género</v>
      </c>
      <c r="C30" s="760">
        <f>'6. PF M BID'!C33</f>
        <v>90000</v>
      </c>
      <c r="D30" s="759">
        <f>SUM('6. PF M BID'!D33:R33)</f>
        <v>18000</v>
      </c>
      <c r="E30" s="759">
        <f>SUM('6. PF M BID'!S33:AD33)</f>
        <v>36000</v>
      </c>
      <c r="F30" s="759">
        <f>SUM('6. PF M BID'!AE33:AP33)</f>
        <v>22500</v>
      </c>
      <c r="G30" s="759">
        <f>SUM('6. PF M BID'!AQ33:AY33)</f>
        <v>13500</v>
      </c>
      <c r="H30" s="759">
        <f>SUM('6. PF M BID'!AZ33:BK33)</f>
        <v>0</v>
      </c>
      <c r="J30" s="203"/>
    </row>
    <row r="31" spans="1:10" ht="25.5" x14ac:dyDescent="0.2">
      <c r="A31" s="315" t="str">
        <f>'6. PF M BID'!A34</f>
        <v>1.4.2</v>
      </c>
      <c r="B31" s="218" t="str">
        <f>'6. PF M BID'!B34</f>
        <v>Consultoría para desarrollo de la generación de mano de obra local y genero en zona de emprendimiento</v>
      </c>
      <c r="C31" s="760">
        <f>'6. PF M BID'!C34</f>
        <v>130000</v>
      </c>
      <c r="D31" s="759">
        <f>SUM('6. PF M BID'!D34:R34)</f>
        <v>26000</v>
      </c>
      <c r="E31" s="759">
        <f>SUM('6. PF M BID'!S34:AD34)</f>
        <v>32500</v>
      </c>
      <c r="F31" s="759">
        <f>SUM('6. PF M BID'!AE34:AP34)</f>
        <v>32500</v>
      </c>
      <c r="G31" s="759">
        <f>SUM('6. PF M BID'!AQ34:AY34)</f>
        <v>39000</v>
      </c>
      <c r="H31" s="759">
        <f>SUM('6. PF M BID'!AZ34:BK34)</f>
        <v>0</v>
      </c>
      <c r="J31" s="203"/>
    </row>
    <row r="32" spans="1:10" s="207" customFormat="1" ht="26.25" customHeight="1" x14ac:dyDescent="0.2">
      <c r="A32" s="848">
        <v>2</v>
      </c>
      <c r="B32" s="224" t="str">
        <f>'6. PF M BID'!B35</f>
        <v>Otros Costos</v>
      </c>
      <c r="C32" s="757">
        <f>+C33+C35+C39</f>
        <v>3780000</v>
      </c>
      <c r="D32" s="757">
        <f t="shared" ref="D32:H32" si="1">+D33+D35+D39</f>
        <v>605000</v>
      </c>
      <c r="E32" s="757">
        <f t="shared" si="1"/>
        <v>915500</v>
      </c>
      <c r="F32" s="757">
        <f t="shared" si="1"/>
        <v>858500</v>
      </c>
      <c r="G32" s="757">
        <f t="shared" si="1"/>
        <v>681000</v>
      </c>
      <c r="H32" s="757">
        <f t="shared" si="1"/>
        <v>720000</v>
      </c>
      <c r="I32" s="206"/>
      <c r="J32" s="206"/>
    </row>
    <row r="33" spans="1:10" s="207" customFormat="1" x14ac:dyDescent="0.2">
      <c r="A33" s="847">
        <f>'6. PF M BID'!A36</f>
        <v>2.1</v>
      </c>
      <c r="B33" s="219" t="str">
        <f>'6. PF M BID'!B36</f>
        <v>Administración del Programa</v>
      </c>
      <c r="C33" s="760">
        <f>'6. PF M BID'!C36</f>
        <v>3000000</v>
      </c>
      <c r="D33" s="758">
        <f>SUM('6. PF M BID'!D36:O36)</f>
        <v>600000</v>
      </c>
      <c r="E33" s="760">
        <f>SUM('6. PF M BID'!P36:AA36)</f>
        <v>600000</v>
      </c>
      <c r="F33" s="760">
        <f>SUM('6. PF M BID'!AB36:AM36)</f>
        <v>600000</v>
      </c>
      <c r="G33" s="760">
        <f>SUM('6. PF M BID'!AN36:AY36)</f>
        <v>600000</v>
      </c>
      <c r="H33" s="760">
        <f>SUM('6. PF M BID'!AZ36:BK36)</f>
        <v>600000</v>
      </c>
      <c r="I33" s="206"/>
      <c r="J33" s="206"/>
    </row>
    <row r="34" spans="1:10" s="207" customFormat="1" ht="25.5" x14ac:dyDescent="0.2">
      <c r="A34" s="317" t="str">
        <f>'6. PF M BID'!A37</f>
        <v>2.1.1</v>
      </c>
      <c r="B34" s="170" t="str">
        <f>'6. PF M BID'!B37</f>
        <v>Continuación de los servicios de la ECATEF para el Programa PR-L1092</v>
      </c>
      <c r="C34" s="804">
        <f>'6. PF M BID'!C37</f>
        <v>3000000</v>
      </c>
      <c r="D34" s="896">
        <f>SUM('6. PF M BID'!D37:O37)</f>
        <v>600000</v>
      </c>
      <c r="E34" s="761">
        <f>SUM('6. PF M BID'!P37:AA37)</f>
        <v>600000</v>
      </c>
      <c r="F34" s="761">
        <f>SUM('6. PF M BID'!AB37:AM37)</f>
        <v>600000</v>
      </c>
      <c r="G34" s="761">
        <f>SUM('6. PF M BID'!AN37:AY37)</f>
        <v>600000</v>
      </c>
      <c r="H34" s="761">
        <f>SUM('6. PF M BID'!AZ37:BK37)</f>
        <v>600000</v>
      </c>
      <c r="I34" s="206"/>
      <c r="J34" s="206"/>
    </row>
    <row r="35" spans="1:10" s="207" customFormat="1" x14ac:dyDescent="0.2">
      <c r="A35" s="847">
        <f>'6. PF M BID'!A38</f>
        <v>2.2000000000000002</v>
      </c>
      <c r="B35" s="219" t="str">
        <f>'6. PF M BID'!B38</f>
        <v>Auditoria, Monitoreo y Evaluación desarrollados</v>
      </c>
      <c r="C35" s="760">
        <f>'6. PF M BID'!C38</f>
        <v>200000</v>
      </c>
      <c r="D35" s="758">
        <f>SUM('6. PF M BID'!D38:O38)</f>
        <v>0</v>
      </c>
      <c r="E35" s="760">
        <f>SUM('6. PF M BID'!P38:AA38)</f>
        <v>20000</v>
      </c>
      <c r="F35" s="760">
        <f>SUM('6. PF M BID'!AB38:AM38)</f>
        <v>70000</v>
      </c>
      <c r="G35" s="760">
        <f>SUM('6. PF M BID'!AN38:AY38)</f>
        <v>20000</v>
      </c>
      <c r="H35" s="760">
        <f>SUM('6. PF M BID'!AZ38:BK38)</f>
        <v>90000</v>
      </c>
      <c r="I35" s="206"/>
      <c r="J35" s="206"/>
    </row>
    <row r="36" spans="1:10" s="207" customFormat="1" ht="25.5" x14ac:dyDescent="0.2">
      <c r="A36" s="317" t="str">
        <f>'6. PF M BID'!A39</f>
        <v>2.2.1</v>
      </c>
      <c r="B36" s="170" t="str">
        <f>'6. PF M BID'!B39</f>
        <v>Contratación de Firma Consultora para la Auditoria Externa del Programa PR-L1092</v>
      </c>
      <c r="C36" s="804">
        <f>'6. PF M BID'!C39</f>
        <v>100000</v>
      </c>
      <c r="D36" s="803">
        <f>SUM('6. PF M BID'!D39:O39)</f>
        <v>0</v>
      </c>
      <c r="E36" s="761">
        <f>SUM('6. PF M BID'!P39:AA39)</f>
        <v>20000</v>
      </c>
      <c r="F36" s="761">
        <f>SUM('6. PF M BID'!AB39:AM39)</f>
        <v>20000</v>
      </c>
      <c r="G36" s="761">
        <f>SUM('6. PF M BID'!AN39:AY39)</f>
        <v>20000</v>
      </c>
      <c r="H36" s="761">
        <f>SUM('6. PF M BID'!AZ39:BK39)</f>
        <v>40000</v>
      </c>
      <c r="I36" s="206"/>
      <c r="J36" s="206"/>
    </row>
    <row r="37" spans="1:10" s="207" customFormat="1" ht="25.5" x14ac:dyDescent="0.2">
      <c r="A37" s="317" t="str">
        <f>'6. PF M BID'!A40</f>
        <v>2.2.2</v>
      </c>
      <c r="B37" s="170" t="str">
        <f>'6. PF M BID'!B40</f>
        <v>Contratación de Firma Consultora para la Evaluación Intermedia del Programa</v>
      </c>
      <c r="C37" s="804">
        <f>'6. PF M BID'!C40</f>
        <v>50000</v>
      </c>
      <c r="D37" s="803">
        <f>SUM('6. PF M BID'!D40:O40)</f>
        <v>0</v>
      </c>
      <c r="E37" s="761">
        <f>SUM('6. PF M BID'!P40:AA40)</f>
        <v>0</v>
      </c>
      <c r="F37" s="761">
        <f>SUM('6. PF M BID'!AB40:AM40)</f>
        <v>50000</v>
      </c>
      <c r="G37" s="761">
        <f>SUM('6. PF M BID'!AN40:AY40)</f>
        <v>0</v>
      </c>
      <c r="H37" s="761">
        <f>SUM('6. PF M BID'!AZ40:BK40)</f>
        <v>0</v>
      </c>
      <c r="I37" s="206"/>
      <c r="J37" s="206"/>
    </row>
    <row r="38" spans="1:10" s="207" customFormat="1" ht="25.5" x14ac:dyDescent="0.2">
      <c r="A38" s="317" t="str">
        <f>'6. PF M BID'!A41</f>
        <v>2.2.3</v>
      </c>
      <c r="B38" s="170" t="str">
        <f>'6. PF M BID'!B41</f>
        <v>Contratación de Firma Consultora para la Evaluación Final del Programa</v>
      </c>
      <c r="C38" s="804">
        <f>'6. PF M BID'!C41</f>
        <v>50000</v>
      </c>
      <c r="D38" s="803">
        <f>SUM('6. PF M BID'!D41:O41)</f>
        <v>0</v>
      </c>
      <c r="E38" s="761">
        <f>SUM('6. PF M BID'!P41:AA41)</f>
        <v>0</v>
      </c>
      <c r="F38" s="761">
        <f>SUM('6. PF M BID'!AB41:AM41)</f>
        <v>0</v>
      </c>
      <c r="G38" s="761">
        <f>SUM('6. PF M BID'!AN41:AY41)</f>
        <v>0</v>
      </c>
      <c r="H38" s="761">
        <f>SUM('6. PF M BID'!AZ41:BK41)</f>
        <v>50000</v>
      </c>
      <c r="I38" s="206"/>
      <c r="J38" s="206"/>
    </row>
    <row r="39" spans="1:10" s="207" customFormat="1" x14ac:dyDescent="0.2">
      <c r="A39" s="847">
        <f>'6. PF M BID'!A42</f>
        <v>2.2999999999999998</v>
      </c>
      <c r="B39" s="219" t="str">
        <f>'6. PF M BID'!B42</f>
        <v>Gestión Socio Ambiental</v>
      </c>
      <c r="C39" s="760">
        <f>'6. PF M BID'!C42</f>
        <v>580000</v>
      </c>
      <c r="D39" s="758">
        <f>SUM('6. PF M BID'!D42:O42)</f>
        <v>5000</v>
      </c>
      <c r="E39" s="760">
        <f>SUM('6. PF M BID'!P42:AA42)</f>
        <v>295500</v>
      </c>
      <c r="F39" s="760">
        <f>SUM('6. PF M BID'!AB42:AM42)</f>
        <v>188500</v>
      </c>
      <c r="G39" s="760">
        <f>SUM('6. PF M BID'!AN42:AY42)</f>
        <v>61000</v>
      </c>
      <c r="H39" s="760">
        <f>SUM('6. PF M BID'!AZ42:BK42)</f>
        <v>30000</v>
      </c>
      <c r="I39" s="206"/>
      <c r="J39" s="206"/>
    </row>
    <row r="40" spans="1:10" s="207" customFormat="1" ht="25.5" x14ac:dyDescent="0.2">
      <c r="A40" s="317" t="str">
        <f>'6. PF M BID'!A43</f>
        <v>2.3.1</v>
      </c>
      <c r="B40" s="170" t="str">
        <f>'6. PF M BID'!B43</f>
        <v>Consultoría de Diseño y Capacitación para el Gerenciamiento Ambiental</v>
      </c>
      <c r="C40" s="804">
        <f>'6. PF M BID'!C43</f>
        <v>65000</v>
      </c>
      <c r="D40" s="896">
        <f>SUM('6. PF M BID'!D43:O43)</f>
        <v>0</v>
      </c>
      <c r="E40" s="761">
        <f>SUM('6. PF M BID'!P43:AA43)</f>
        <v>13000</v>
      </c>
      <c r="F40" s="761">
        <f>SUM('6. PF M BID'!AB43:AM43)</f>
        <v>26000</v>
      </c>
      <c r="G40" s="761">
        <f>SUM('6. PF M BID'!AN43:AY43)</f>
        <v>26000</v>
      </c>
      <c r="H40" s="761">
        <f>SUM('6. PF M BID'!AZ43:BK43)</f>
        <v>0</v>
      </c>
      <c r="I40" s="206"/>
      <c r="J40" s="206"/>
    </row>
    <row r="41" spans="1:10" s="207" customFormat="1" x14ac:dyDescent="0.2">
      <c r="A41" s="317" t="str">
        <f>'6. PF M BID'!A44</f>
        <v>2.3.2</v>
      </c>
      <c r="B41" s="170" t="str">
        <f>'6. PF M BID'!B44</f>
        <v>Consultoría para desarrollo de apoyo a pueblos indígenas</v>
      </c>
      <c r="C41" s="804">
        <f>'6. PF M BID'!C44</f>
        <v>130000</v>
      </c>
      <c r="D41" s="896">
        <f>SUM('6. PF M BID'!D44:O44)</f>
        <v>0</v>
      </c>
      <c r="E41" s="761">
        <f>SUM('6. PF M BID'!P44:AA44)</f>
        <v>32500</v>
      </c>
      <c r="F41" s="761">
        <f>SUM('6. PF M BID'!AB44:AM44)</f>
        <v>97500</v>
      </c>
      <c r="G41" s="761">
        <f>SUM('6. PF M BID'!AN44:AY44)</f>
        <v>0</v>
      </c>
      <c r="H41" s="761">
        <f>SUM('6. PF M BID'!AZ44:BK44)</f>
        <v>0</v>
      </c>
      <c r="I41" s="206"/>
      <c r="J41" s="206"/>
    </row>
    <row r="42" spans="1:10" s="207" customFormat="1" ht="25.5" x14ac:dyDescent="0.2">
      <c r="A42" s="317" t="str">
        <f>'6. PF M BID'!A45</f>
        <v>2.3.3</v>
      </c>
      <c r="B42" s="170" t="str">
        <f>'6. PF M BID'!B45</f>
        <v xml:space="preserve">Convenio con la DINAC para el desarrollo del Programa de Monitoreo Hidrológico </v>
      </c>
      <c r="C42" s="804">
        <f>'6. PF M BID'!C45</f>
        <v>185000</v>
      </c>
      <c r="D42" s="896">
        <f>SUM('6. PF M BID'!D45:O45)</f>
        <v>0</v>
      </c>
      <c r="E42" s="761">
        <f>SUM('6. PF M BID'!P45:AA45)</f>
        <v>185000</v>
      </c>
      <c r="F42" s="761">
        <f>SUM('6. PF M BID'!AB45:AM45)</f>
        <v>0</v>
      </c>
      <c r="G42" s="761">
        <f>SUM('6. PF M BID'!AN45:AY45)</f>
        <v>0</v>
      </c>
      <c r="H42" s="761">
        <f>SUM('6. PF M BID'!AZ45:BK45)</f>
        <v>0</v>
      </c>
      <c r="I42" s="206"/>
      <c r="J42" s="206"/>
    </row>
    <row r="43" spans="1:10" s="207" customFormat="1" x14ac:dyDescent="0.2">
      <c r="A43" s="317" t="str">
        <f>'6. PF M BID'!A46</f>
        <v>2.3.4</v>
      </c>
      <c r="B43" s="170" t="str">
        <f>'6. PF M BID'!B46</f>
        <v>Consultoría "Monitoreo y Gestión Social Ambiental"</v>
      </c>
      <c r="C43" s="804">
        <f>'6. PF M BID'!C46</f>
        <v>150000</v>
      </c>
      <c r="D43" s="896">
        <f>SUM('6. PF M BID'!D46:O46)</f>
        <v>0</v>
      </c>
      <c r="E43" s="761">
        <f>SUM('6. PF M BID'!P46:AA46)</f>
        <v>45000</v>
      </c>
      <c r="F43" s="761">
        <f>SUM('6. PF M BID'!AB46:AM46)</f>
        <v>45000</v>
      </c>
      <c r="G43" s="761">
        <f>SUM('6. PF M BID'!AN46:AY46)</f>
        <v>30000</v>
      </c>
      <c r="H43" s="761">
        <f>SUM('6. PF M BID'!AZ46:BK46)</f>
        <v>30000</v>
      </c>
      <c r="I43" s="206"/>
      <c r="J43" s="206"/>
    </row>
    <row r="44" spans="1:10" s="207" customFormat="1" x14ac:dyDescent="0.2">
      <c r="A44" s="317" t="str">
        <f>'6. PF M BID'!A47</f>
        <v>2.3.5</v>
      </c>
      <c r="B44" s="170" t="str">
        <f>'6. PF M BID'!B47</f>
        <v>Consultoría de Apoyo a la Supervisión Ambiental</v>
      </c>
      <c r="C44" s="804">
        <f>'6. PF M BID'!C47</f>
        <v>50000</v>
      </c>
      <c r="D44" s="896">
        <f>SUM('6. PF M BID'!D47:O47)</f>
        <v>5000</v>
      </c>
      <c r="E44" s="761">
        <f>SUM('6. PF M BID'!P47:AA47)</f>
        <v>20000</v>
      </c>
      <c r="F44" s="761">
        <f>SUM('6. PF M BID'!AB47:AM47)</f>
        <v>20000</v>
      </c>
      <c r="G44" s="761">
        <f>SUM('6. PF M BID'!AN47:AY47)</f>
        <v>5000</v>
      </c>
      <c r="H44" s="761">
        <f>SUM('6. PF M BID'!AZ47:BK47)</f>
        <v>0</v>
      </c>
      <c r="I44" s="206"/>
      <c r="J44" s="206"/>
    </row>
    <row r="45" spans="1:10" s="210" customFormat="1" x14ac:dyDescent="0.2">
      <c r="A45" s="725"/>
      <c r="B45" s="208" t="s">
        <v>48</v>
      </c>
      <c r="C45" s="408">
        <f>+C32+C9</f>
        <v>62000000</v>
      </c>
      <c r="D45" s="408">
        <f t="shared" ref="D45:H45" si="2">+D32+D9</f>
        <v>3478610</v>
      </c>
      <c r="E45" s="408">
        <f t="shared" si="2"/>
        <v>20128885.800000001</v>
      </c>
      <c r="F45" s="408">
        <f t="shared" si="2"/>
        <v>27612842.199999999</v>
      </c>
      <c r="G45" s="408">
        <f t="shared" si="2"/>
        <v>8947312</v>
      </c>
      <c r="H45" s="408">
        <f t="shared" si="2"/>
        <v>1832350</v>
      </c>
      <c r="I45" s="209"/>
    </row>
    <row r="46" spans="1:10" s="210" customFormat="1" x14ac:dyDescent="0.2">
      <c r="A46" s="725"/>
      <c r="B46" s="208" t="s">
        <v>49</v>
      </c>
      <c r="C46" s="211"/>
      <c r="D46" s="211">
        <f>D45</f>
        <v>3478610</v>
      </c>
      <c r="E46" s="211">
        <f>D46+E45</f>
        <v>23607495.800000001</v>
      </c>
      <c r="F46" s="211">
        <f t="shared" ref="F46:H46" si="3">E46+F45</f>
        <v>51220338</v>
      </c>
      <c r="G46" s="211">
        <f t="shared" si="3"/>
        <v>60167650</v>
      </c>
      <c r="H46" s="211">
        <f t="shared" si="3"/>
        <v>62000000</v>
      </c>
      <c r="I46" s="209"/>
    </row>
    <row r="47" spans="1:10" x14ac:dyDescent="0.2">
      <c r="D47" s="212">
        <f>D45/$C$45</f>
        <v>5.6106612903225807E-2</v>
      </c>
      <c r="E47" s="212">
        <f>E45/$C$45</f>
        <v>0.32465944838709676</v>
      </c>
      <c r="F47" s="212">
        <f>F45/$C$45</f>
        <v>0.44536842258064513</v>
      </c>
      <c r="G47" s="212">
        <f>G45/$C$45</f>
        <v>0.14431148387096773</v>
      </c>
      <c r="H47" s="212">
        <f>H45/$C$45</f>
        <v>2.9554032258064515E-2</v>
      </c>
    </row>
  </sheetData>
  <mergeCells count="1">
    <mergeCell ref="A8:B8"/>
  </mergeCells>
  <printOptions horizontalCentered="1"/>
  <pageMargins left="0.70866141732283472" right="0.70866141732283472" top="0.51181102362204722" bottom="0.27559055118110237" header="0.31496062992125984" footer="0.31496062992125984"/>
  <pageSetup paperSize="9"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7"/>
  <sheetViews>
    <sheetView zoomScale="85" zoomScaleNormal="85" workbookViewId="0">
      <selection activeCell="C36" sqref="C36"/>
    </sheetView>
  </sheetViews>
  <sheetFormatPr defaultRowHeight="12.75" x14ac:dyDescent="0.2"/>
  <cols>
    <col min="1" max="1" width="59.28515625" customWidth="1"/>
    <col min="2" max="2" width="14.85546875" customWidth="1"/>
    <col min="3" max="3" width="16.140625" customWidth="1"/>
    <col min="4" max="4" width="14.85546875" customWidth="1"/>
    <col min="5" max="5" width="15" customWidth="1"/>
    <col min="6" max="6" width="14.5703125" customWidth="1"/>
    <col min="7" max="7" width="15.5703125" customWidth="1"/>
    <col min="8" max="8" width="33.5703125" customWidth="1"/>
  </cols>
  <sheetData>
    <row r="1" spans="1:8" ht="13.5" thickBot="1" x14ac:dyDescent="0.25">
      <c r="A1" s="990" t="s">
        <v>687</v>
      </c>
      <c r="B1" s="991"/>
      <c r="C1" s="991"/>
      <c r="D1" s="991"/>
      <c r="E1" s="991"/>
      <c r="F1" s="991"/>
      <c r="G1" s="992"/>
      <c r="H1" s="818"/>
    </row>
    <row r="2" spans="1:8" x14ac:dyDescent="0.2">
      <c r="A2" s="993" t="s">
        <v>568</v>
      </c>
      <c r="B2" s="993">
        <v>2017</v>
      </c>
      <c r="C2" s="993">
        <v>2018</v>
      </c>
      <c r="D2" s="993">
        <v>2019</v>
      </c>
      <c r="E2" s="993">
        <v>2020</v>
      </c>
      <c r="F2" s="993">
        <v>2021</v>
      </c>
      <c r="G2" s="993" t="s">
        <v>45</v>
      </c>
      <c r="H2" s="818"/>
    </row>
    <row r="3" spans="1:8" ht="13.5" thickBot="1" x14ac:dyDescent="0.25">
      <c r="A3" s="994"/>
      <c r="B3" s="994"/>
      <c r="C3" s="994"/>
      <c r="D3" s="994"/>
      <c r="E3" s="994"/>
      <c r="F3" s="994"/>
      <c r="G3" s="994"/>
      <c r="H3" s="818"/>
    </row>
    <row r="4" spans="1:8" ht="21.75" customHeight="1" thickBot="1" x14ac:dyDescent="0.25">
      <c r="A4" s="884" t="s">
        <v>688</v>
      </c>
      <c r="B4" s="885">
        <f>+B5+B6+B7+B8</f>
        <v>2873610</v>
      </c>
      <c r="C4" s="885">
        <f t="shared" ref="C4:F4" si="0">+C5+C6+C7+C8</f>
        <v>19213385.800000001</v>
      </c>
      <c r="D4" s="885">
        <f t="shared" si="0"/>
        <v>26754342.199999999</v>
      </c>
      <c r="E4" s="885">
        <f t="shared" si="0"/>
        <v>8266312</v>
      </c>
      <c r="F4" s="885">
        <f t="shared" si="0"/>
        <v>1112350</v>
      </c>
      <c r="G4" s="886">
        <f>+B4+C4+D4+E4+F4</f>
        <v>58220000</v>
      </c>
      <c r="H4" s="818"/>
    </row>
    <row r="5" spans="1:8" ht="13.5" thickBot="1" x14ac:dyDescent="0.25">
      <c r="A5" s="823" t="s">
        <v>762</v>
      </c>
      <c r="B5" s="843">
        <f>+'7. PF A BID'!D10</f>
        <v>364000</v>
      </c>
      <c r="C5" s="843">
        <f>+'7. PF A BID'!E10</f>
        <v>12858515</v>
      </c>
      <c r="D5" s="843">
        <f>+'7. PF A BID'!F10</f>
        <v>24096154</v>
      </c>
      <c r="E5" s="843">
        <f>+'7. PF A BID'!G10</f>
        <v>5021331</v>
      </c>
      <c r="F5" s="843">
        <f>+'7. PF A BID'!H10</f>
        <v>0</v>
      </c>
      <c r="G5" s="820">
        <f>+B5+C5+D5+E5+F5</f>
        <v>42340000</v>
      </c>
      <c r="H5" s="818"/>
    </row>
    <row r="6" spans="1:8" ht="26.25" thickBot="1" x14ac:dyDescent="0.25">
      <c r="A6" s="823" t="s">
        <v>763</v>
      </c>
      <c r="B6" s="881">
        <f>+'7. PF A BID'!D16</f>
        <v>214645</v>
      </c>
      <c r="C6" s="881">
        <f>+'7. PF A BID'!E16</f>
        <v>750485.8</v>
      </c>
      <c r="D6" s="881">
        <f>+'7. PF A BID'!F16</f>
        <v>916362.20000000007</v>
      </c>
      <c r="E6" s="881">
        <f>+'7. PF A BID'!G16</f>
        <v>1006157</v>
      </c>
      <c r="F6" s="881">
        <f>+'7. PF A BID'!H16</f>
        <v>1112350</v>
      </c>
      <c r="G6" s="820">
        <f t="shared" ref="G6:G8" si="1">+B6+C6+D6+E6+F6</f>
        <v>4000000</v>
      </c>
      <c r="H6" s="818"/>
    </row>
    <row r="7" spans="1:8" ht="13.5" thickBot="1" x14ac:dyDescent="0.25">
      <c r="A7" s="823" t="s">
        <v>767</v>
      </c>
      <c r="B7" s="843">
        <f>+'7. PF A BID'!D23</f>
        <v>2250965</v>
      </c>
      <c r="C7" s="843">
        <f>+'7. PF A BID'!E23</f>
        <v>5544885</v>
      </c>
      <c r="D7" s="843">
        <f>+'7. PF A BID'!F23</f>
        <v>1677826</v>
      </c>
      <c r="E7" s="843">
        <f>+'7. PF A BID'!G23</f>
        <v>2186324</v>
      </c>
      <c r="F7" s="843">
        <f>+'7. PF A BID'!H23</f>
        <v>0</v>
      </c>
      <c r="G7" s="820">
        <f t="shared" si="1"/>
        <v>11660000</v>
      </c>
      <c r="H7" s="818"/>
    </row>
    <row r="8" spans="1:8" ht="26.25" thickBot="1" x14ac:dyDescent="0.25">
      <c r="A8" s="823" t="s">
        <v>711</v>
      </c>
      <c r="B8" s="821">
        <f>+'7. PF A BID'!D29</f>
        <v>44000</v>
      </c>
      <c r="C8" s="821">
        <f>+'7. PF A BID'!E29</f>
        <v>59500</v>
      </c>
      <c r="D8" s="821">
        <f>+'7. PF A BID'!F29</f>
        <v>64000</v>
      </c>
      <c r="E8" s="821">
        <f>+'7. PF A BID'!G29</f>
        <v>52500</v>
      </c>
      <c r="F8" s="821">
        <f>+'7. PF A BID'!H29</f>
        <v>0</v>
      </c>
      <c r="G8" s="820">
        <f t="shared" si="1"/>
        <v>220000</v>
      </c>
      <c r="H8" s="818"/>
    </row>
    <row r="9" spans="1:8" ht="13.5" thickBot="1" x14ac:dyDescent="0.25">
      <c r="A9" s="824" t="s">
        <v>720</v>
      </c>
      <c r="B9" s="882">
        <f>+B10</f>
        <v>605000</v>
      </c>
      <c r="C9" s="882">
        <f t="shared" ref="C9:F9" si="2">+C10</f>
        <v>915500</v>
      </c>
      <c r="D9" s="882">
        <f t="shared" si="2"/>
        <v>858500</v>
      </c>
      <c r="E9" s="882">
        <f t="shared" si="2"/>
        <v>681000</v>
      </c>
      <c r="F9" s="882">
        <f t="shared" si="2"/>
        <v>720000</v>
      </c>
      <c r="G9" s="883">
        <f>+B9+C9+D9+E9+F9</f>
        <v>3780000</v>
      </c>
      <c r="H9" s="818"/>
    </row>
    <row r="10" spans="1:8" ht="26.25" thickBot="1" x14ac:dyDescent="0.25">
      <c r="A10" s="823" t="s">
        <v>808</v>
      </c>
      <c r="B10" s="821">
        <f>+'7. PF A BID'!D32</f>
        <v>605000</v>
      </c>
      <c r="C10" s="821">
        <f>+'7. PF A BID'!E32</f>
        <v>915500</v>
      </c>
      <c r="D10" s="821">
        <f>+'7. PF A BID'!F32</f>
        <v>858500</v>
      </c>
      <c r="E10" s="821">
        <f>+'7. PF A BID'!G32</f>
        <v>681000</v>
      </c>
      <c r="F10" s="821">
        <f>+'7. PF A BID'!H32</f>
        <v>720000</v>
      </c>
      <c r="G10" s="820">
        <f>+B10+C10+D10+E10+F10</f>
        <v>3780000</v>
      </c>
      <c r="H10" s="818"/>
    </row>
    <row r="11" spans="1:8" ht="13.5" thickBot="1" x14ac:dyDescent="0.25">
      <c r="A11" s="819" t="s">
        <v>689</v>
      </c>
      <c r="B11" s="822">
        <f>+B9+B4</f>
        <v>3478610</v>
      </c>
      <c r="C11" s="822">
        <f>+C9+C4</f>
        <v>20128885.800000001</v>
      </c>
      <c r="D11" s="822">
        <f>+D9+D4</f>
        <v>27612842.199999999</v>
      </c>
      <c r="E11" s="822">
        <f>+E9+E4</f>
        <v>8947312</v>
      </c>
      <c r="F11" s="822">
        <f>+F9+F4</f>
        <v>1832350</v>
      </c>
      <c r="G11" s="822">
        <f>+B11+C11+D11+E11+F11</f>
        <v>62000000</v>
      </c>
      <c r="H11" s="818"/>
    </row>
    <row r="15" spans="1:8" ht="13.5" thickBot="1" x14ac:dyDescent="0.25"/>
    <row r="16" spans="1:8" ht="15.75" thickBot="1" x14ac:dyDescent="0.25">
      <c r="A16" s="997" t="s">
        <v>690</v>
      </c>
      <c r="B16" s="998"/>
      <c r="C16" s="998"/>
      <c r="D16" s="998"/>
      <c r="E16" s="998"/>
      <c r="F16" s="998"/>
      <c r="G16" s="998"/>
      <c r="H16" s="999"/>
    </row>
    <row r="17" spans="1:8" ht="28.5" customHeight="1" thickBot="1" x14ac:dyDescent="0.25">
      <c r="A17" s="811" t="s">
        <v>691</v>
      </c>
      <c r="B17" s="1000" t="s">
        <v>710</v>
      </c>
      <c r="C17" s="1001"/>
      <c r="D17" s="1001"/>
      <c r="E17" s="1001"/>
      <c r="F17" s="1001"/>
      <c r="G17" s="1001"/>
      <c r="H17" s="1002"/>
    </row>
    <row r="18" spans="1:8" ht="15" customHeight="1" x14ac:dyDescent="0.2">
      <c r="A18" s="1003" t="s">
        <v>568</v>
      </c>
      <c r="B18" s="806">
        <v>2017</v>
      </c>
      <c r="C18" s="806">
        <v>2018</v>
      </c>
      <c r="D18" s="806">
        <v>2019</v>
      </c>
      <c r="E18" s="806">
        <v>2020</v>
      </c>
      <c r="F18" s="806">
        <v>2021</v>
      </c>
      <c r="G18" s="808" t="s">
        <v>569</v>
      </c>
      <c r="H18" s="816" t="s">
        <v>554</v>
      </c>
    </row>
    <row r="19" spans="1:8" ht="15.75" thickBot="1" x14ac:dyDescent="0.25">
      <c r="A19" s="1004"/>
      <c r="B19" s="805"/>
      <c r="C19" s="805"/>
      <c r="D19" s="805"/>
      <c r="E19" s="805"/>
      <c r="F19" s="805"/>
      <c r="G19" s="807"/>
      <c r="H19" s="810" t="s">
        <v>555</v>
      </c>
    </row>
    <row r="20" spans="1:8" ht="28.5" x14ac:dyDescent="0.2">
      <c r="A20" s="995" t="s">
        <v>706</v>
      </c>
      <c r="B20" s="815">
        <v>0</v>
      </c>
      <c r="C20" s="815">
        <v>0</v>
      </c>
      <c r="D20" s="813">
        <v>65</v>
      </c>
      <c r="E20" s="827">
        <v>100</v>
      </c>
      <c r="F20" s="815">
        <v>0</v>
      </c>
      <c r="G20" s="815">
        <v>165</v>
      </c>
      <c r="H20" s="809" t="s">
        <v>570</v>
      </c>
    </row>
    <row r="21" spans="1:8" ht="15" thickBot="1" x14ac:dyDescent="0.25">
      <c r="A21" s="996"/>
      <c r="B21" s="814"/>
      <c r="C21" s="814"/>
      <c r="D21" s="814"/>
      <c r="E21" s="814"/>
      <c r="F21" s="814"/>
      <c r="G21" s="814"/>
      <c r="H21" s="817" t="s">
        <v>558</v>
      </c>
    </row>
    <row r="22" spans="1:8" ht="71.25" x14ac:dyDescent="0.2">
      <c r="A22" s="995" t="s">
        <v>705</v>
      </c>
      <c r="B22" s="815">
        <v>131</v>
      </c>
      <c r="C22" s="815">
        <v>427</v>
      </c>
      <c r="D22" s="815">
        <v>684</v>
      </c>
      <c r="E22" s="815">
        <v>713</v>
      </c>
      <c r="F22" s="815">
        <v>713</v>
      </c>
      <c r="G22" s="815">
        <v>713</v>
      </c>
      <c r="H22" s="809" t="s">
        <v>693</v>
      </c>
    </row>
    <row r="23" spans="1:8" ht="15" thickBot="1" x14ac:dyDescent="0.25">
      <c r="A23" s="996"/>
      <c r="B23" s="814"/>
      <c r="C23" s="814"/>
      <c r="D23" s="814"/>
      <c r="E23" s="814"/>
      <c r="F23" s="814"/>
      <c r="G23" s="814"/>
      <c r="H23" s="817" t="s">
        <v>558</v>
      </c>
    </row>
    <row r="24" spans="1:8" ht="28.5" x14ac:dyDescent="0.2">
      <c r="A24" s="995" t="s">
        <v>704</v>
      </c>
      <c r="B24" s="815">
        <v>0</v>
      </c>
      <c r="C24" s="815">
        <v>0</v>
      </c>
      <c r="D24" s="828">
        <v>405</v>
      </c>
      <c r="E24" s="812">
        <v>195</v>
      </c>
      <c r="F24" s="815">
        <v>0</v>
      </c>
      <c r="G24" s="815">
        <v>600</v>
      </c>
      <c r="H24" s="809" t="s">
        <v>570</v>
      </c>
    </row>
    <row r="25" spans="1:8" ht="15" thickBot="1" x14ac:dyDescent="0.25">
      <c r="A25" s="996"/>
      <c r="B25" s="814"/>
      <c r="C25" s="814"/>
      <c r="D25" s="814"/>
      <c r="E25" s="814"/>
      <c r="F25" s="814"/>
      <c r="G25" s="814"/>
      <c r="H25" s="817" t="s">
        <v>558</v>
      </c>
    </row>
    <row r="26" spans="1:8" ht="28.5" x14ac:dyDescent="0.2">
      <c r="A26" s="995" t="s">
        <v>703</v>
      </c>
      <c r="B26" s="815">
        <v>0</v>
      </c>
      <c r="C26" s="815" t="s">
        <v>707</v>
      </c>
      <c r="D26" s="815" t="s">
        <v>708</v>
      </c>
      <c r="E26" s="815" t="s">
        <v>707</v>
      </c>
      <c r="F26" s="815">
        <v>0</v>
      </c>
      <c r="G26" s="815" t="s">
        <v>709</v>
      </c>
      <c r="H26" s="809" t="s">
        <v>570</v>
      </c>
    </row>
    <row r="27" spans="1:8" ht="15" thickBot="1" x14ac:dyDescent="0.25">
      <c r="A27" s="996"/>
      <c r="B27" s="814"/>
      <c r="C27" s="814"/>
      <c r="D27" s="814"/>
      <c r="E27" s="814"/>
      <c r="F27" s="814"/>
      <c r="G27" s="814"/>
      <c r="H27" s="817" t="s">
        <v>558</v>
      </c>
    </row>
  </sheetData>
  <mergeCells count="15">
    <mergeCell ref="A26:A27"/>
    <mergeCell ref="A24:A25"/>
    <mergeCell ref="A22:A23"/>
    <mergeCell ref="A20:A21"/>
    <mergeCell ref="A16:H16"/>
    <mergeCell ref="B17:H17"/>
    <mergeCell ref="A18:A19"/>
    <mergeCell ref="A1:G1"/>
    <mergeCell ref="A2:A3"/>
    <mergeCell ref="B2:B3"/>
    <mergeCell ref="C2:C3"/>
    <mergeCell ref="D2:D3"/>
    <mergeCell ref="E2:E3"/>
    <mergeCell ref="F2:F3"/>
    <mergeCell ref="G2:G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cf0be0ad-272c-4e7f-a157-3f0abda6cde5" ContentTypeId="0x01010046CF21643EE8D14686A648AA6DAD0892" PreviousValue="true"/>
</file>

<file path=customXml/item4.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2F4D7375CC7DAB429593A8A14391F0CE" ma:contentTypeVersion="0" ma:contentTypeDescription="A content type to manage public (operations) IDB documents" ma:contentTypeScope="" ma:versionID="1c49387a51ac94f3a92fca84b11daffc">
  <xsd:schema xmlns:xsd="http://www.w3.org/2001/XMLSchema" xmlns:xs="http://www.w3.org/2001/XMLSchema" xmlns:p="http://schemas.microsoft.com/office/2006/metadata/properties" xmlns:ns2="9c571b2f-e523-4ab2-ba2e-09e151a03ef4" targetNamespace="http://schemas.microsoft.com/office/2006/metadata/properties" ma:root="true" ma:fieldsID="00f02d04dbffc8223ab87bb0dcc9c1e4"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3af76994-b145-4aa5-bae9-5834c8e755c3}" ma:internalName="TaxCatchAll" ma:showField="CatchAllData" ma:web="fab184d8-fc63-46dc-b020-1b7b083810f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3af76994-b145-4aa5-bae9-5834c8e755c3}" ma:internalName="TaxCatchAllLabel" ma:readOnly="true" ma:showField="CatchAllDataLabel" ma:web="fab184d8-fc63-46dc-b020-1b7b083810fd">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ject_x0020_Document_x0020_Type xmlns="9c571b2f-e523-4ab2-ba2e-09e151a03ef4" xsi:nil="true"/>
    <Abstract xmlns="9c571b2f-e523-4ab2-ba2e-09e151a03ef4" xsi:nil="true"/>
    <Disclosure_x0020_Activity xmlns="9c571b2f-e523-4ab2-ba2e-09e151a03ef4">Loan Proposal</Disclosure_x0020_Activity>
    <Key_x0020_Document xmlns="9c571b2f-e523-4ab2-ba2e-09e151a03ef4">false</Key_x0020_Document>
    <Division_x0020_or_x0020_Unit xmlns="9c571b2f-e523-4ab2-ba2e-09e151a03ef4">INE/TSP</Division_x0020_or_x0020_Unit>
    <Other_x0020_Author xmlns="9c571b2f-e523-4ab2-ba2e-09e151a03ef4" xsi:nil="true"/>
    <Region xmlns="9c571b2f-e523-4ab2-ba2e-09e151a03ef4" xsi:nil="true"/>
    <IDBDocs_x0020_Number xmlns="9c571b2f-e523-4ab2-ba2e-09e151a03ef4">39818880</IDBDocs_x0020_Number>
    <Document_x0020_Author xmlns="9c571b2f-e523-4ab2-ba2e-09e151a03ef4">Acevedo-Daunas, Rafael M.</Document_x0020_Author>
    <Publication_x0020_Type xmlns="9c571b2f-e523-4ab2-ba2e-09e151a03ef4" xsi:nil="true"/>
    <Operation_x0020_Type xmlns="9c571b2f-e523-4ab2-ba2e-09e151a03ef4" xsi:nil="true"/>
    <TaxCatchAll xmlns="9c571b2f-e523-4ab2-ba2e-09e151a03ef4">
      <Value>8</Value>
      <Value>9</Value>
    </TaxCatchAll>
    <Fiscal_x0020_Year_x0020_IDB xmlns="9c571b2f-e523-4ab2-ba2e-09e151a03ef4">2015</Fiscal_x0020_Year_x0020_IDB>
    <Issue_x0020_Date xmlns="9c571b2f-e523-4ab2-ba2e-09e151a03ef4" xsi:nil="true"/>
    <m555d3814edf4817b4410a4e57f94ce9 xmlns="9c571b2f-e523-4ab2-ba2e-09e151a03ef4">
      <Terms xmlns="http://schemas.microsoft.com/office/infopath/2007/PartnerControls"/>
    </m555d3814edf4817b4410a4e57f94ce9>
    <Project_x0020_Number xmlns="9c571b2f-e523-4ab2-ba2e-09e151a03ef4">PR-L1092</Project_x0020_Number>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Project Profile (PP)</TermName>
          <TermId xmlns="http://schemas.microsoft.com/office/infopath/2007/PartnerControls">ac5f0c28-f2f6-431c-8d05-62f851b6a822</TermId>
        </TermInfo>
      </Terms>
    </o5138a91267540169645e33d09c9ddc6>
    <Package_x0020_Code xmlns="9c571b2f-e523-4ab2-ba2e-09e151a03ef4" xsi:nil="true"/>
    <Migration_x0020_Info xmlns="9c571b2f-e523-4ab2-ba2e-09e151a03ef4">&lt;Data&gt;&lt;APPLICATION&gt;MS EXCEL&lt;/APPLICATION&gt;&lt;USER_STAGE&gt;Loan Proposal&lt;/USER_STAGE&gt;&lt;PD_OBJ_TYPE&gt;0&lt;/PD_OBJ_TYPE&gt;&lt;MAKERECORD&gt;N&lt;/MAKERECORD&gt;&lt;PD_FILEPT_NO&gt;PO-PR-L1092-Plan&lt;/PD_FILEPT_NO&gt;&lt;/Data&gt;</Migration_x0020_Info>
    <Approval_x0020_Number xmlns="9c571b2f-e523-4ab2-ba2e-09e151a03ef4" xsi:nil="true"/>
    <Access_x0020_to_x0020_Information_x00a0_Policy xmlns="9c571b2f-e523-4ab2-ba2e-09e151a03ef4">Public</Access_x0020_to_x0020_Information_x00a0_Policy>
    <Business_x0020_Area xmlns="9c571b2f-e523-4ab2-ba2e-09e151a03ef4" xsi:nil="true"/>
    <SISCOR_x0020_Number xmlns="9c571b2f-e523-4ab2-ba2e-09e151a03ef4" xsi:nil="true"/>
    <Webtopic xmlns="9c571b2f-e523-4ab2-ba2e-09e151a03ef4">TR-TRP</Webtopic>
    <Identifier xmlns="9c571b2f-e523-4ab2-ba2e-09e151a03ef4">EER#2.Plan de Ejecución Plurianual (PEP) TECFILE</Identifier>
    <Publishing_x0020_House xmlns="9c571b2f-e523-4ab2-ba2e-09e151a03ef4" xsi:nil="true"/>
    <Document_x0020_Language_x0020_IDB xmlns="9c571b2f-e523-4ab2-ba2e-09e151a03ef4">Spanish</Document_x0020_Language_x0020_IDB>
    <KP_x0020_Topics xmlns="9c571b2f-e523-4ab2-ba2e-09e151a03ef4" xsi:nil="true"/>
    <Phase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fd0e48b6a66848a9885f717e5bbf40c4>
    <e559ffcc31d34167856647188be35015 xmlns="9c571b2f-e523-4ab2-ba2e-09e151a03ef4">
      <Terms xmlns="http://schemas.microsoft.com/office/infopath/2007/PartnerControls"/>
    </e559ffcc31d34167856647188be35015>
    <c456731dbc904a5fb605ec556c33e883 xmlns="9c571b2f-e523-4ab2-ba2e-09e151a03ef4">
      <Terms xmlns="http://schemas.microsoft.com/office/infopath/2007/PartnerControls"/>
    </c456731dbc904a5fb605ec556c33e883>
    <Editor1 xmlns="9c571b2f-e523-4ab2-ba2e-09e151a03ef4" xsi:nil="true"/>
    <j8b96605ee2f4c4e988849e658583fee xmlns="9c571b2f-e523-4ab2-ba2e-09e151a03ef4">
      <Terms xmlns="http://schemas.microsoft.com/office/infopath/2007/PartnerControls"/>
    </j8b96605ee2f4c4e988849e658583fee>
  </documentManagement>
</p:properties>
</file>

<file path=customXml/itemProps1.xml><?xml version="1.0" encoding="utf-8"?>
<ds:datastoreItem xmlns:ds="http://schemas.openxmlformats.org/officeDocument/2006/customXml" ds:itemID="{A5A28E15-4E7E-448D-86FE-B4584E0B0233}"/>
</file>

<file path=customXml/itemProps2.xml><?xml version="1.0" encoding="utf-8"?>
<ds:datastoreItem xmlns:ds="http://schemas.openxmlformats.org/officeDocument/2006/customXml" ds:itemID="{71251D00-11D5-4BD4-98A4-E980B9898D8F}"/>
</file>

<file path=customXml/itemProps3.xml><?xml version="1.0" encoding="utf-8"?>
<ds:datastoreItem xmlns:ds="http://schemas.openxmlformats.org/officeDocument/2006/customXml" ds:itemID="{F5FF7F67-2B06-4516-9B99-838704062B3D}"/>
</file>

<file path=customXml/itemProps4.xml><?xml version="1.0" encoding="utf-8"?>
<ds:datastoreItem xmlns:ds="http://schemas.openxmlformats.org/officeDocument/2006/customXml" ds:itemID="{EA6BB18C-65D4-4636-AE6F-A2BC586929B9}"/>
</file>

<file path=customXml/itemProps5.xml><?xml version="1.0" encoding="utf-8"?>
<ds:datastoreItem xmlns:ds="http://schemas.openxmlformats.org/officeDocument/2006/customXml" ds:itemID="{B8167C6C-2A82-4F56-8265-D734746F38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INDICE </vt:lpstr>
      <vt:lpstr>1.EDT</vt:lpstr>
      <vt:lpstr>2.MdR</vt:lpstr>
      <vt:lpstr>3. PEP</vt:lpstr>
      <vt:lpstr>4. CC D</vt:lpstr>
      <vt:lpstr>5. CC R-1</vt:lpstr>
      <vt:lpstr>6. PF M BID</vt:lpstr>
      <vt:lpstr>7. PF A BID</vt:lpstr>
      <vt:lpstr>8. Ejecucion por producto</vt:lpstr>
      <vt:lpstr>9. PD A</vt:lpstr>
      <vt:lpstr>10. PA</vt:lpstr>
      <vt:lpstr>11. PAI</vt:lpstr>
      <vt:lpstr>12. POA año 1</vt:lpstr>
      <vt:lpstr>caledario</vt:lpstr>
      <vt:lpstr>12.1 CAMINOS</vt:lpstr>
      <vt:lpstr>12.2 PUENTES</vt:lpstr>
      <vt:lpstr>Caminos G1</vt:lpstr>
      <vt:lpstr>Fisc CG1</vt:lpstr>
      <vt:lpstr>Camino G2</vt:lpstr>
      <vt:lpstr>Fisc CG2</vt:lpstr>
      <vt:lpstr>Puentes G1</vt:lpstr>
      <vt:lpstr>Fisca PG1</vt:lpstr>
      <vt:lpstr>Puentes G2</vt:lpstr>
      <vt:lpstr>12.8 Mantenimiento</vt:lpstr>
      <vt:lpstr>Fisc PG2</vt:lpstr>
      <vt:lpstr>MANT. 504,90 km</vt:lpstr>
      <vt:lpstr>CRONOG FISICO-FINANCIERO</vt:lpstr>
      <vt:lpstr>12.3Mitigación</vt:lpstr>
      <vt:lpstr>'12.3Mitigación'!_Toc406421596</vt:lpstr>
      <vt:lpstr>'12.3Mitigación'!_Toc406421598</vt:lpstr>
      <vt:lpstr>'12.3Mitigación'!_Toc406421603</vt:lpstr>
      <vt:lpstr>'12.3Mitigación'!_Toc422316546</vt:lpstr>
      <vt:lpstr>'12.3Mitigación'!_Toc422316550</vt:lpstr>
      <vt:lpstr>'12.3Mitigación'!_Toc422316551</vt:lpstr>
      <vt:lpstr>'12.3Mitigación'!_Toc422316552</vt:lpstr>
      <vt:lpstr>'12.3Mitigación'!_Toc422316553</vt:lpstr>
      <vt:lpstr>'12.3Mitigación'!_Toc422316556</vt:lpstr>
      <vt:lpstr>'1.EDT'!Print_Area</vt:lpstr>
      <vt:lpstr>'10. PA'!Print_Area</vt:lpstr>
      <vt:lpstr>'11. PAI'!Print_Area</vt:lpstr>
      <vt:lpstr>'4. CC D'!Print_Area</vt:lpstr>
      <vt:lpstr>'5. CC R-1'!Print_Area</vt:lpstr>
      <vt:lpstr>'6. PF M BID'!Print_Area</vt:lpstr>
      <vt:lpstr>'Caminos G1'!Print_Area</vt:lpstr>
      <vt:lpstr>'MANT. 504,90 km'!Print_Area</vt:lpstr>
      <vt:lpstr>'Puentes G1'!Print_Area</vt:lpstr>
      <vt:lpstr>'Puentes G2'!Print_Area</vt:lpstr>
      <vt:lpstr>'3. PEP'!Print_Titles</vt:lpstr>
      <vt:lpstr>'4. CC D'!Print_Titles</vt:lpstr>
      <vt:lpstr>'6. PF M BID'!Print_Titles</vt:lpstr>
      <vt:lpstr>'7. PF A BID'!Print_Titles</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EER_1_Plan de Ejecución Plurianual (PEP)</dc:title>
  <dc:creator>Grace</dc:creator>
  <cp:lastModifiedBy>MSOSA</cp:lastModifiedBy>
  <cp:lastPrinted>2015-10-14T19:51:03Z</cp:lastPrinted>
  <dcterms:created xsi:type="dcterms:W3CDTF">2010-06-30T09:38:36Z</dcterms:created>
  <dcterms:modified xsi:type="dcterms:W3CDTF">2015-10-27T20:08:56Z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ub_x002d_Sector">
    <vt:lpwstr/>
  </property>
  <property fmtid="{D5CDD505-2E9C-101B-9397-08002B2CF9AE}" pid="4" name="ContentTypeId">
    <vt:lpwstr>0x01010046CF21643EE8D14686A648AA6DAD0892002F4D7375CC7DAB429593A8A14391F0CE</vt:lpwstr>
  </property>
  <property fmtid="{D5CDD505-2E9C-101B-9397-08002B2CF9AE}" pid="5" name="TaxKeywordTaxHTField">
    <vt:lpwstr/>
  </property>
  <property fmtid="{D5CDD505-2E9C-101B-9397-08002B2CF9AE}" pid="6" name="Series Operations IDB">
    <vt:lpwstr>8;#Project Profile (PP)|ac5f0c28-f2f6-431c-8d05-62f851b6a822</vt:lpwstr>
  </property>
  <property fmtid="{D5CDD505-2E9C-101B-9397-08002B2CF9AE}" pid="7" name="Sub-Sector">
    <vt:lpwstr/>
  </property>
  <property fmtid="{D5CDD505-2E9C-101B-9397-08002B2CF9AE}" pid="8" name="Country">
    <vt:lpwstr/>
  </property>
  <property fmtid="{D5CDD505-2E9C-101B-9397-08002B2CF9AE}" pid="9" name="Fund IDB">
    <vt:lpwstr/>
  </property>
  <property fmtid="{D5CDD505-2E9C-101B-9397-08002B2CF9AE}" pid="10" name="Series_x0020_Operations_x0020_IDB">
    <vt:lpwstr>8;#Project Profile (PP)|ac5f0c28-f2f6-431c-8d05-62f851b6a822</vt:lpwstr>
  </property>
  <property fmtid="{D5CDD505-2E9C-101B-9397-08002B2CF9AE}" pid="11" name="To:">
    <vt:lpwstr/>
  </property>
  <property fmtid="{D5CDD505-2E9C-101B-9397-08002B2CF9AE}" pid="12" name="From:">
    <vt:lpwstr/>
  </property>
  <property fmtid="{D5CDD505-2E9C-101B-9397-08002B2CF9AE}" pid="13" name="Sector IDB">
    <vt:lpwstr/>
  </property>
  <property fmtid="{D5CDD505-2E9C-101B-9397-08002B2CF9AE}" pid="14" name="Function Operations IDB">
    <vt:lpwstr>9;#Project Preparation, Planning and Design|29ca0c72-1fc4-435f-a09c-28585cb5eac9</vt:lpwstr>
  </property>
</Properties>
</file>