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70" yWindow="-30" windowWidth="13680" windowHeight="11775"/>
  </bookViews>
  <sheets>
    <sheet name="Analysis" sheetId="2" r:id="rId1"/>
    <sheet name="Imports" sheetId="4" r:id="rId2"/>
  </sheets>
  <definedNames>
    <definedName name="cost_of_capital">Analysis!#REF!</definedName>
    <definedName name="_xlnm.Print_Area" localSheetId="0">Analysis!$A$1:$K$40</definedName>
  </definedNames>
  <calcPr calcId="145621"/>
</workbook>
</file>

<file path=xl/calcChain.xml><?xml version="1.0" encoding="utf-8"?>
<calcChain xmlns="http://schemas.openxmlformats.org/spreadsheetml/2006/main">
  <c r="B23" i="2" l="1"/>
  <c r="F11" i="2"/>
  <c r="B16" i="2"/>
  <c r="E8" i="2"/>
  <c r="G8" i="2"/>
  <c r="H8" i="2" s="1"/>
  <c r="I8" i="2" s="1"/>
  <c r="J8" i="2" s="1"/>
  <c r="K8" i="2" s="1"/>
  <c r="D11" i="2" l="1"/>
  <c r="B11" i="2"/>
  <c r="B22" i="2"/>
  <c r="H30" i="2" l="1"/>
  <c r="J11" i="2"/>
  <c r="F27" i="2"/>
  <c r="F28" i="2" s="1"/>
  <c r="F30" i="2" s="1"/>
  <c r="E27" i="2"/>
  <c r="E28" i="2" s="1"/>
  <c r="D27" i="2"/>
  <c r="D28" i="2" s="1"/>
  <c r="D30" i="2" s="1"/>
  <c r="C27" i="2"/>
  <c r="B27" i="2"/>
  <c r="B28" i="2" s="1"/>
  <c r="C28" i="2"/>
  <c r="B31" i="2" l="1"/>
  <c r="E11" i="2"/>
  <c r="C11" i="2"/>
  <c r="I11" i="2"/>
  <c r="H11" i="2"/>
  <c r="K11" i="2"/>
  <c r="G11" i="2"/>
  <c r="C30" i="2"/>
  <c r="I29" i="2"/>
  <c r="I30" i="2" s="1"/>
  <c r="H29" i="2"/>
  <c r="G29" i="2"/>
  <c r="G30" i="2" s="1"/>
  <c r="K29" i="2"/>
  <c r="K30" i="2" s="1"/>
  <c r="J29" i="2"/>
  <c r="J30" i="2" s="1"/>
  <c r="B30" i="2"/>
  <c r="E30" i="2"/>
  <c r="C31" i="2" l="1"/>
  <c r="D31" i="2"/>
  <c r="F31" i="2"/>
  <c r="K31" i="2"/>
  <c r="H31" i="2"/>
  <c r="E31" i="2"/>
  <c r="J31" i="2"/>
  <c r="G31" i="2"/>
  <c r="I31" i="2"/>
  <c r="C10" i="2" l="1"/>
  <c r="D10" i="2"/>
  <c r="E10" i="2"/>
  <c r="F10" i="2"/>
  <c r="G10" i="2"/>
  <c r="H10" i="2"/>
  <c r="I10" i="2"/>
  <c r="J10" i="2"/>
  <c r="K10" i="2"/>
  <c r="B10" i="2"/>
  <c r="B15" i="2"/>
  <c r="E3" i="4"/>
  <c r="G3" i="4"/>
  <c r="F3" i="4"/>
  <c r="D3" i="4"/>
  <c r="B3" i="4"/>
  <c r="B9" i="2" l="1"/>
  <c r="B12" i="2" s="1"/>
  <c r="B13" i="2" s="1"/>
  <c r="B37" i="2" s="1"/>
  <c r="E9" i="2"/>
  <c r="E12" i="2" s="1"/>
  <c r="E13" i="2" s="1"/>
  <c r="E37" i="2" s="1"/>
  <c r="I9" i="2"/>
  <c r="I12" i="2" s="1"/>
  <c r="I13" i="2" s="1"/>
  <c r="I37" i="2" s="1"/>
  <c r="H9" i="2"/>
  <c r="H12" i="2" s="1"/>
  <c r="H13" i="2" s="1"/>
  <c r="H37" i="2" s="1"/>
  <c r="D9" i="2"/>
  <c r="D12" i="2" s="1"/>
  <c r="K9" i="2"/>
  <c r="K12" i="2" s="1"/>
  <c r="K13" i="2" s="1"/>
  <c r="K37" i="2" s="1"/>
  <c r="G9" i="2"/>
  <c r="G12" i="2" s="1"/>
  <c r="G13" i="2" s="1"/>
  <c r="G37" i="2" s="1"/>
  <c r="C9" i="2"/>
  <c r="C12" i="2" s="1"/>
  <c r="C13" i="2" s="1"/>
  <c r="C37" i="2" s="1"/>
  <c r="J9" i="2"/>
  <c r="J12" i="2" s="1"/>
  <c r="J13" i="2" s="1"/>
  <c r="J37" i="2" s="1"/>
  <c r="F9" i="2"/>
  <c r="F12" i="2" s="1"/>
  <c r="F13" i="2" s="1"/>
  <c r="F37" i="2" s="1"/>
  <c r="H3" i="4"/>
  <c r="D13" i="2" l="1"/>
  <c r="D37" i="2" s="1"/>
  <c r="B39" i="2" s="1"/>
  <c r="B40" i="2" l="1"/>
</calcChain>
</file>

<file path=xl/sharedStrings.xml><?xml version="1.0" encoding="utf-8"?>
<sst xmlns="http://schemas.openxmlformats.org/spreadsheetml/2006/main" count="68" uniqueCount="51">
  <si>
    <t>TT-L1044 Economic Analysis</t>
  </si>
  <si>
    <t>Cost-Benefit Analysis</t>
  </si>
  <si>
    <t>Benefit: Reduction in number of days for document preparation and customs clearance</t>
  </si>
  <si>
    <t>Days saved over baseline</t>
  </si>
  <si>
    <t>Total benefit</t>
  </si>
  <si>
    <t>Risk-free rate (10-year Tbill)</t>
  </si>
  <si>
    <t>Country risk premium</t>
  </si>
  <si>
    <t xml:space="preserve">Marketwatch.com, 7/21/2015 </t>
  </si>
  <si>
    <t>Risk premium for a mature equity market</t>
  </si>
  <si>
    <t>Damodaran, 7/01/2015</t>
  </si>
  <si>
    <t>Year</t>
  </si>
  <si>
    <t>Data Source: World Trade Organization</t>
  </si>
  <si>
    <t>Imports of Merchandise</t>
  </si>
  <si>
    <t>No. of Years (Difference)</t>
  </si>
  <si>
    <t>Ending Value/Beginning Value</t>
  </si>
  <si>
    <t>1/number of years</t>
  </si>
  <si>
    <t>Compound Annual Growth Rate (CAGR) of Merchandise Imports 1950-2014</t>
  </si>
  <si>
    <t>Import Value at Current Prices (MM USD)</t>
  </si>
  <si>
    <t>Beginning Value (MM USD)</t>
  </si>
  <si>
    <t>Ending Value (MM USD)</t>
  </si>
  <si>
    <t>CAGR</t>
  </si>
  <si>
    <t>CAGR, imports, 1950-2014</t>
  </si>
  <si>
    <t>MM USD</t>
  </si>
  <si>
    <t>WTO</t>
  </si>
  <si>
    <t>Calculation with WTO data</t>
  </si>
  <si>
    <t>% of exports using ESW, 2015</t>
  </si>
  <si>
    <t>TTBizLink data, June 2015</t>
  </si>
  <si>
    <t>Projected annual growth in ESW use</t>
  </si>
  <si>
    <t>TTBizLink estimate</t>
  </si>
  <si>
    <t>NPV</t>
  </si>
  <si>
    <t>Present value of benefit</t>
  </si>
  <si>
    <t>Interest Expense</t>
  </si>
  <si>
    <t>Present value of cost</t>
  </si>
  <si>
    <t>Interest rate</t>
  </si>
  <si>
    <t>Total cost (MM USD)</t>
  </si>
  <si>
    <t>IDB Finance, Q2 2015</t>
  </si>
  <si>
    <t>Cost: Projected Project Expenditure</t>
  </si>
  <si>
    <t>Contingencies</t>
  </si>
  <si>
    <t>Contingency rate</t>
  </si>
  <si>
    <t>--</t>
  </si>
  <si>
    <t>Project PEP 2015-07</t>
  </si>
  <si>
    <t>% of imports using ESW</t>
  </si>
  <si>
    <t>Value of imports, projected (MM USD)</t>
  </si>
  <si>
    <t>Value of merchandise imports, 2014 (MM USD)</t>
  </si>
  <si>
    <r>
      <t xml:space="preserve">Project Expenditure (MM USD) </t>
    </r>
    <r>
      <rPr>
        <i/>
        <sz val="11"/>
        <color theme="0" tint="-0.34998626667073579"/>
        <rFont val="Calibri"/>
        <family val="2"/>
        <scheme val="minor"/>
      </rPr>
      <t>(PEP 2015-07)</t>
    </r>
  </si>
  <si>
    <r>
      <t xml:space="preserve">Net Benefit </t>
    </r>
    <r>
      <rPr>
        <sz val="11"/>
        <color theme="1"/>
        <rFont val="Calibri"/>
        <family val="2"/>
        <scheme val="minor"/>
      </rPr>
      <t>(MM USD)</t>
    </r>
  </si>
  <si>
    <t>Total equity risk premium</t>
  </si>
  <si>
    <t>Updated 7/31/2015</t>
  </si>
  <si>
    <t>Total cost of capital for TT (discount rate)</t>
  </si>
  <si>
    <t>Opportunity cost of capital (during days saved)</t>
  </si>
  <si>
    <t>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</si>
</sst>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_(* #,##0.0_);_(* \(#,##0.0\);_(* &quot;-&quot;??_);_(@_)"/>
    <numFmt numFmtId="167" formatCode="_(* #,##0_);_(* \(#,##0\);_(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4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2" fillId="2" borderId="3" xfId="0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4" fontId="0" fillId="0" borderId="3" xfId="0" applyNumberFormat="1" applyBorder="1"/>
    <xf numFmtId="44" fontId="5" fillId="0" borderId="0" xfId="0" applyNumberFormat="1" applyFont="1"/>
    <xf numFmtId="49" fontId="2" fillId="2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0" fontId="2" fillId="0" borderId="3" xfId="2" applyNumberFormat="1" applyFont="1" applyBorder="1" applyAlignment="1">
      <alignment horizontal="center" vertical="center"/>
    </xf>
    <xf numFmtId="0" fontId="0" fillId="0" borderId="3" xfId="0" applyBorder="1"/>
    <xf numFmtId="166" fontId="0" fillId="0" borderId="0" xfId="1" applyNumberFormat="1" applyFont="1"/>
    <xf numFmtId="167" fontId="0" fillId="0" borderId="0" xfId="1" applyNumberFormat="1" applyFont="1"/>
    <xf numFmtId="43" fontId="0" fillId="0" borderId="0" xfId="0" applyNumberFormat="1"/>
    <xf numFmtId="167" fontId="7" fillId="0" borderId="0" xfId="1" applyNumberFormat="1" applyFont="1"/>
    <xf numFmtId="10" fontId="7" fillId="0" borderId="0" xfId="0" applyNumberFormat="1" applyFont="1"/>
    <xf numFmtId="0" fontId="8" fillId="0" borderId="0" xfId="0" quotePrefix="1" applyFont="1"/>
    <xf numFmtId="0" fontId="8" fillId="0" borderId="0" xfId="0" applyFont="1"/>
    <xf numFmtId="9" fontId="7" fillId="0" borderId="0" xfId="0" applyNumberFormat="1" applyFont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9" fillId="0" borderId="0" xfId="0" applyFont="1"/>
    <xf numFmtId="166" fontId="2" fillId="0" borderId="2" xfId="1" applyNumberFormat="1" applyFont="1" applyBorder="1"/>
    <xf numFmtId="164" fontId="7" fillId="0" borderId="0" xfId="0" applyNumberFormat="1" applyFont="1"/>
    <xf numFmtId="0" fontId="2" fillId="0" borderId="0" xfId="0" applyFont="1" applyBorder="1"/>
    <xf numFmtId="166" fontId="2" fillId="0" borderId="4" xfId="1" applyNumberFormat="1" applyFont="1" applyBorder="1"/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ill="1" applyBorder="1"/>
    <xf numFmtId="166" fontId="0" fillId="0" borderId="0" xfId="1" applyNumberFormat="1" applyFont="1" applyAlignment="1">
      <alignment horizontal="right"/>
    </xf>
    <xf numFmtId="166" fontId="0" fillId="0" borderId="0" xfId="1" quotePrefix="1" applyNumberFormat="1" applyFont="1" applyAlignment="1">
      <alignment horizontal="right"/>
    </xf>
    <xf numFmtId="0" fontId="0" fillId="0" borderId="0" xfId="0" applyBorder="1"/>
    <xf numFmtId="166" fontId="0" fillId="0" borderId="0" xfId="0" applyNumberFormat="1" applyBorder="1"/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6" fillId="0" borderId="0" xfId="0" applyNumberFormat="1" applyFont="1"/>
    <xf numFmtId="166" fontId="6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0" fontId="7" fillId="0" borderId="0" xfId="0" applyFont="1"/>
    <xf numFmtId="0" fontId="3" fillId="0" borderId="6" xfId="0" applyFont="1" applyBorder="1"/>
    <xf numFmtId="0" fontId="0" fillId="0" borderId="8" xfId="0" applyFont="1" applyBorder="1"/>
    <xf numFmtId="166" fontId="2" fillId="0" borderId="9" xfId="0" applyNumberFormat="1" applyFont="1" applyBorder="1"/>
    <xf numFmtId="164" fontId="2" fillId="0" borderId="10" xfId="0" applyNumberFormat="1" applyFont="1" applyBorder="1"/>
    <xf numFmtId="168" fontId="0" fillId="0" borderId="0" xfId="2" applyNumberFormat="1" applyFo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85" zoomScaleNormal="85" workbookViewId="0">
      <selection activeCell="D23" sqref="D23"/>
    </sheetView>
  </sheetViews>
  <sheetFormatPr defaultRowHeight="15" x14ac:dyDescent="0.25"/>
  <cols>
    <col min="1" max="1" width="42.140625" customWidth="1"/>
    <col min="2" max="2" width="12" customWidth="1"/>
    <col min="3" max="5" width="10.5703125" bestFit="1" customWidth="1"/>
  </cols>
  <sheetData>
    <row r="1" spans="1:11" x14ac:dyDescent="0.25">
      <c r="A1" s="1" t="s">
        <v>0</v>
      </c>
    </row>
    <row r="2" spans="1:11" x14ac:dyDescent="0.25">
      <c r="A2" s="25" t="s">
        <v>1</v>
      </c>
    </row>
    <row r="3" spans="1:11" x14ac:dyDescent="0.25">
      <c r="A3" t="s">
        <v>47</v>
      </c>
      <c r="B3" s="2"/>
      <c r="C3" s="28"/>
    </row>
    <row r="4" spans="1:11" x14ac:dyDescent="0.25">
      <c r="B4" s="2"/>
      <c r="C4" s="28"/>
      <c r="D4" s="50"/>
    </row>
    <row r="5" spans="1:11" x14ac:dyDescent="0.25">
      <c r="B5" s="2"/>
      <c r="C5" s="28"/>
    </row>
    <row r="6" spans="1:11" x14ac:dyDescent="0.25">
      <c r="A6" s="1" t="s">
        <v>2</v>
      </c>
    </row>
    <row r="7" spans="1:11" ht="18" customHeight="1" x14ac:dyDescent="0.25">
      <c r="A7" s="27"/>
      <c r="B7" s="26">
        <v>2016</v>
      </c>
      <c r="C7" s="26">
        <v>2017</v>
      </c>
      <c r="D7" s="26">
        <v>2018</v>
      </c>
      <c r="E7" s="26">
        <v>2019</v>
      </c>
      <c r="F7" s="26">
        <v>2020</v>
      </c>
      <c r="G7" s="26">
        <v>2021</v>
      </c>
      <c r="H7" s="26">
        <v>2022</v>
      </c>
      <c r="I7" s="26">
        <v>2023</v>
      </c>
      <c r="J7" s="26">
        <v>2024</v>
      </c>
      <c r="K7" s="26">
        <v>2025</v>
      </c>
    </row>
    <row r="8" spans="1:11" x14ac:dyDescent="0.25">
      <c r="A8" t="s">
        <v>3</v>
      </c>
      <c r="B8" s="45">
        <v>0</v>
      </c>
      <c r="C8" s="45">
        <v>0</v>
      </c>
      <c r="D8" s="45">
        <v>2</v>
      </c>
      <c r="E8" s="45">
        <f>D8</f>
        <v>2</v>
      </c>
      <c r="F8" s="45">
        <v>4</v>
      </c>
      <c r="G8" s="45">
        <f>F8</f>
        <v>4</v>
      </c>
      <c r="H8" s="45">
        <f t="shared" ref="H8:K8" si="0">G8</f>
        <v>4</v>
      </c>
      <c r="I8" s="45">
        <f t="shared" si="0"/>
        <v>4</v>
      </c>
      <c r="J8" s="45">
        <f t="shared" si="0"/>
        <v>4</v>
      </c>
      <c r="K8" s="45">
        <f t="shared" si="0"/>
        <v>4</v>
      </c>
    </row>
    <row r="9" spans="1:11" s="18" customFormat="1" x14ac:dyDescent="0.25">
      <c r="A9" s="17" t="s">
        <v>42</v>
      </c>
      <c r="B9" s="18">
        <f t="shared" ref="B9:K9" si="1">$B$15*(1+$B$16)^(B7-2014)</f>
        <v>10068.620912632523</v>
      </c>
      <c r="C9" s="18">
        <f t="shared" si="1"/>
        <v>10800.676496291257</v>
      </c>
      <c r="D9" s="18">
        <f t="shared" si="1"/>
        <v>11585.957380834399</v>
      </c>
      <c r="E9" s="18">
        <f t="shared" si="1"/>
        <v>12428.333398987053</v>
      </c>
      <c r="F9" s="18">
        <f t="shared" si="1"/>
        <v>13331.955746004385</v>
      </c>
      <c r="G9" s="18">
        <f t="shared" si="1"/>
        <v>14301.277436595465</v>
      </c>
      <c r="H9" s="18">
        <f t="shared" si="1"/>
        <v>15341.075249201267</v>
      </c>
      <c r="I9" s="18">
        <f t="shared" si="1"/>
        <v>16456.473265767396</v>
      </c>
      <c r="J9" s="18">
        <f t="shared" si="1"/>
        <v>17652.968123014525</v>
      </c>
      <c r="K9" s="18">
        <f t="shared" si="1"/>
        <v>18936.456099643845</v>
      </c>
    </row>
    <row r="10" spans="1:11" x14ac:dyDescent="0.25">
      <c r="A10" t="s">
        <v>41</v>
      </c>
      <c r="B10" s="3">
        <f t="shared" ref="B10:K10" si="2">IF($B$17*(1+$B$18)^(B7-2015)&lt;100%,$B$17*(1+$B$18)^(B7-2015),100%)</f>
        <v>0.53550000000000009</v>
      </c>
      <c r="C10" s="3">
        <f t="shared" si="2"/>
        <v>0.56227500000000008</v>
      </c>
      <c r="D10" s="3">
        <f t="shared" si="2"/>
        <v>0.59038875000000013</v>
      </c>
      <c r="E10" s="3">
        <f t="shared" si="2"/>
        <v>0.61990818749999999</v>
      </c>
      <c r="F10" s="3">
        <f t="shared" si="2"/>
        <v>0.6509035968750001</v>
      </c>
      <c r="G10" s="3">
        <f t="shared" si="2"/>
        <v>0.68344877671875004</v>
      </c>
      <c r="H10" s="3">
        <f t="shared" si="2"/>
        <v>0.71762121555468761</v>
      </c>
      <c r="I10" s="3">
        <f t="shared" si="2"/>
        <v>0.75350227633242195</v>
      </c>
      <c r="J10" s="3">
        <f t="shared" si="2"/>
        <v>0.79117739014904309</v>
      </c>
      <c r="K10" s="3">
        <f t="shared" si="2"/>
        <v>0.83073625965649522</v>
      </c>
    </row>
    <row r="11" spans="1:11" x14ac:dyDescent="0.25">
      <c r="A11" t="s">
        <v>49</v>
      </c>
      <c r="B11" s="4">
        <f>(1+$B$23)^(B8/365)-1</f>
        <v>0</v>
      </c>
      <c r="C11" s="4">
        <f t="shared" ref="C11:K11" si="3">(1+$B$23)^(C8/365)-1</f>
        <v>0</v>
      </c>
      <c r="D11" s="4">
        <f>(1+$B$23)^(D8/365)-1</f>
        <v>5.7150528078819818E-4</v>
      </c>
      <c r="E11" s="4">
        <f t="shared" si="3"/>
        <v>5.7150528078819818E-4</v>
      </c>
      <c r="F11" s="4">
        <f>(1+$B$23)^(F8/365)-1</f>
        <v>1.1433371798625913E-3</v>
      </c>
      <c r="G11" s="4">
        <f t="shared" si="3"/>
        <v>1.1433371798625913E-3</v>
      </c>
      <c r="H11" s="4">
        <f t="shared" si="3"/>
        <v>1.1433371798625913E-3</v>
      </c>
      <c r="I11" s="4">
        <f t="shared" si="3"/>
        <v>1.1433371798625913E-3</v>
      </c>
      <c r="J11" s="4">
        <f t="shared" si="3"/>
        <v>1.1433371798625913E-3</v>
      </c>
      <c r="K11" s="4">
        <f t="shared" si="3"/>
        <v>1.1433371798625913E-3</v>
      </c>
    </row>
    <row r="12" spans="1:11" x14ac:dyDescent="0.25">
      <c r="A12" s="33" t="s">
        <v>4</v>
      </c>
      <c r="B12" s="32">
        <f>B9*B10*B11</f>
        <v>0</v>
      </c>
      <c r="C12" s="32">
        <f t="shared" ref="C12:K12" si="4">C9*C10*C11</f>
        <v>0</v>
      </c>
      <c r="D12" s="32">
        <f>D9*D10*D11</f>
        <v>3.9092212205963879</v>
      </c>
      <c r="E12" s="32">
        <f t="shared" si="4"/>
        <v>4.4031199335631772</v>
      </c>
      <c r="F12" s="32">
        <f t="shared" si="4"/>
        <v>9.9216719005447498</v>
      </c>
      <c r="G12" s="32">
        <f t="shared" si="4"/>
        <v>11.175195481236413</v>
      </c>
      <c r="H12" s="32">
        <f t="shared" si="4"/>
        <v>12.587091701449022</v>
      </c>
      <c r="I12" s="32">
        <f t="shared" si="4"/>
        <v>14.17736967256681</v>
      </c>
      <c r="J12" s="32">
        <f t="shared" si="4"/>
        <v>15.96856649653855</v>
      </c>
      <c r="K12" s="32">
        <f t="shared" si="4"/>
        <v>17.986066657187369</v>
      </c>
    </row>
    <row r="13" spans="1:11" ht="15.75" thickBot="1" x14ac:dyDescent="0.3">
      <c r="A13" s="34" t="s">
        <v>30</v>
      </c>
      <c r="B13" s="29">
        <f t="shared" ref="B13:K13" si="5">B12/(1+$B$23)^(B7-2015)</f>
        <v>0</v>
      </c>
      <c r="C13" s="29">
        <f t="shared" si="5"/>
        <v>0</v>
      </c>
      <c r="D13" s="29">
        <f t="shared" si="5"/>
        <v>2.8591615408465514</v>
      </c>
      <c r="E13" s="29">
        <f t="shared" si="5"/>
        <v>2.9015169335134043</v>
      </c>
      <c r="F13" s="29">
        <f t="shared" si="5"/>
        <v>5.8906823483989372</v>
      </c>
      <c r="G13" s="29">
        <f t="shared" si="5"/>
        <v>5.9779464502615642</v>
      </c>
      <c r="H13" s="29">
        <f t="shared" si="5"/>
        <v>6.0665032756192847</v>
      </c>
      <c r="I13" s="29">
        <f t="shared" si="5"/>
        <v>6.1563719747755847</v>
      </c>
      <c r="J13" s="29">
        <f t="shared" si="5"/>
        <v>6.2475719817250468</v>
      </c>
      <c r="K13" s="29">
        <f t="shared" si="5"/>
        <v>6.3401230183558921</v>
      </c>
    </row>
    <row r="14" spans="1:11" ht="15.75" thickTop="1" x14ac:dyDescent="0.25"/>
    <row r="15" spans="1:11" x14ac:dyDescent="0.25">
      <c r="A15" t="s">
        <v>43</v>
      </c>
      <c r="B15" s="20">
        <f>Imports!B72</f>
        <v>8750</v>
      </c>
      <c r="C15" s="22" t="s">
        <v>23</v>
      </c>
    </row>
    <row r="16" spans="1:11" x14ac:dyDescent="0.25">
      <c r="A16" t="s">
        <v>21</v>
      </c>
      <c r="B16" s="30">
        <f>Imports!H3</f>
        <v>7.270663877515382E-2</v>
      </c>
      <c r="C16" s="22" t="s">
        <v>24</v>
      </c>
    </row>
    <row r="17" spans="1:11" x14ac:dyDescent="0.25">
      <c r="A17" t="s">
        <v>25</v>
      </c>
      <c r="B17" s="24">
        <v>0.51</v>
      </c>
      <c r="C17" s="23" t="s">
        <v>26</v>
      </c>
    </row>
    <row r="18" spans="1:11" x14ac:dyDescent="0.25">
      <c r="A18" t="s">
        <v>27</v>
      </c>
      <c r="B18" s="24">
        <v>0.05</v>
      </c>
      <c r="C18" s="23" t="s">
        <v>28</v>
      </c>
    </row>
    <row r="19" spans="1:11" x14ac:dyDescent="0.25">
      <c r="A19" t="s">
        <v>5</v>
      </c>
      <c r="B19" s="30">
        <v>2.3300000000000001E-2</v>
      </c>
      <c r="C19" s="23" t="s">
        <v>7</v>
      </c>
    </row>
    <row r="20" spans="1:11" x14ac:dyDescent="0.25">
      <c r="A20" t="s">
        <v>6</v>
      </c>
      <c r="B20" s="30">
        <v>2.8500000000000001E-2</v>
      </c>
      <c r="C20" s="23" t="s">
        <v>9</v>
      </c>
    </row>
    <row r="21" spans="1:11" x14ac:dyDescent="0.25">
      <c r="A21" t="s">
        <v>8</v>
      </c>
      <c r="B21" s="30">
        <v>5.8099999999999999E-2</v>
      </c>
      <c r="C21" s="23" t="s">
        <v>9</v>
      </c>
    </row>
    <row r="22" spans="1:11" x14ac:dyDescent="0.25">
      <c r="A22" t="s">
        <v>46</v>
      </c>
      <c r="B22" s="42">
        <f>B20+B21</f>
        <v>8.6599999999999996E-2</v>
      </c>
      <c r="C22" s="23"/>
    </row>
    <row r="23" spans="1:11" x14ac:dyDescent="0.25">
      <c r="A23" t="s">
        <v>48</v>
      </c>
      <c r="B23" s="42">
        <f>(B19+B20+B21)</f>
        <v>0.1099</v>
      </c>
      <c r="C23" s="22"/>
    </row>
    <row r="25" spans="1:11" x14ac:dyDescent="0.25">
      <c r="A25" s="1" t="s">
        <v>36</v>
      </c>
      <c r="B25" s="19"/>
    </row>
    <row r="26" spans="1:11" x14ac:dyDescent="0.25">
      <c r="A26" s="27"/>
      <c r="B26" s="26">
        <v>2016</v>
      </c>
      <c r="C26" s="26">
        <v>2017</v>
      </c>
      <c r="D26" s="26">
        <v>2018</v>
      </c>
      <c r="E26" s="26">
        <v>2019</v>
      </c>
      <c r="F26" s="26">
        <v>2020</v>
      </c>
      <c r="G26" s="26">
        <v>2021</v>
      </c>
      <c r="H26" s="26">
        <v>2022</v>
      </c>
      <c r="I26" s="26">
        <v>2023</v>
      </c>
      <c r="J26" s="26">
        <v>2024</v>
      </c>
      <c r="K26" s="26">
        <v>2025</v>
      </c>
    </row>
    <row r="27" spans="1:11" x14ac:dyDescent="0.25">
      <c r="A27" s="35" t="s">
        <v>44</v>
      </c>
      <c r="B27" s="44">
        <f>-2671520/(1000000)</f>
        <v>-2.6715200000000001</v>
      </c>
      <c r="C27" s="44">
        <f>-8109020/(1000000)</f>
        <v>-8.1090199999999992</v>
      </c>
      <c r="D27" s="44">
        <f>-4139520/(1000000)</f>
        <v>-4.1395200000000001</v>
      </c>
      <c r="E27" s="44">
        <f>-7515020/(1000000)</f>
        <v>-7.5150199999999998</v>
      </c>
      <c r="F27" s="44">
        <f>-517520/(1000000)</f>
        <v>-0.51751999999999998</v>
      </c>
      <c r="G27" s="37" t="s">
        <v>39</v>
      </c>
      <c r="H27" s="37" t="s">
        <v>39</v>
      </c>
      <c r="I27" s="37" t="s">
        <v>39</v>
      </c>
      <c r="J27" s="37" t="s">
        <v>39</v>
      </c>
      <c r="K27" s="37" t="s">
        <v>39</v>
      </c>
    </row>
    <row r="28" spans="1:11" x14ac:dyDescent="0.25">
      <c r="A28" s="35" t="s">
        <v>37</v>
      </c>
      <c r="B28" s="43">
        <f>B27*$B$34</f>
        <v>-0.133576</v>
      </c>
      <c r="C28" s="43">
        <f t="shared" ref="C28:F28" si="6">C27*$B$34</f>
        <v>-0.40545100000000001</v>
      </c>
      <c r="D28" s="43">
        <f t="shared" si="6"/>
        <v>-0.20697600000000002</v>
      </c>
      <c r="E28" s="43">
        <f t="shared" si="6"/>
        <v>-0.375751</v>
      </c>
      <c r="F28" s="43">
        <f t="shared" si="6"/>
        <v>-2.5876E-2</v>
      </c>
      <c r="G28" s="37" t="s">
        <v>39</v>
      </c>
      <c r="H28" s="37" t="s">
        <v>39</v>
      </c>
      <c r="I28" s="37" t="s">
        <v>39</v>
      </c>
      <c r="J28" s="37" t="s">
        <v>39</v>
      </c>
      <c r="K28" s="37" t="s">
        <v>39</v>
      </c>
    </row>
    <row r="29" spans="1:11" x14ac:dyDescent="0.25">
      <c r="A29" s="35" t="s">
        <v>31</v>
      </c>
      <c r="B29" s="37" t="s">
        <v>39</v>
      </c>
      <c r="C29" s="37" t="s">
        <v>39</v>
      </c>
      <c r="D29" s="37" t="s">
        <v>39</v>
      </c>
      <c r="E29" s="37" t="s">
        <v>39</v>
      </c>
      <c r="F29" s="37" t="s">
        <v>39</v>
      </c>
      <c r="G29" s="36">
        <f>SUM($B$27:$F$28)*$B$33</f>
        <v>-0.28438271400000004</v>
      </c>
      <c r="H29" s="36">
        <f>SUM($B$27:$F$28)*$B$33</f>
        <v>-0.28438271400000004</v>
      </c>
      <c r="I29" s="36">
        <f>SUM($B$27:$F$28)*$B$33</f>
        <v>-0.28438271400000004</v>
      </c>
      <c r="J29" s="36">
        <f>SUM($B$27:$F$28)*$B$33</f>
        <v>-0.28438271400000004</v>
      </c>
      <c r="K29" s="36">
        <f>SUM($B$27:$F$28)*$B$33</f>
        <v>-0.28438271400000004</v>
      </c>
    </row>
    <row r="30" spans="1:11" x14ac:dyDescent="0.25">
      <c r="A30" s="33" t="s">
        <v>34</v>
      </c>
      <c r="B30" s="32">
        <f>SUM(B27:B29)</f>
        <v>-2.8050960000000003</v>
      </c>
      <c r="C30" s="32">
        <f t="shared" ref="C30:K30" si="7">SUM(C27:C29)</f>
        <v>-8.5144709999999986</v>
      </c>
      <c r="D30" s="32">
        <f t="shared" si="7"/>
        <v>-4.3464960000000001</v>
      </c>
      <c r="E30" s="32">
        <f t="shared" si="7"/>
        <v>-7.890771</v>
      </c>
      <c r="F30" s="32">
        <f t="shared" si="7"/>
        <v>-0.54339599999999999</v>
      </c>
      <c r="G30" s="32">
        <f t="shared" si="7"/>
        <v>-0.28438271400000004</v>
      </c>
      <c r="H30" s="32">
        <f>SUM(H27:H29)</f>
        <v>-0.28438271400000004</v>
      </c>
      <c r="I30" s="32">
        <f t="shared" si="7"/>
        <v>-0.28438271400000004</v>
      </c>
      <c r="J30" s="32">
        <f t="shared" si="7"/>
        <v>-0.28438271400000004</v>
      </c>
      <c r="K30" s="32">
        <f t="shared" si="7"/>
        <v>-0.28438271400000004</v>
      </c>
    </row>
    <row r="31" spans="1:11" ht="15.75" thickBot="1" x14ac:dyDescent="0.3">
      <c r="A31" s="34" t="s">
        <v>32</v>
      </c>
      <c r="B31" s="29">
        <f>B30/(1+$B$23)^(B26-2015)</f>
        <v>-2.5273412019100818</v>
      </c>
      <c r="C31" s="29">
        <f t="shared" ref="C31:K31" si="8">C30/(1+$B$23)^(C26-2015)</f>
        <v>-6.9117809806508337</v>
      </c>
      <c r="D31" s="29">
        <f t="shared" si="8"/>
        <v>-3.1789795203115849</v>
      </c>
      <c r="E31" s="29">
        <f t="shared" si="8"/>
        <v>-5.199768804945724</v>
      </c>
      <c r="F31" s="29">
        <f t="shared" si="8"/>
        <v>-0.32262437797553445</v>
      </c>
      <c r="G31" s="29">
        <f t="shared" si="8"/>
        <v>-0.1521248230983035</v>
      </c>
      <c r="H31" s="29">
        <f t="shared" si="8"/>
        <v>-0.13706173808298361</v>
      </c>
      <c r="I31" s="29">
        <f t="shared" si="8"/>
        <v>-0.1234901685584139</v>
      </c>
      <c r="J31" s="29">
        <f t="shared" si="8"/>
        <v>-0.1112624277488187</v>
      </c>
      <c r="K31" s="29">
        <f t="shared" si="8"/>
        <v>-0.10024545251718055</v>
      </c>
    </row>
    <row r="32" spans="1:11" ht="15.75" thickTop="1" x14ac:dyDescent="0.25"/>
    <row r="33" spans="1:11" x14ac:dyDescent="0.25">
      <c r="A33" t="s">
        <v>33</v>
      </c>
      <c r="B33" s="21">
        <v>1.18E-2</v>
      </c>
      <c r="C33" s="22" t="s">
        <v>35</v>
      </c>
    </row>
    <row r="34" spans="1:11" x14ac:dyDescent="0.25">
      <c r="A34" t="s">
        <v>38</v>
      </c>
      <c r="B34" s="30">
        <v>0.05</v>
      </c>
      <c r="C34" s="22" t="s">
        <v>40</v>
      </c>
    </row>
    <row r="35" spans="1:11" x14ac:dyDescent="0.25">
      <c r="A35" s="38"/>
      <c r="B35" s="38"/>
    </row>
    <row r="36" spans="1:11" x14ac:dyDescent="0.25">
      <c r="B36" s="26">
        <v>2016</v>
      </c>
      <c r="C36" s="26">
        <v>2017</v>
      </c>
      <c r="D36" s="26">
        <v>2018</v>
      </c>
      <c r="E36" s="26">
        <v>2019</v>
      </c>
      <c r="F36" s="26">
        <v>2020</v>
      </c>
      <c r="G36" s="26">
        <v>2021</v>
      </c>
      <c r="H36" s="26">
        <v>2022</v>
      </c>
      <c r="I36" s="26">
        <v>2023</v>
      </c>
      <c r="J36" s="26">
        <v>2024</v>
      </c>
      <c r="K36" s="26">
        <v>2025</v>
      </c>
    </row>
    <row r="37" spans="1:11" x14ac:dyDescent="0.25">
      <c r="A37" s="31" t="s">
        <v>45</v>
      </c>
      <c r="B37" s="39">
        <f>B13+B31</f>
        <v>-2.5273412019100818</v>
      </c>
      <c r="C37" s="39">
        <f>C13+C31</f>
        <v>-6.9117809806508337</v>
      </c>
      <c r="D37" s="39">
        <f>D13+D31</f>
        <v>-0.31981797946503354</v>
      </c>
      <c r="E37" s="39">
        <f>E13+E31</f>
        <v>-2.2982518714323197</v>
      </c>
      <c r="F37" s="39">
        <f t="shared" ref="F37:K37" si="9">F13+F31</f>
        <v>5.5680579704234026</v>
      </c>
      <c r="G37" s="39">
        <f t="shared" si="9"/>
        <v>5.8258216271632604</v>
      </c>
      <c r="H37" s="39">
        <f t="shared" si="9"/>
        <v>5.9294415375363014</v>
      </c>
      <c r="I37" s="39">
        <f t="shared" si="9"/>
        <v>6.032881806217171</v>
      </c>
      <c r="J37" s="39">
        <f t="shared" si="9"/>
        <v>6.1363095539762282</v>
      </c>
      <c r="K37" s="39">
        <f t="shared" si="9"/>
        <v>6.2398775658387118</v>
      </c>
    </row>
    <row r="38" spans="1:11" ht="15.75" thickBot="1" x14ac:dyDescent="0.3">
      <c r="A38" s="31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x14ac:dyDescent="0.25">
      <c r="A39" s="40" t="s">
        <v>29</v>
      </c>
      <c r="B39" s="48">
        <f>SUM(B37:K37)</f>
        <v>23.675198027696808</v>
      </c>
      <c r="C39" s="46" t="s">
        <v>22</v>
      </c>
    </row>
    <row r="40" spans="1:11" ht="15.75" thickBot="1" x14ac:dyDescent="0.3">
      <c r="A40" s="41" t="s">
        <v>50</v>
      </c>
      <c r="B40" s="49">
        <f>IRR(B37:K37)</f>
        <v>0.2345555055922246</v>
      </c>
      <c r="C40" s="47"/>
    </row>
    <row r="41" spans="1:11" x14ac:dyDescent="0.25">
      <c r="A41" s="25"/>
      <c r="B41" s="25"/>
      <c r="C41" s="25"/>
    </row>
    <row r="42" spans="1:11" x14ac:dyDescent="0.25">
      <c r="A42" s="25"/>
      <c r="B42" s="25"/>
      <c r="C42" s="25"/>
    </row>
    <row r="43" spans="1:11" x14ac:dyDescent="0.25">
      <c r="C43" s="19"/>
    </row>
  </sheetData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D23" sqref="D23"/>
    </sheetView>
  </sheetViews>
  <sheetFormatPr defaultRowHeight="15" x14ac:dyDescent="0.25"/>
  <cols>
    <col min="2" max="2" width="13.7109375" customWidth="1"/>
    <col min="3" max="3" width="14.5703125" customWidth="1"/>
    <col min="4" max="4" width="18" bestFit="1" customWidth="1"/>
    <col min="5" max="5" width="19" bestFit="1" customWidth="1"/>
    <col min="7" max="7" width="10.28515625" customWidth="1"/>
  </cols>
  <sheetData>
    <row r="1" spans="1:9" x14ac:dyDescent="0.25">
      <c r="A1" s="52" t="s">
        <v>16</v>
      </c>
      <c r="B1" s="52"/>
      <c r="C1" s="52"/>
      <c r="D1" s="52"/>
      <c r="E1" s="52"/>
      <c r="F1" s="52"/>
      <c r="G1" s="52"/>
      <c r="H1" s="52"/>
      <c r="I1" s="52"/>
    </row>
    <row r="2" spans="1:9" ht="60" x14ac:dyDescent="0.25">
      <c r="A2" s="5" t="s">
        <v>10</v>
      </c>
      <c r="B2" s="5" t="s">
        <v>18</v>
      </c>
      <c r="C2" s="11" t="s">
        <v>10</v>
      </c>
      <c r="D2" s="5" t="s">
        <v>19</v>
      </c>
      <c r="E2" s="5" t="s">
        <v>13</v>
      </c>
      <c r="F2" s="5" t="s">
        <v>14</v>
      </c>
      <c r="G2" s="5" t="s">
        <v>15</v>
      </c>
      <c r="H2" s="5" t="s">
        <v>20</v>
      </c>
    </row>
    <row r="3" spans="1:9" x14ac:dyDescent="0.25">
      <c r="A3" s="12">
        <v>1950</v>
      </c>
      <c r="B3" s="9">
        <f>B8</f>
        <v>98</v>
      </c>
      <c r="C3" s="13">
        <v>2014</v>
      </c>
      <c r="D3" s="9">
        <f>B72</f>
        <v>8750</v>
      </c>
      <c r="E3" s="12">
        <f>C3-A3</f>
        <v>64</v>
      </c>
      <c r="F3" s="12">
        <f>D3/B3</f>
        <v>89.285714285714292</v>
      </c>
      <c r="G3" s="14">
        <f>1/E3</f>
        <v>1.5625E-2</v>
      </c>
      <c r="H3" s="15">
        <f>POWER((F3),G3)-1</f>
        <v>7.270663877515382E-2</v>
      </c>
    </row>
    <row r="5" spans="1:9" x14ac:dyDescent="0.25">
      <c r="A5" s="1" t="s">
        <v>12</v>
      </c>
    </row>
    <row r="6" spans="1:9" ht="15.75" x14ac:dyDescent="0.25">
      <c r="A6" s="51"/>
      <c r="B6" s="51"/>
    </row>
    <row r="7" spans="1:9" ht="30" x14ac:dyDescent="0.25">
      <c r="A7" s="5" t="s">
        <v>10</v>
      </c>
      <c r="B7" s="6" t="s">
        <v>17</v>
      </c>
    </row>
    <row r="8" spans="1:9" x14ac:dyDescent="0.25">
      <c r="A8" s="7">
        <v>1950</v>
      </c>
      <c r="B8" s="16">
        <v>98</v>
      </c>
    </row>
    <row r="9" spans="1:9" x14ac:dyDescent="0.25">
      <c r="A9" s="7">
        <v>1951</v>
      </c>
      <c r="B9" s="16">
        <v>128</v>
      </c>
      <c r="C9" s="3"/>
    </row>
    <row r="10" spans="1:9" x14ac:dyDescent="0.25">
      <c r="A10" s="7">
        <v>1952</v>
      </c>
      <c r="B10" s="16">
        <v>142</v>
      </c>
      <c r="C10" s="3"/>
    </row>
    <row r="11" spans="1:9" x14ac:dyDescent="0.25">
      <c r="A11" s="7">
        <v>1953</v>
      </c>
      <c r="B11" s="16">
        <v>138</v>
      </c>
      <c r="C11" s="3"/>
    </row>
    <row r="12" spans="1:9" x14ac:dyDescent="0.25">
      <c r="A12" s="7">
        <v>1954</v>
      </c>
      <c r="B12" s="16">
        <v>146</v>
      </c>
      <c r="C12" s="3"/>
    </row>
    <row r="13" spans="1:9" x14ac:dyDescent="0.25">
      <c r="A13" s="7">
        <v>1955</v>
      </c>
      <c r="B13" s="16">
        <v>172</v>
      </c>
      <c r="C13" s="3"/>
    </row>
    <row r="14" spans="1:9" x14ac:dyDescent="0.25">
      <c r="A14" s="7">
        <v>1956</v>
      </c>
      <c r="B14" s="16">
        <v>176</v>
      </c>
      <c r="C14" s="3"/>
    </row>
    <row r="15" spans="1:9" x14ac:dyDescent="0.25">
      <c r="A15" s="7">
        <v>1957</v>
      </c>
      <c r="B15" s="16">
        <v>208</v>
      </c>
      <c r="C15" s="3"/>
    </row>
    <row r="16" spans="1:9" x14ac:dyDescent="0.25">
      <c r="A16" s="7">
        <v>1958</v>
      </c>
      <c r="B16" s="16">
        <v>240</v>
      </c>
      <c r="C16" s="3"/>
    </row>
    <row r="17" spans="1:3" x14ac:dyDescent="0.25">
      <c r="A17" s="7">
        <v>1959</v>
      </c>
      <c r="B17" s="16">
        <v>261</v>
      </c>
      <c r="C17" s="3"/>
    </row>
    <row r="18" spans="1:3" x14ac:dyDescent="0.25">
      <c r="A18" s="7">
        <v>1960</v>
      </c>
      <c r="B18" s="16">
        <v>294</v>
      </c>
      <c r="C18" s="3"/>
    </row>
    <row r="19" spans="1:3" x14ac:dyDescent="0.25">
      <c r="A19" s="7">
        <v>1961</v>
      </c>
      <c r="B19" s="16">
        <v>341</v>
      </c>
      <c r="C19" s="3"/>
    </row>
    <row r="20" spans="1:3" x14ac:dyDescent="0.25">
      <c r="A20" s="7">
        <v>1962</v>
      </c>
      <c r="B20" s="16">
        <v>353</v>
      </c>
      <c r="C20" s="3"/>
    </row>
    <row r="21" spans="1:3" x14ac:dyDescent="0.25">
      <c r="A21" s="7">
        <v>1963</v>
      </c>
      <c r="B21" s="16">
        <v>377</v>
      </c>
      <c r="C21" s="3"/>
    </row>
    <row r="22" spans="1:3" x14ac:dyDescent="0.25">
      <c r="A22" s="7">
        <v>1964</v>
      </c>
      <c r="B22" s="16">
        <v>426</v>
      </c>
      <c r="C22" s="3"/>
    </row>
    <row r="23" spans="1:3" x14ac:dyDescent="0.25">
      <c r="A23" s="7">
        <v>1965</v>
      </c>
      <c r="B23" s="16">
        <v>471</v>
      </c>
      <c r="C23" s="3"/>
    </row>
    <row r="24" spans="1:3" x14ac:dyDescent="0.25">
      <c r="A24" s="7">
        <v>1966</v>
      </c>
      <c r="B24" s="16">
        <v>454</v>
      </c>
      <c r="C24" s="3"/>
    </row>
    <row r="25" spans="1:3" x14ac:dyDescent="0.25">
      <c r="A25" s="7">
        <v>1967</v>
      </c>
      <c r="B25" s="16">
        <v>417</v>
      </c>
      <c r="C25" s="3"/>
    </row>
    <row r="26" spans="1:3" x14ac:dyDescent="0.25">
      <c r="A26" s="7">
        <v>1968</v>
      </c>
      <c r="B26" s="16">
        <v>420</v>
      </c>
      <c r="C26" s="3"/>
    </row>
    <row r="27" spans="1:3" x14ac:dyDescent="0.25">
      <c r="A27" s="7">
        <v>1969</v>
      </c>
      <c r="B27" s="16">
        <v>483</v>
      </c>
      <c r="C27" s="3"/>
    </row>
    <row r="28" spans="1:3" x14ac:dyDescent="0.25">
      <c r="A28" s="7">
        <v>1970</v>
      </c>
      <c r="B28" s="16">
        <v>544</v>
      </c>
      <c r="C28" s="3"/>
    </row>
    <row r="29" spans="1:3" x14ac:dyDescent="0.25">
      <c r="A29" s="7">
        <v>1971</v>
      </c>
      <c r="B29" s="16">
        <v>666</v>
      </c>
      <c r="C29" s="3"/>
    </row>
    <row r="30" spans="1:3" x14ac:dyDescent="0.25">
      <c r="A30" s="7">
        <v>1972</v>
      </c>
      <c r="B30" s="16">
        <v>766</v>
      </c>
      <c r="C30" s="3"/>
    </row>
    <row r="31" spans="1:3" x14ac:dyDescent="0.25">
      <c r="A31" s="7">
        <v>1973</v>
      </c>
      <c r="B31" s="16">
        <v>797</v>
      </c>
      <c r="C31" s="3"/>
    </row>
    <row r="32" spans="1:3" x14ac:dyDescent="0.25">
      <c r="A32" s="7">
        <v>1974</v>
      </c>
      <c r="B32" s="16">
        <v>1846</v>
      </c>
      <c r="C32" s="3"/>
    </row>
    <row r="33" spans="1:3" x14ac:dyDescent="0.25">
      <c r="A33" s="7">
        <v>1975</v>
      </c>
      <c r="B33" s="16">
        <v>1469</v>
      </c>
      <c r="C33" s="3"/>
    </row>
    <row r="34" spans="1:3" x14ac:dyDescent="0.25">
      <c r="A34" s="7">
        <v>1976</v>
      </c>
      <c r="B34" s="16">
        <v>2010</v>
      </c>
      <c r="C34" s="3"/>
    </row>
    <row r="35" spans="1:3" x14ac:dyDescent="0.25">
      <c r="A35" s="7">
        <v>1977</v>
      </c>
      <c r="B35" s="16">
        <v>1819</v>
      </c>
      <c r="C35" s="3"/>
    </row>
    <row r="36" spans="1:3" x14ac:dyDescent="0.25">
      <c r="A36" s="7">
        <v>1978</v>
      </c>
      <c r="B36" s="16">
        <v>1967</v>
      </c>
      <c r="C36" s="3"/>
    </row>
    <row r="37" spans="1:3" x14ac:dyDescent="0.25">
      <c r="A37" s="7">
        <v>1979</v>
      </c>
      <c r="B37" s="16">
        <v>2105</v>
      </c>
      <c r="C37" s="3"/>
    </row>
    <row r="38" spans="1:3" x14ac:dyDescent="0.25">
      <c r="A38" s="7">
        <v>1980</v>
      </c>
      <c r="B38" s="16">
        <v>3178</v>
      </c>
      <c r="C38" s="3"/>
    </row>
    <row r="39" spans="1:3" x14ac:dyDescent="0.25">
      <c r="A39" s="7">
        <v>1981</v>
      </c>
      <c r="B39" s="16">
        <v>3125</v>
      </c>
      <c r="C39" s="3"/>
    </row>
    <row r="40" spans="1:3" x14ac:dyDescent="0.25">
      <c r="A40" s="7">
        <v>1982</v>
      </c>
      <c r="B40" s="16">
        <v>3697</v>
      </c>
      <c r="C40" s="3"/>
    </row>
    <row r="41" spans="1:3" x14ac:dyDescent="0.25">
      <c r="A41" s="7">
        <v>1983</v>
      </c>
      <c r="B41" s="16">
        <v>2582</v>
      </c>
      <c r="C41" s="3"/>
    </row>
    <row r="42" spans="1:3" x14ac:dyDescent="0.25">
      <c r="A42" s="7">
        <v>1984</v>
      </c>
      <c r="B42" s="16">
        <v>1919</v>
      </c>
      <c r="C42" s="3"/>
    </row>
    <row r="43" spans="1:3" x14ac:dyDescent="0.25">
      <c r="A43" s="7">
        <v>1985</v>
      </c>
      <c r="B43" s="16">
        <v>1534</v>
      </c>
      <c r="C43" s="3"/>
    </row>
    <row r="44" spans="1:3" x14ac:dyDescent="0.25">
      <c r="A44" s="7">
        <v>1986</v>
      </c>
      <c r="B44" s="16">
        <v>1350</v>
      </c>
      <c r="C44" s="3"/>
    </row>
    <row r="45" spans="1:3" x14ac:dyDescent="0.25">
      <c r="A45" s="7">
        <v>1987</v>
      </c>
      <c r="B45" s="16">
        <v>1219</v>
      </c>
      <c r="C45" s="3"/>
    </row>
    <row r="46" spans="1:3" x14ac:dyDescent="0.25">
      <c r="A46" s="7">
        <v>1988</v>
      </c>
      <c r="B46" s="16">
        <v>1127</v>
      </c>
      <c r="C46" s="3"/>
    </row>
    <row r="47" spans="1:3" x14ac:dyDescent="0.25">
      <c r="A47" s="7">
        <v>1989</v>
      </c>
      <c r="B47" s="16">
        <v>1221</v>
      </c>
      <c r="C47" s="3"/>
    </row>
    <row r="48" spans="1:3" x14ac:dyDescent="0.25">
      <c r="A48" s="7">
        <v>1990</v>
      </c>
      <c r="B48" s="16">
        <v>1109</v>
      </c>
      <c r="C48" s="3"/>
    </row>
    <row r="49" spans="1:3" x14ac:dyDescent="0.25">
      <c r="A49" s="7">
        <v>1991</v>
      </c>
      <c r="B49" s="16">
        <v>1667</v>
      </c>
      <c r="C49" s="3"/>
    </row>
    <row r="50" spans="1:3" x14ac:dyDescent="0.25">
      <c r="A50" s="7">
        <v>1992</v>
      </c>
      <c r="B50" s="16">
        <v>1104</v>
      </c>
      <c r="C50" s="3"/>
    </row>
    <row r="51" spans="1:3" x14ac:dyDescent="0.25">
      <c r="A51" s="7">
        <v>1993</v>
      </c>
      <c r="B51" s="16">
        <v>1463</v>
      </c>
      <c r="C51" s="3"/>
    </row>
    <row r="52" spans="1:3" x14ac:dyDescent="0.25">
      <c r="A52" s="7">
        <v>1994</v>
      </c>
      <c r="B52" s="16">
        <v>1134</v>
      </c>
      <c r="C52" s="3"/>
    </row>
    <row r="53" spans="1:3" x14ac:dyDescent="0.25">
      <c r="A53" s="7">
        <v>1995</v>
      </c>
      <c r="B53" s="16">
        <v>1714</v>
      </c>
      <c r="C53" s="3"/>
    </row>
    <row r="54" spans="1:3" x14ac:dyDescent="0.25">
      <c r="A54" s="7">
        <v>1996</v>
      </c>
      <c r="B54" s="16">
        <v>2146</v>
      </c>
      <c r="C54" s="3"/>
    </row>
    <row r="55" spans="1:3" x14ac:dyDescent="0.25">
      <c r="A55" s="7">
        <v>1997</v>
      </c>
      <c r="B55" s="16">
        <v>2988</v>
      </c>
      <c r="C55" s="3"/>
    </row>
    <row r="56" spans="1:3" x14ac:dyDescent="0.25">
      <c r="A56" s="7">
        <v>1998</v>
      </c>
      <c r="B56" s="16">
        <v>2999</v>
      </c>
      <c r="C56" s="3"/>
    </row>
    <row r="57" spans="1:3" x14ac:dyDescent="0.25">
      <c r="A57" s="7">
        <v>1999</v>
      </c>
      <c r="B57" s="16">
        <v>2741</v>
      </c>
      <c r="C57" s="3"/>
    </row>
    <row r="58" spans="1:3" x14ac:dyDescent="0.25">
      <c r="A58" s="7">
        <v>2000</v>
      </c>
      <c r="B58" s="16">
        <v>3308</v>
      </c>
      <c r="C58" s="3"/>
    </row>
    <row r="59" spans="1:3" x14ac:dyDescent="0.25">
      <c r="A59" s="7">
        <v>2001</v>
      </c>
      <c r="B59" s="16">
        <v>3569</v>
      </c>
      <c r="C59" s="3"/>
    </row>
    <row r="60" spans="1:3" x14ac:dyDescent="0.25">
      <c r="A60" s="7">
        <v>2002</v>
      </c>
      <c r="B60" s="16">
        <v>3643</v>
      </c>
      <c r="C60" s="3"/>
    </row>
    <row r="61" spans="1:3" x14ac:dyDescent="0.25">
      <c r="A61" s="7">
        <v>2003</v>
      </c>
      <c r="B61" s="16">
        <v>3892</v>
      </c>
      <c r="C61" s="3"/>
    </row>
    <row r="62" spans="1:3" x14ac:dyDescent="0.25">
      <c r="A62" s="7">
        <v>2004</v>
      </c>
      <c r="B62" s="16">
        <v>4858</v>
      </c>
      <c r="C62" s="3"/>
    </row>
    <row r="63" spans="1:3" x14ac:dyDescent="0.25">
      <c r="A63" s="8">
        <v>2005</v>
      </c>
      <c r="B63" s="16">
        <v>5694</v>
      </c>
      <c r="C63" s="3"/>
    </row>
    <row r="64" spans="1:3" x14ac:dyDescent="0.25">
      <c r="A64" s="8">
        <v>2006</v>
      </c>
      <c r="B64" s="16">
        <v>6484</v>
      </c>
      <c r="C64" s="3"/>
    </row>
    <row r="65" spans="1:3" x14ac:dyDescent="0.25">
      <c r="A65" s="8">
        <v>2007</v>
      </c>
      <c r="B65" s="16">
        <v>7663</v>
      </c>
      <c r="C65" s="3"/>
    </row>
    <row r="66" spans="1:3" x14ac:dyDescent="0.25">
      <c r="A66" s="8">
        <v>2008</v>
      </c>
      <c r="B66" s="16">
        <v>9591</v>
      </c>
      <c r="C66" s="3"/>
    </row>
    <row r="67" spans="1:3" x14ac:dyDescent="0.25">
      <c r="A67" s="8">
        <v>2009</v>
      </c>
      <c r="B67" s="16">
        <v>6955</v>
      </c>
      <c r="C67" s="3"/>
    </row>
    <row r="68" spans="1:3" x14ac:dyDescent="0.25">
      <c r="A68" s="8">
        <v>2010</v>
      </c>
      <c r="B68" s="16">
        <v>6480</v>
      </c>
      <c r="C68" s="3"/>
    </row>
    <row r="69" spans="1:3" x14ac:dyDescent="0.25">
      <c r="A69" s="8">
        <v>2011</v>
      </c>
      <c r="B69" s="16">
        <v>9511</v>
      </c>
      <c r="C69" s="3"/>
    </row>
    <row r="70" spans="1:3" x14ac:dyDescent="0.25">
      <c r="A70" s="8">
        <v>2012</v>
      </c>
      <c r="B70" s="16">
        <v>9065</v>
      </c>
      <c r="C70" s="3"/>
    </row>
    <row r="71" spans="1:3" x14ac:dyDescent="0.25">
      <c r="A71" s="8">
        <v>2013</v>
      </c>
      <c r="B71" s="16">
        <v>8871</v>
      </c>
      <c r="C71" s="3"/>
    </row>
    <row r="72" spans="1:3" x14ac:dyDescent="0.25">
      <c r="A72" s="8">
        <v>2014</v>
      </c>
      <c r="B72" s="16">
        <v>8750</v>
      </c>
      <c r="C72" s="3"/>
    </row>
    <row r="74" spans="1:3" x14ac:dyDescent="0.25">
      <c r="A74" s="10" t="s">
        <v>11</v>
      </c>
    </row>
  </sheetData>
  <mergeCells count="2">
    <mergeCell ref="A6:B6"/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8D348FF849E34042B97969FED4DE7574" ma:contentTypeVersion="757" ma:contentTypeDescription="A content type to manage public (operations) IDB documents" ma:contentTypeScope="" ma:versionID="f4ffc4e33355dc125fed89b6021a805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320ae30a4007f13c52f79b3197ca9db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TT-L1044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39773696</IDBDocs_x0020_Number>
    <TaxCatchAll xmlns="cdc7663a-08f0-4737-9e8c-148ce897a09c">
      <Value>26</Value>
      <Value>12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true</Disclosed>
    <Publication_x0020_Type xmlns="cdc7663a-08f0-4737-9e8c-148ce897a09c" xsi:nil="true"/>
    <Division_x0020_or_x0020_Unit xmlns="cdc7663a-08f0-4737-9e8c-148ce897a09c">INT/INT</Division_x0020_or_x0020_Unit>
    <Approval_x0020_Number xmlns="cdc7663a-08f0-4737-9e8c-148ce897a09c" xsi:nil="true"/>
    <Document_x0020_Author xmlns="cdc7663a-08f0-4737-9e8c-148ce897a09c">Umana, Mario Alberto</Document_x0020_Author>
    <Disclosure_x0020_Activity xmlns="cdc7663a-08f0-4737-9e8c-148ce897a09c">Loan Proposal</Disclosure_x0020_Activity>
    <Fiscal_x0020_Year_x0020_IDB xmlns="cdc7663a-08f0-4737-9e8c-148ce897a09c">2015</Fiscal_x0020_Year_x0020_IDB>
    <Webtopic xmlns="cdc7663a-08f0-4737-9e8c-148ce897a09c">Integration and Trade</Webtopic>
    <Other_x0020_Author xmlns="cdc7663a-08f0-4737-9e8c-148ce897a09c" xsi:nil="true"/>
    <Abstract xmlns="cdc7663a-08f0-4737-9e8c-148ce897a09c" xsi:nil="true"/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&lt;div class="ExternalClass491088ED01424F0A9ABC400579F3DF9D"&gt;MS EXCELLPLoan Proposal0Y&lt;/div&gt;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Editor1 xmlns="cdc7663a-08f0-4737-9e8c-148ce897a09c" xsi:nil="true"/>
    <Region xmlns="cdc7663a-08f0-4737-9e8c-148ce897a09c" xsi:nil="true"/>
    <Document_x0020_Language_x0020_IDB xmlns="cdc7663a-08f0-4737-9e8c-148ce897a09c">English</Document_x0020_Language_x0020_IDB>
    <Identifier xmlns="cdc7663a-08f0-4737-9e8c-148ce897a09c" xsi:nil="true"/>
    <Publishing_x0020_House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Trinidad and Tobago</TermName>
          <TermId xmlns="http://schemas.microsoft.com/office/infopath/2007/PartnerControls">1c8020ac-00d9-4987-90d1-6435cf854c1b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>EZSHARE-1304124584-26142</_dlc_DocId>
    <_dlc_DocIdUrl xmlns="cdc7663a-08f0-4737-9e8c-148ce897a09c">
      <Url>https://idbg.sharepoint.com/teams/EZ-TT-LON/TT-L1044/_layouts/15/DocIdRedir.aspx?ID=EZSHARE-1304124584-26142</Url>
      <Description>EZSHARE-1304124584-26142</Description>
    </_dlc_DocIdUrl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A263A1-98F4-4DB8-AFB0-D1D5304F9995}"/>
</file>

<file path=customXml/itemProps2.xml><?xml version="1.0" encoding="utf-8"?>
<ds:datastoreItem xmlns:ds="http://schemas.openxmlformats.org/officeDocument/2006/customXml" ds:itemID="{26D2633E-0F4F-4BB3-AC07-4C70736316C9}"/>
</file>

<file path=customXml/itemProps3.xml><?xml version="1.0" encoding="utf-8"?>
<ds:datastoreItem xmlns:ds="http://schemas.openxmlformats.org/officeDocument/2006/customXml" ds:itemID="{196161A3-F479-4030-AEFD-BFD768848D20}"/>
</file>

<file path=customXml/itemProps4.xml><?xml version="1.0" encoding="utf-8"?>
<ds:datastoreItem xmlns:ds="http://schemas.openxmlformats.org/officeDocument/2006/customXml" ds:itemID="{E402193F-E625-4A63-8D9C-B04BD711D903}"/>
</file>

<file path=customXml/itemProps5.xml><?xml version="1.0" encoding="utf-8"?>
<ds:datastoreItem xmlns:ds="http://schemas.openxmlformats.org/officeDocument/2006/customXml" ds:itemID="{C107C87F-38AD-4650-AD43-416D23060A95}"/>
</file>

<file path=customXml/itemProps6.xml><?xml version="1.0" encoding="utf-8"?>
<ds:datastoreItem xmlns:ds="http://schemas.openxmlformats.org/officeDocument/2006/customXml" ds:itemID="{FCEB6B83-87FD-4B99-B25A-DE598B40C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Analysis</vt:lpstr>
      <vt:lpstr>Imports</vt:lpstr>
      <vt:lpstr>Analysis!Print_Area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 Summary</dc:title>
  <dc:creator>Caroline Levington</dc:creator>
  <cp:keywords/>
  <cp:lastModifiedBy>Test</cp:lastModifiedBy>
  <cp:lastPrinted>2015-07-22T21:48:22Z</cp:lastPrinted>
  <dcterms:created xsi:type="dcterms:W3CDTF">2015-07-22T19:33:45Z</dcterms:created>
  <dcterms:modified xsi:type="dcterms:W3CDTF">2015-08-04T21:16:36Z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0x0101001A458A224826124E8B45B1D613300CFC008D348FF849E34042B97969FED4DE7574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7" name="Fund IDB">
    <vt:lpwstr/>
  </property>
  <property fmtid="{D5CDD505-2E9C-101B-9397-08002B2CF9AE}" pid="8" name="Country">
    <vt:lpwstr>26;#Trinidad and Tobago|1c8020ac-00d9-4987-90d1-6435cf854c1b</vt:lpwstr>
  </property>
  <property fmtid="{D5CDD505-2E9C-101B-9397-08002B2CF9AE}" pid="9" name="Series_x0020_Operations_x0020_IDB">
    <vt:lpwstr/>
  </property>
  <property fmtid="{D5CDD505-2E9C-101B-9397-08002B2CF9AE}" pid="10" name="Sector IDB">
    <vt:lpwstr/>
  </property>
  <property fmtid="{D5CDD505-2E9C-101B-9397-08002B2CF9AE}" pid="11" name="Function Operations IDB">
    <vt:lpwstr>12;#IDBDocs|cca77002-e150-4b2d-ab1f-1d7a7cdcae16</vt:lpwstr>
  </property>
  <property fmtid="{D5CDD505-2E9C-101B-9397-08002B2CF9AE}" pid="14" name="From:">
    <vt:lpwstr/>
  </property>
  <property fmtid="{D5CDD505-2E9C-101B-9397-08002B2CF9AE}" pid="15" name="To:">
    <vt:lpwstr/>
  </property>
  <property fmtid="{D5CDD505-2E9C-101B-9397-08002B2CF9AE}" pid="16" name="Series Operations IDB">
    <vt:lpwstr/>
  </property>
  <property fmtid="{D5CDD505-2E9C-101B-9397-08002B2CF9AE}" pid="17" name="Sub-Sector">
    <vt:lpwstr/>
  </property>
  <property fmtid="{D5CDD505-2E9C-101B-9397-08002B2CF9AE}" pid="18" name="TaxKeywordTaxHTField">
    <vt:lpwstr/>
  </property>
  <property fmtid="{D5CDD505-2E9C-101B-9397-08002B2CF9AE}" pid="19" name="_dlc_DocIdItemGuid">
    <vt:lpwstr>04a1fab2-05d7-4a1e-b6bc-9c3bf71985f5</vt:lpwstr>
  </property>
</Properties>
</file>