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7400" windowHeight="10035" tabRatio="260"/>
  </bookViews>
  <sheets>
    <sheet name="POA" sheetId="1" r:id="rId1"/>
    <sheet name="Plan2" sheetId="2" r:id="rId2"/>
    <sheet name="Plan3" sheetId="3" r:id="rId3"/>
  </sheets>
  <definedNames>
    <definedName name="_xlnm.Print_Area" localSheetId="0">POA!$A$1:$X$88</definedName>
  </definedNames>
  <calcPr calcId="145621"/>
</workbook>
</file>

<file path=xl/calcChain.xml><?xml version="1.0" encoding="utf-8"?>
<calcChain xmlns="http://schemas.openxmlformats.org/spreadsheetml/2006/main">
  <c r="U71" i="1" l="1"/>
  <c r="S71" i="1"/>
  <c r="Q71" i="1"/>
  <c r="O71" i="1"/>
  <c r="M71" i="1"/>
  <c r="K71" i="1"/>
  <c r="I71" i="1"/>
  <c r="G71" i="1"/>
  <c r="U69" i="1"/>
  <c r="U73" i="1" s="1"/>
  <c r="S69" i="1"/>
  <c r="Q69" i="1"/>
  <c r="Q73" i="1" s="1"/>
  <c r="O69" i="1"/>
  <c r="M69" i="1"/>
  <c r="M73" i="1" s="1"/>
  <c r="K69" i="1"/>
  <c r="I69" i="1"/>
  <c r="G69" i="1"/>
  <c r="V16" i="1"/>
  <c r="T73" i="1"/>
  <c r="R73" i="1"/>
  <c r="P73" i="1"/>
  <c r="O73" i="1"/>
  <c r="N73" i="1"/>
  <c r="L73" i="1"/>
  <c r="J73" i="1"/>
  <c r="I73" i="1"/>
  <c r="H73" i="1"/>
  <c r="F73" i="1"/>
  <c r="C73" i="1"/>
  <c r="D73" i="1"/>
  <c r="E73" i="1"/>
  <c r="B73" i="1"/>
  <c r="W72" i="1"/>
  <c r="V71" i="1"/>
  <c r="W70" i="1"/>
  <c r="W69" i="1"/>
  <c r="V69" i="1"/>
  <c r="U66" i="1"/>
  <c r="T66" i="1"/>
  <c r="S66" i="1"/>
  <c r="R66" i="1"/>
  <c r="R67" i="1" s="1"/>
  <c r="Q66" i="1"/>
  <c r="P66" i="1"/>
  <c r="O66" i="1"/>
  <c r="N66" i="1"/>
  <c r="N67" i="1" s="1"/>
  <c r="M66" i="1"/>
  <c r="L66" i="1"/>
  <c r="K66" i="1"/>
  <c r="J66" i="1"/>
  <c r="J67" i="1" s="1"/>
  <c r="I66" i="1"/>
  <c r="H66" i="1"/>
  <c r="G66" i="1"/>
  <c r="F66" i="1"/>
  <c r="C66" i="1"/>
  <c r="D66" i="1"/>
  <c r="E66" i="1"/>
  <c r="B66" i="1"/>
  <c r="B67" i="1"/>
  <c r="V64" i="1"/>
  <c r="V66" i="1" s="1"/>
  <c r="W65" i="1"/>
  <c r="W64" i="1"/>
  <c r="W66" i="1" s="1"/>
  <c r="X66" i="1" s="1"/>
  <c r="J52" i="1"/>
  <c r="T52" i="1"/>
  <c r="N56" i="1"/>
  <c r="L56" i="1"/>
  <c r="J56" i="1"/>
  <c r="H56" i="1"/>
  <c r="F56" i="1"/>
  <c r="D56" i="1"/>
  <c r="T50" i="1"/>
  <c r="R50" i="1"/>
  <c r="P50" i="1"/>
  <c r="N50" i="1"/>
  <c r="L50" i="1"/>
  <c r="J50" i="1"/>
  <c r="H50" i="1"/>
  <c r="F50" i="1"/>
  <c r="D50" i="1"/>
  <c r="W50" i="1"/>
  <c r="U29" i="1"/>
  <c r="S29" i="1"/>
  <c r="Q29" i="1"/>
  <c r="O29" i="1"/>
  <c r="M29" i="1"/>
  <c r="K29" i="1"/>
  <c r="U27" i="1"/>
  <c r="S27" i="1"/>
  <c r="Q27" i="1"/>
  <c r="O27" i="1"/>
  <c r="M27" i="1"/>
  <c r="K27" i="1"/>
  <c r="U25" i="1"/>
  <c r="S25" i="1"/>
  <c r="Q25" i="1"/>
  <c r="O25" i="1"/>
  <c r="M25" i="1"/>
  <c r="K25" i="1"/>
  <c r="L22" i="1"/>
  <c r="S23" i="1"/>
  <c r="Q23" i="1"/>
  <c r="O23" i="1"/>
  <c r="M23" i="1"/>
  <c r="K23" i="1"/>
  <c r="I23" i="1"/>
  <c r="I22" i="1" s="1"/>
  <c r="G23" i="1"/>
  <c r="G22" i="1" s="1"/>
  <c r="E23" i="1"/>
  <c r="E22" i="1" s="1"/>
  <c r="J31" i="1"/>
  <c r="H31" i="1"/>
  <c r="F31" i="1"/>
  <c r="U22" i="1"/>
  <c r="T22" i="1"/>
  <c r="R22" i="1"/>
  <c r="P22" i="1"/>
  <c r="N22" i="1"/>
  <c r="J22" i="1"/>
  <c r="H22" i="1"/>
  <c r="F22" i="1"/>
  <c r="D22" i="1"/>
  <c r="C22" i="1"/>
  <c r="B22" i="1"/>
  <c r="I16" i="1"/>
  <c r="T12" i="1"/>
  <c r="R12" i="1"/>
  <c r="P12" i="1"/>
  <c r="N12" i="1"/>
  <c r="K73" i="1" l="1"/>
  <c r="S73" i="1"/>
  <c r="R74" i="1" s="1"/>
  <c r="G73" i="1"/>
  <c r="F67" i="1"/>
  <c r="B74" i="1"/>
  <c r="W71" i="1"/>
  <c r="W73" i="1" s="1"/>
  <c r="F74" i="1"/>
  <c r="N74" i="1"/>
  <c r="X69" i="1"/>
  <c r="J74" i="1"/>
  <c r="V73" i="1"/>
  <c r="V67" i="1"/>
  <c r="X67" i="1" s="1"/>
  <c r="X64" i="1"/>
  <c r="M22" i="1"/>
  <c r="Q22" i="1"/>
  <c r="O22" i="1"/>
  <c r="K22" i="1"/>
  <c r="S22" i="1"/>
  <c r="X71" i="1" l="1"/>
  <c r="X73" i="1"/>
  <c r="V74" i="1"/>
  <c r="X74" i="1" s="1"/>
  <c r="N10" i="1"/>
  <c r="L10" i="1"/>
  <c r="J10" i="1"/>
  <c r="H10" i="1"/>
  <c r="F10" i="1"/>
  <c r="D10" i="1"/>
  <c r="V51" i="1" l="1"/>
  <c r="V57" i="1"/>
  <c r="W56" i="1"/>
  <c r="V56" i="1"/>
  <c r="V55" i="1"/>
  <c r="T54" i="1"/>
  <c r="R54" i="1"/>
  <c r="P54" i="1"/>
  <c r="N54" i="1"/>
  <c r="L54" i="1"/>
  <c r="J54" i="1"/>
  <c r="H54" i="1"/>
  <c r="F54" i="1"/>
  <c r="D54" i="1"/>
  <c r="W54" i="1"/>
  <c r="V50" i="1"/>
  <c r="W52" i="1"/>
  <c r="V53" i="1"/>
  <c r="V49" i="1"/>
  <c r="W48" i="1"/>
  <c r="T48" i="1"/>
  <c r="R48" i="1"/>
  <c r="P48" i="1"/>
  <c r="N48" i="1"/>
  <c r="L48" i="1"/>
  <c r="J48" i="1"/>
  <c r="H48" i="1"/>
  <c r="F48" i="1"/>
  <c r="D48" i="1"/>
  <c r="W46" i="1"/>
  <c r="V44" i="1"/>
  <c r="C41" i="1"/>
  <c r="C58" i="1" s="1"/>
  <c r="B41" i="1"/>
  <c r="B58" i="1" s="1"/>
  <c r="U42" i="1"/>
  <c r="U41" i="1" s="1"/>
  <c r="U58" i="1" s="1"/>
  <c r="T42" i="1"/>
  <c r="T41" i="1" s="1"/>
  <c r="T58" i="1" s="1"/>
  <c r="S42" i="1"/>
  <c r="S41" i="1" s="1"/>
  <c r="S58" i="1" s="1"/>
  <c r="R42" i="1"/>
  <c r="R41" i="1" s="1"/>
  <c r="Q42" i="1"/>
  <c r="Q41" i="1" s="1"/>
  <c r="Q58" i="1" s="1"/>
  <c r="P42" i="1"/>
  <c r="P41" i="1" s="1"/>
  <c r="P58" i="1" s="1"/>
  <c r="O42" i="1"/>
  <c r="O41" i="1" s="1"/>
  <c r="O58" i="1" s="1"/>
  <c r="N42" i="1"/>
  <c r="N41" i="1" s="1"/>
  <c r="N58" i="1" s="1"/>
  <c r="M42" i="1"/>
  <c r="M41" i="1" s="1"/>
  <c r="M58" i="1" s="1"/>
  <c r="L42" i="1"/>
  <c r="L41" i="1" s="1"/>
  <c r="L58" i="1" s="1"/>
  <c r="K42" i="1"/>
  <c r="K41" i="1" s="1"/>
  <c r="K58" i="1" s="1"/>
  <c r="J42" i="1"/>
  <c r="J41" i="1" s="1"/>
  <c r="I42" i="1"/>
  <c r="I41" i="1" s="1"/>
  <c r="I58" i="1" s="1"/>
  <c r="H42" i="1"/>
  <c r="H41" i="1" s="1"/>
  <c r="H58" i="1" s="1"/>
  <c r="G42" i="1"/>
  <c r="G41" i="1" s="1"/>
  <c r="G58" i="1" s="1"/>
  <c r="F42" i="1"/>
  <c r="F41" i="1" s="1"/>
  <c r="F58" i="1" s="1"/>
  <c r="E42" i="1"/>
  <c r="E41" i="1" s="1"/>
  <c r="E58" i="1" s="1"/>
  <c r="D42" i="1"/>
  <c r="D41" i="1" s="1"/>
  <c r="D58" i="1" s="1"/>
  <c r="V47" i="1"/>
  <c r="V46" i="1"/>
  <c r="V45" i="1"/>
  <c r="W44" i="1"/>
  <c r="W43" i="1"/>
  <c r="V43" i="1"/>
  <c r="X46" i="1" l="1"/>
  <c r="J58" i="1"/>
  <c r="J61" i="1" s="1"/>
  <c r="R58" i="1"/>
  <c r="R61" i="1" s="1"/>
  <c r="H61" i="1"/>
  <c r="L61" i="1"/>
  <c r="P61" i="1"/>
  <c r="T61" i="1"/>
  <c r="X56" i="1"/>
  <c r="F59" i="1"/>
  <c r="F61" i="1"/>
  <c r="J59" i="1"/>
  <c r="N59" i="1"/>
  <c r="N61" i="1"/>
  <c r="R59" i="1"/>
  <c r="X44" i="1"/>
  <c r="R62" i="1" l="1"/>
  <c r="N62" i="1"/>
  <c r="J62" i="1"/>
  <c r="F62" i="1"/>
  <c r="C33" i="1"/>
  <c r="D33" i="1"/>
  <c r="L33" i="1"/>
  <c r="N33" i="1"/>
  <c r="W30" i="1"/>
  <c r="W28" i="1"/>
  <c r="W24" i="1"/>
  <c r="B33" i="1"/>
  <c r="U18" i="1"/>
  <c r="T18" i="1"/>
  <c r="S18" i="1"/>
  <c r="R18" i="1"/>
  <c r="Q18" i="1"/>
  <c r="O18" i="1"/>
  <c r="M18" i="1"/>
  <c r="K18" i="1"/>
  <c r="I18" i="1"/>
  <c r="E18" i="1"/>
  <c r="C18" i="1"/>
  <c r="B18" i="1"/>
  <c r="W26" i="1"/>
  <c r="V25" i="1"/>
  <c r="V23" i="1"/>
  <c r="W23" i="1"/>
  <c r="V32" i="1"/>
  <c r="J33" i="1"/>
  <c r="H33" i="1"/>
  <c r="F33" i="1"/>
  <c r="W17" i="1"/>
  <c r="G18" i="1"/>
  <c r="L14" i="1"/>
  <c r="J14" i="1"/>
  <c r="H14" i="1"/>
  <c r="F14" i="1"/>
  <c r="V15" i="1"/>
  <c r="P18" i="1"/>
  <c r="V13" i="1"/>
  <c r="V11" i="1"/>
  <c r="I33" i="1" l="1"/>
  <c r="M33" i="1"/>
  <c r="E33" i="1"/>
  <c r="B34" i="1" s="1"/>
  <c r="Q33" i="1"/>
  <c r="S33" i="1"/>
  <c r="K33" i="1"/>
  <c r="J34" i="1" s="1"/>
  <c r="O33" i="1"/>
  <c r="F18" i="1"/>
  <c r="J18" i="1"/>
  <c r="U33" i="1"/>
  <c r="D18" i="1"/>
  <c r="N18" i="1"/>
  <c r="H18" i="1"/>
  <c r="L18" i="1"/>
  <c r="T33" i="1"/>
  <c r="R33" i="1"/>
  <c r="P33" i="1"/>
  <c r="X23" i="1"/>
  <c r="W25" i="1"/>
  <c r="X25" i="1" s="1"/>
  <c r="V14" i="1"/>
  <c r="V12" i="1"/>
  <c r="X12" i="1" s="1"/>
  <c r="T37" i="1" l="1"/>
  <c r="T76" i="1" s="1"/>
  <c r="P37" i="1"/>
  <c r="P76" i="1" s="1"/>
  <c r="L37" i="1"/>
  <c r="L76" i="1" s="1"/>
  <c r="N34" i="1"/>
  <c r="G33" i="1"/>
  <c r="R34" i="1"/>
  <c r="J37" i="1"/>
  <c r="J76" i="1" s="1"/>
  <c r="J77" i="1" s="1"/>
  <c r="N37" i="1"/>
  <c r="N76" i="1" s="1"/>
  <c r="F37" i="1"/>
  <c r="F76" i="1" s="1"/>
  <c r="R37" i="1"/>
  <c r="R76" i="1" s="1"/>
  <c r="R77" i="1" s="1"/>
  <c r="V48" i="1"/>
  <c r="V52" i="1"/>
  <c r="V54" i="1"/>
  <c r="V42" i="1"/>
  <c r="V41" i="1" s="1"/>
  <c r="W42" i="1"/>
  <c r="W41" i="1" s="1"/>
  <c r="W29" i="1"/>
  <c r="W27" i="1"/>
  <c r="V27" i="1"/>
  <c r="V29" i="1"/>
  <c r="B37" i="1"/>
  <c r="W31" i="1"/>
  <c r="W16" i="1"/>
  <c r="W18" i="1"/>
  <c r="R19" i="1"/>
  <c r="N19" i="1"/>
  <c r="J19" i="1"/>
  <c r="B19" i="1"/>
  <c r="V31" i="1"/>
  <c r="W14" i="1"/>
  <c r="X14" i="1" s="1"/>
  <c r="F19" i="1"/>
  <c r="V10" i="1"/>
  <c r="N77" i="1" l="1"/>
  <c r="W22" i="1"/>
  <c r="W33" i="1" s="1"/>
  <c r="S93" i="1"/>
  <c r="Q93" i="1"/>
  <c r="O93" i="1"/>
  <c r="M93" i="1"/>
  <c r="K93" i="1"/>
  <c r="I93" i="1"/>
  <c r="G93" i="1"/>
  <c r="E93" i="1"/>
  <c r="P93" i="1"/>
  <c r="R93" i="1"/>
  <c r="T93" i="1"/>
  <c r="J93" i="1"/>
  <c r="D93" i="1"/>
  <c r="L93" i="1"/>
  <c r="F93" i="1"/>
  <c r="N93" i="1"/>
  <c r="H93" i="1"/>
  <c r="U93" i="1"/>
  <c r="X31" i="1"/>
  <c r="V22" i="1"/>
  <c r="V33" i="1" s="1"/>
  <c r="R38" i="1"/>
  <c r="N38" i="1"/>
  <c r="J38" i="1"/>
  <c r="F34" i="1"/>
  <c r="H37" i="1"/>
  <c r="H76" i="1" s="1"/>
  <c r="F77" i="1" s="1"/>
  <c r="B61" i="1"/>
  <c r="B76" i="1" s="1"/>
  <c r="V76" i="1" s="1"/>
  <c r="X27" i="1"/>
  <c r="D37" i="1"/>
  <c r="X10" i="1"/>
  <c r="X16" i="1"/>
  <c r="V18" i="1"/>
  <c r="X18" i="1" s="1"/>
  <c r="X42" i="1"/>
  <c r="X52" i="1"/>
  <c r="X54" i="1"/>
  <c r="X48" i="1"/>
  <c r="X50" i="1"/>
  <c r="W58" i="1"/>
  <c r="X29" i="1"/>
  <c r="V93" i="1" l="1"/>
  <c r="F38" i="1"/>
  <c r="C85" i="1"/>
  <c r="V34" i="1"/>
  <c r="X34" i="1" s="1"/>
  <c r="V19" i="1"/>
  <c r="X19" i="1" s="1"/>
  <c r="F85" i="1"/>
  <c r="E85" i="1"/>
  <c r="D85" i="1"/>
  <c r="X41" i="1"/>
  <c r="X58" i="1" s="1"/>
  <c r="V58" i="1"/>
  <c r="V59" i="1" s="1"/>
  <c r="X59" i="1" s="1"/>
  <c r="D61" i="1"/>
  <c r="D76" i="1" s="1"/>
  <c r="W76" i="1" s="1"/>
  <c r="B59" i="1"/>
  <c r="B83" i="1"/>
  <c r="V37" i="1"/>
  <c r="B38" i="1"/>
  <c r="V61" i="1"/>
  <c r="W37" i="1" l="1"/>
  <c r="X37" i="1" s="1"/>
  <c r="F83" i="1"/>
  <c r="W61" i="1"/>
  <c r="B62" i="1"/>
  <c r="C83" i="1"/>
  <c r="E83" i="1"/>
  <c r="D83" i="1"/>
  <c r="V38" i="1" l="1"/>
  <c r="X38" i="1" s="1"/>
  <c r="X76" i="1"/>
  <c r="D87" i="1"/>
  <c r="C87" i="1"/>
  <c r="B85" i="1"/>
  <c r="B77" i="1"/>
  <c r="V62" i="1"/>
  <c r="X62" i="1" s="1"/>
  <c r="E87" i="1"/>
  <c r="F87" i="1"/>
  <c r="G83" i="1"/>
  <c r="X61" i="1"/>
  <c r="V77" i="1" l="1"/>
  <c r="B84" i="1"/>
  <c r="F84" i="1"/>
  <c r="E84" i="1"/>
  <c r="G85" i="1"/>
  <c r="B87" i="1"/>
  <c r="D84" i="1"/>
  <c r="C84" i="1"/>
  <c r="N78" i="1" l="1"/>
  <c r="F78" i="1"/>
  <c r="J78" i="1"/>
  <c r="R78" i="1"/>
  <c r="B78" i="1"/>
  <c r="X77" i="1"/>
  <c r="B86" i="1"/>
  <c r="G84" i="1"/>
  <c r="G87" i="1"/>
  <c r="G86" i="1"/>
  <c r="D86" i="1"/>
  <c r="E86" i="1"/>
  <c r="F86" i="1"/>
  <c r="C86" i="1"/>
  <c r="X57" i="1" l="1"/>
  <c r="X70" i="1"/>
  <c r="X72" i="1"/>
  <c r="X65" i="1"/>
  <c r="X32" i="1"/>
  <c r="X15" i="1"/>
  <c r="X55" i="1"/>
  <c r="V78" i="1"/>
  <c r="X13" i="1"/>
  <c r="X11" i="1"/>
  <c r="X17" i="1"/>
  <c r="X28" i="1"/>
  <c r="X53" i="1"/>
  <c r="X51" i="1"/>
  <c r="X24" i="1"/>
  <c r="X45" i="1"/>
  <c r="X49" i="1"/>
  <c r="X26" i="1"/>
  <c r="X43" i="1"/>
  <c r="X30" i="1"/>
  <c r="X47" i="1"/>
  <c r="G88" i="1"/>
  <c r="F88" i="1"/>
  <c r="C88" i="1"/>
  <c r="E88" i="1"/>
  <c r="D88" i="1"/>
  <c r="B88" i="1"/>
  <c r="X22" i="1" l="1"/>
  <c r="X33" i="1" s="1"/>
</calcChain>
</file>

<file path=xl/comments1.xml><?xml version="1.0" encoding="utf-8"?>
<comments xmlns="http://schemas.openxmlformats.org/spreadsheetml/2006/main">
  <authors>
    <author>ADM</author>
  </authors>
  <commentList>
    <comment ref="A23" authorId="0">
      <text>
        <r>
          <rPr>
            <b/>
            <sz val="12"/>
            <color indexed="81"/>
            <rFont val="Tahoma"/>
            <family val="2"/>
          </rPr>
          <t xml:space="preserve">Corredor  de 21.160 metros + 33 estações de embarque 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color indexed="81"/>
            <rFont val="Tahoma"/>
            <family val="2"/>
          </rPr>
          <t>Corredor de 17.930 metros + 21 estações de embarque + Viaduto Av. Olavo Vilela de Andrado/Costa e Silva + Intereseção Cafezais + Reforma Terminal Morenão</t>
        </r>
      </text>
    </comment>
    <comment ref="A27" authorId="0">
      <text>
        <r>
          <rPr>
            <b/>
            <sz val="12"/>
            <color indexed="81"/>
            <rFont val="Tahoma"/>
            <family val="2"/>
          </rPr>
          <t>22.700 metros + 32 estações de embarque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12"/>
            <color indexed="81"/>
            <rFont val="Tahoma"/>
            <family val="2"/>
          </rPr>
          <t>construção dos quatro novos terminais (Cafezais, São Francisco, Tiradentes e Paraty).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<sst xmlns="http://schemas.openxmlformats.org/spreadsheetml/2006/main" count="137" uniqueCount="54">
  <si>
    <t>COMPONENTE/SUBCOMPONENTE</t>
  </si>
  <si>
    <t>BID</t>
  </si>
  <si>
    <t>%</t>
  </si>
  <si>
    <t>PMCG</t>
  </si>
  <si>
    <t>TOTAL</t>
  </si>
  <si>
    <t>PROGRAMA VIVA CAMPO GRANDE II</t>
  </si>
  <si>
    <t xml:space="preserve">ANO I </t>
  </si>
  <si>
    <t>1º SEM</t>
  </si>
  <si>
    <t>ANO II</t>
  </si>
  <si>
    <t>ANO III</t>
  </si>
  <si>
    <t>ANO IV</t>
  </si>
  <si>
    <t>ANO V</t>
  </si>
  <si>
    <t>TOTAL GERAL</t>
  </si>
  <si>
    <t>2.1. Unidade Coordenadora</t>
  </si>
  <si>
    <t>PERCENTUAL ANUAL</t>
  </si>
  <si>
    <t>RESUMO</t>
  </si>
  <si>
    <t>2º SEM</t>
  </si>
  <si>
    <t>PLANO OPERACIONAL ANUAL - POA (EM MIL US$)</t>
  </si>
  <si>
    <t>VALOR ANUAL GERAL</t>
  </si>
  <si>
    <t>VALOR ANUAL</t>
  </si>
  <si>
    <t>1. COMPONENTES DE INVESTIMENTOS</t>
  </si>
  <si>
    <t>1.1. Revitalização do Centro</t>
  </si>
  <si>
    <t>1.1.1. Revitalização da Rua 14 de Julho e transversais</t>
  </si>
  <si>
    <t>1.2. Mobilidade Urbana</t>
  </si>
  <si>
    <t>1.2.1. Ampliação e Melhoria do Sistema de Transporte Coletivo</t>
  </si>
  <si>
    <t>2. ADMINISTRAÇÃO DO PROGRAMA</t>
  </si>
  <si>
    <t>ANO I</t>
  </si>
  <si>
    <t>VALOR TOTAL GERAL</t>
  </si>
  <si>
    <t>VALOR TOTAL COMPONENTE 1 POR FONTE</t>
  </si>
  <si>
    <t>VALOR TOTAL ANUAL COMPONENTE 1</t>
  </si>
  <si>
    <t>VALOR TOTAL COMPONENTE 2 POR FONTE</t>
  </si>
  <si>
    <t>VALOR TOTAL ANUAL COMPONENTE 2</t>
  </si>
  <si>
    <t>2.3. Supervisão de Obras</t>
  </si>
  <si>
    <t>2.4. Avaliação e Monitoramento</t>
  </si>
  <si>
    <t>2.5. Auditoria</t>
  </si>
  <si>
    <t xml:space="preserve">2.6. Mobilização social </t>
  </si>
  <si>
    <t>2.2. Sistema de Informações</t>
  </si>
  <si>
    <t>2.1.2 Aquisição de bens e serviços</t>
  </si>
  <si>
    <t>1.1.3. Estudos e Projetos do Centro</t>
  </si>
  <si>
    <t>1.1.4. Atualização do Plano Diretor de Campo Grande</t>
  </si>
  <si>
    <t>1.2.2. Atualização PDTMU, Pesquisa OD e Sistema de simulação de tráfego</t>
  </si>
  <si>
    <t>2.1.1 Gerenciamento e Consultorias</t>
  </si>
  <si>
    <t>2.1.3 Serviços Técnicos</t>
  </si>
  <si>
    <t>1.1.2. Projeto habitação (a definir)</t>
  </si>
  <si>
    <t>supervisao</t>
  </si>
  <si>
    <t>1.2.1.2 Corredor Sul</t>
  </si>
  <si>
    <t>1.2.1.3 Corredor Norte</t>
  </si>
  <si>
    <t>1.2.1.4 Terminais e outros componentes mobilidade</t>
  </si>
  <si>
    <t>1.2.1.1 Corredor Sudoeste</t>
  </si>
  <si>
    <t>3. CUSTOS CONCORRENTES</t>
  </si>
  <si>
    <t>3.1 Desapropriações</t>
  </si>
  <si>
    <t>4. CUSTOS FINANCEIROS</t>
  </si>
  <si>
    <t>4.1 Juros</t>
  </si>
  <si>
    <t>4.2 Comissão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</si>
</sst>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8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23" fillId="0" borderId="0"/>
    <xf numFmtId="0" fontId="1" fillId="23" borderId="7" applyNumberFormat="0" applyFont="0" applyAlignment="0" applyProtection="0"/>
    <xf numFmtId="0" fontId="13" fillId="20" borderId="8" applyNumberForma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0" xfId="41" applyNumberFormat="1" applyFont="1" applyBorder="1" applyAlignment="1">
      <alignment horizontal="center" vertical="center"/>
    </xf>
    <xf numFmtId="164" fontId="2" fillId="0" borderId="0" xfId="41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9" fontId="2" fillId="0" borderId="0" xfId="40" applyFont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24" borderId="9" xfId="0" applyFont="1" applyFill="1" applyBorder="1" applyAlignment="1">
      <alignment horizontal="center" vertical="center"/>
    </xf>
    <xf numFmtId="164" fontId="2" fillId="24" borderId="9" xfId="41" applyNumberFormat="1" applyFont="1" applyFill="1" applyBorder="1" applyAlignment="1">
      <alignment horizontal="center" vertical="center"/>
    </xf>
    <xf numFmtId="164" fontId="2" fillId="0" borderId="9" xfId="41" applyNumberFormat="1" applyFont="1" applyFill="1" applyBorder="1" applyAlignment="1">
      <alignment horizontal="center" vertical="center"/>
    </xf>
    <xf numFmtId="43" fontId="2" fillId="0" borderId="0" xfId="41" applyFont="1" applyAlignment="1">
      <alignment horizontal="center" vertical="center"/>
    </xf>
    <xf numFmtId="164" fontId="2" fillId="0" borderId="0" xfId="41" applyNumberFormat="1" applyFont="1" applyFill="1" applyBorder="1" applyAlignment="1">
      <alignment horizontal="center" vertical="center"/>
    </xf>
    <xf numFmtId="164" fontId="3" fillId="0" borderId="0" xfId="41" applyNumberFormat="1" applyFont="1" applyFill="1" applyAlignment="1">
      <alignment horizontal="center" vertical="center"/>
    </xf>
    <xf numFmtId="9" fontId="2" fillId="0" borderId="9" xfId="4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9" fontId="2" fillId="24" borderId="9" xfId="40" applyFont="1" applyFill="1" applyBorder="1" applyAlignment="1">
      <alignment horizontal="center" vertical="center"/>
    </xf>
    <xf numFmtId="164" fontId="21" fillId="0" borderId="9" xfId="41" applyNumberFormat="1" applyFont="1" applyFill="1" applyBorder="1" applyAlignment="1">
      <alignment horizontal="center" vertical="center" wrapText="1"/>
    </xf>
    <xf numFmtId="43" fontId="23" fillId="0" borderId="0" xfId="41" applyFont="1" applyAlignment="1">
      <alignment horizontal="center" vertical="center"/>
    </xf>
    <xf numFmtId="164" fontId="2" fillId="0" borderId="9" xfId="41" applyNumberFormat="1" applyFont="1" applyFill="1" applyBorder="1" applyAlignment="1">
      <alignment horizontal="center" vertical="center" wrapText="1"/>
    </xf>
    <xf numFmtId="164" fontId="2" fillId="0" borderId="9" xfId="41" applyNumberFormat="1" applyFont="1" applyFill="1" applyBorder="1" applyAlignment="1">
      <alignment horizontal="center" vertical="center" wrapText="1"/>
    </xf>
    <xf numFmtId="9" fontId="3" fillId="0" borderId="14" xfId="40" applyFont="1" applyFill="1" applyBorder="1" applyAlignment="1">
      <alignment horizontal="center" vertical="center" wrapText="1"/>
    </xf>
    <xf numFmtId="37" fontId="3" fillId="0" borderId="13" xfId="41" applyNumberFormat="1" applyFont="1" applyFill="1" applyBorder="1" applyAlignment="1">
      <alignment horizontal="center" vertical="center" wrapText="1"/>
    </xf>
    <xf numFmtId="37" fontId="2" fillId="0" borderId="13" xfId="41" applyNumberFormat="1" applyFont="1" applyFill="1" applyBorder="1" applyAlignment="1">
      <alignment horizontal="center" vertical="center" wrapText="1"/>
    </xf>
    <xf numFmtId="43" fontId="2" fillId="0" borderId="13" xfId="41" applyFont="1" applyFill="1" applyBorder="1" applyAlignment="1">
      <alignment horizontal="center" vertical="center" wrapText="1"/>
    </xf>
    <xf numFmtId="9" fontId="2" fillId="0" borderId="14" xfId="40" applyFont="1" applyFill="1" applyBorder="1" applyAlignment="1">
      <alignment horizontal="center" vertical="center" wrapText="1"/>
    </xf>
    <xf numFmtId="165" fontId="2" fillId="0" borderId="14" xfId="4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164" fontId="2" fillId="0" borderId="9" xfId="41" applyNumberFormat="1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2" fillId="0" borderId="13" xfId="41" applyNumberFormat="1" applyFont="1" applyFill="1" applyBorder="1" applyAlignment="1">
      <alignment horizontal="center" vertical="center" wrapText="1"/>
    </xf>
    <xf numFmtId="3" fontId="2" fillId="0" borderId="13" xfId="4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25" borderId="9" xfId="0" applyFont="1" applyFill="1" applyBorder="1" applyAlignment="1">
      <alignment horizontal="center" vertical="center" wrapText="1"/>
    </xf>
    <xf numFmtId="164" fontId="2" fillId="0" borderId="0" xfId="41" applyNumberFormat="1" applyFont="1" applyFill="1" applyAlignment="1">
      <alignment horizontal="center" vertical="center"/>
    </xf>
    <xf numFmtId="37" fontId="3" fillId="0" borderId="13" xfId="41" quotePrefix="1" applyNumberFormat="1" applyFont="1" applyFill="1" applyBorder="1" applyAlignment="1">
      <alignment horizontal="center" vertical="center" wrapText="1"/>
    </xf>
    <xf numFmtId="164" fontId="2" fillId="26" borderId="9" xfId="41" applyNumberFormat="1" applyFont="1" applyFill="1" applyBorder="1" applyAlignment="1">
      <alignment horizontal="center" vertical="center"/>
    </xf>
    <xf numFmtId="164" fontId="2" fillId="26" borderId="9" xfId="41" applyNumberFormat="1" applyFont="1" applyFill="1" applyBorder="1" applyAlignment="1">
      <alignment horizontal="center" vertical="center" wrapText="1"/>
    </xf>
    <xf numFmtId="0" fontId="3" fillId="27" borderId="0" xfId="0" applyFont="1" applyFill="1" applyAlignment="1">
      <alignment horizontal="left" vertical="center"/>
    </xf>
    <xf numFmtId="164" fontId="3" fillId="27" borderId="0" xfId="41" applyNumberFormat="1" applyFont="1" applyFill="1" applyAlignment="1">
      <alignment horizontal="center" vertical="center"/>
    </xf>
    <xf numFmtId="164" fontId="2" fillId="27" borderId="0" xfId="41" applyNumberFormat="1" applyFont="1" applyFill="1" applyAlignment="1">
      <alignment horizontal="center" vertical="center"/>
    </xf>
    <xf numFmtId="0" fontId="3" fillId="27" borderId="0" xfId="0" applyFont="1" applyFill="1" applyAlignment="1">
      <alignment horizontal="center" vertical="center"/>
    </xf>
    <xf numFmtId="164" fontId="2" fillId="26" borderId="9" xfId="41" applyNumberFormat="1" applyFont="1" applyFill="1" applyBorder="1" applyAlignment="1">
      <alignment horizontal="right" vertical="center" wrapText="1"/>
    </xf>
    <xf numFmtId="9" fontId="2" fillId="26" borderId="9" xfId="40" applyFont="1" applyFill="1" applyBorder="1" applyAlignment="1">
      <alignment horizontal="right" vertical="center" wrapText="1"/>
    </xf>
    <xf numFmtId="9" fontId="2" fillId="26" borderId="9" xfId="40" applyFont="1" applyFill="1" applyBorder="1" applyAlignment="1">
      <alignment horizontal="center" vertical="center" wrapText="1"/>
    </xf>
    <xf numFmtId="164" fontId="2" fillId="0" borderId="9" xfId="41" applyNumberFormat="1" applyFont="1" applyFill="1" applyBorder="1" applyAlignment="1">
      <alignment horizontal="center" vertical="center" wrapText="1"/>
    </xf>
    <xf numFmtId="164" fontId="2" fillId="0" borderId="9" xfId="41" applyNumberFormat="1" applyFont="1" applyFill="1" applyBorder="1" applyAlignment="1">
      <alignment horizontal="right" vertical="center" wrapText="1"/>
    </xf>
    <xf numFmtId="164" fontId="2" fillId="26" borderId="9" xfId="41" applyNumberFormat="1" applyFont="1" applyFill="1" applyBorder="1" applyAlignment="1">
      <alignment horizontal="center" vertical="center" wrapText="1"/>
    </xf>
    <xf numFmtId="10" fontId="3" fillId="0" borderId="0" xfId="40" applyNumberFormat="1" applyFont="1" applyFill="1" applyBorder="1" applyAlignment="1">
      <alignment horizontal="center" vertical="center" wrapText="1"/>
    </xf>
    <xf numFmtId="10" fontId="2" fillId="0" borderId="0" xfId="40" applyNumberFormat="1" applyFont="1" applyFill="1" applyBorder="1" applyAlignment="1">
      <alignment horizontal="center" vertical="center" wrapText="1"/>
    </xf>
    <xf numFmtId="10" fontId="3" fillId="0" borderId="9" xfId="40" applyNumberFormat="1" applyFont="1" applyFill="1" applyBorder="1" applyAlignment="1">
      <alignment horizontal="center" vertical="center" wrapText="1"/>
    </xf>
    <xf numFmtId="9" fontId="3" fillId="0" borderId="0" xfId="40" applyNumberFormat="1" applyFont="1" applyFill="1" applyBorder="1" applyAlignment="1">
      <alignment horizontal="center" vertical="center" wrapText="1"/>
    </xf>
    <xf numFmtId="9" fontId="3" fillId="0" borderId="14" xfId="40" applyNumberFormat="1" applyFont="1" applyFill="1" applyBorder="1" applyAlignment="1">
      <alignment horizontal="center" vertical="center" wrapText="1"/>
    </xf>
    <xf numFmtId="164" fontId="2" fillId="0" borderId="9" xfId="4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2" fillId="25" borderId="12" xfId="41" applyNumberFormat="1" applyFont="1" applyFill="1" applyBorder="1" applyAlignment="1">
      <alignment horizontal="center" vertical="center" wrapText="1"/>
    </xf>
    <xf numFmtId="164" fontId="2" fillId="25" borderId="10" xfId="41" applyNumberFormat="1" applyFont="1" applyFill="1" applyBorder="1" applyAlignment="1">
      <alignment horizontal="center" vertical="center" wrapText="1"/>
    </xf>
    <xf numFmtId="164" fontId="2" fillId="25" borderId="11" xfId="41" applyNumberFormat="1" applyFont="1" applyFill="1" applyBorder="1" applyAlignment="1">
      <alignment horizontal="center" vertical="center" wrapText="1"/>
    </xf>
    <xf numFmtId="164" fontId="2" fillId="25" borderId="9" xfId="4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 indent="1"/>
    </xf>
    <xf numFmtId="164" fontId="2" fillId="0" borderId="9" xfId="41" applyNumberFormat="1" applyFont="1" applyFill="1" applyBorder="1" applyAlignment="1">
      <alignment horizontal="right" vertical="center" wrapText="1"/>
    </xf>
    <xf numFmtId="164" fontId="2" fillId="0" borderId="12" xfId="41" applyNumberFormat="1" applyFont="1" applyFill="1" applyBorder="1" applyAlignment="1">
      <alignment horizontal="center" vertical="center" wrapText="1"/>
    </xf>
    <xf numFmtId="164" fontId="2" fillId="0" borderId="10" xfId="41" applyNumberFormat="1" applyFont="1" applyFill="1" applyBorder="1" applyAlignment="1">
      <alignment horizontal="center" vertical="center" wrapText="1"/>
    </xf>
    <xf numFmtId="164" fontId="2" fillId="0" borderId="11" xfId="41" applyNumberFormat="1" applyFont="1" applyFill="1" applyBorder="1" applyAlignment="1">
      <alignment horizontal="center" vertical="center" wrapText="1"/>
    </xf>
    <xf numFmtId="164" fontId="2" fillId="0" borderId="9" xfId="41" applyNumberFormat="1" applyFont="1" applyBorder="1" applyAlignment="1">
      <alignment horizontal="center" vertical="center"/>
    </xf>
    <xf numFmtId="0" fontId="2" fillId="24" borderId="9" xfId="0" applyFont="1" applyFill="1" applyBorder="1" applyAlignment="1">
      <alignment horizontal="right" vertical="center"/>
    </xf>
    <xf numFmtId="164" fontId="2" fillId="26" borderId="9" xfId="41" applyNumberFormat="1" applyFont="1" applyFill="1" applyBorder="1" applyAlignment="1">
      <alignment horizontal="center" vertical="center" wrapText="1"/>
    </xf>
    <xf numFmtId="9" fontId="2" fillId="26" borderId="9" xfId="40" applyFont="1" applyFill="1" applyBorder="1" applyAlignment="1">
      <alignment horizontal="center" vertical="center" wrapText="1"/>
    </xf>
    <xf numFmtId="164" fontId="2" fillId="26" borderId="9" xfId="41" applyNumberFormat="1" applyFont="1" applyFill="1" applyBorder="1" applyAlignment="1">
      <alignment horizontal="right" vertical="center" wrapText="1"/>
    </xf>
    <xf numFmtId="0" fontId="2" fillId="26" borderId="9" xfId="0" applyFont="1" applyFill="1" applyBorder="1" applyAlignment="1">
      <alignment horizontal="center" vertical="center"/>
    </xf>
    <xf numFmtId="164" fontId="2" fillId="26" borderId="9" xfId="41" applyNumberFormat="1" applyFont="1" applyFill="1" applyBorder="1" applyAlignment="1">
      <alignment horizontal="center" vertical="center"/>
    </xf>
    <xf numFmtId="164" fontId="2" fillId="26" borderId="11" xfId="4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1" fillId="26" borderId="9" xfId="41" applyNumberFormat="1" applyFont="1" applyFill="1" applyBorder="1" applyAlignment="1">
      <alignment horizontal="center" vertical="center"/>
    </xf>
    <xf numFmtId="0" fontId="3" fillId="0" borderId="15" xfId="41" applyNumberFormat="1" applyFont="1" applyFill="1" applyBorder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1" builtinId="3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Percent" xfId="40" builtinId="5"/>
    <cellStyle name="Separador de milhares 2" xfId="42"/>
    <cellStyle name="Title" xfId="43"/>
    <cellStyle name="Warning Text" xfId="4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tabSelected="1" zoomScale="75" zoomScaleNormal="75" workbookViewId="0">
      <selection activeCell="A5" sqref="A5:A7"/>
    </sheetView>
  </sheetViews>
  <sheetFormatPr defaultRowHeight="12.75" x14ac:dyDescent="0.25"/>
  <cols>
    <col min="1" max="1" width="35.7109375" style="6" customWidth="1"/>
    <col min="2" max="2" width="8.85546875" style="15" bestFit="1" customWidth="1"/>
    <col min="3" max="3" width="9.7109375" style="15" bestFit="1" customWidth="1"/>
    <col min="4" max="4" width="10" style="15" bestFit="1" customWidth="1"/>
    <col min="5" max="5" width="10.28515625" style="15" bestFit="1" customWidth="1"/>
    <col min="6" max="6" width="9.7109375" style="15" bestFit="1" customWidth="1"/>
    <col min="7" max="7" width="10.28515625" style="15" bestFit="1" customWidth="1"/>
    <col min="8" max="8" width="7.5703125" style="15" bestFit="1" customWidth="1"/>
    <col min="9" max="9" width="9.7109375" style="15" bestFit="1" customWidth="1"/>
    <col min="10" max="10" width="7.5703125" style="15" bestFit="1" customWidth="1"/>
    <col min="11" max="11" width="13.140625" style="15" customWidth="1"/>
    <col min="12" max="12" width="7.5703125" style="15" bestFit="1" customWidth="1"/>
    <col min="13" max="13" width="9.7109375" style="15" bestFit="1" customWidth="1"/>
    <col min="14" max="14" width="7.5703125" style="15" bestFit="1" customWidth="1"/>
    <col min="15" max="15" width="9.7109375" style="15" bestFit="1" customWidth="1"/>
    <col min="16" max="16" width="6.85546875" style="15" bestFit="1" customWidth="1"/>
    <col min="17" max="17" width="9.7109375" style="15" bestFit="1" customWidth="1"/>
    <col min="18" max="18" width="6.85546875" style="15" bestFit="1" customWidth="1"/>
    <col min="19" max="19" width="8.7109375" style="15" bestFit="1" customWidth="1"/>
    <col min="20" max="20" width="6.42578125" style="15" bestFit="1" customWidth="1"/>
    <col min="21" max="21" width="8.7109375" style="15" bestFit="1" customWidth="1"/>
    <col min="22" max="22" width="9.42578125" style="4" bestFit="1" customWidth="1"/>
    <col min="23" max="23" width="9.7109375" style="4" bestFit="1" customWidth="1"/>
    <col min="24" max="24" width="9.85546875" style="4" customWidth="1"/>
    <col min="25" max="25" width="11.5703125" style="1" bestFit="1" customWidth="1"/>
    <col min="26" max="16384" width="9.140625" style="1"/>
  </cols>
  <sheetData>
    <row r="1" spans="1:24" s="2" customFormat="1" x14ac:dyDescent="0.2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s="2" customFormat="1" x14ac:dyDescent="0.25">
      <c r="A2" s="77" t="s">
        <v>17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s="2" customFormat="1" x14ac:dyDescent="0.25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3"/>
      <c r="W3" s="3"/>
      <c r="X3" s="3"/>
    </row>
    <row r="4" spans="1:24" s="2" customFormat="1" x14ac:dyDescent="0.25">
      <c r="A4" s="5"/>
      <c r="B4" s="79">
        <v>2015</v>
      </c>
      <c r="C4" s="79"/>
      <c r="D4" s="79"/>
      <c r="E4" s="79"/>
      <c r="F4" s="79">
        <v>2016</v>
      </c>
      <c r="G4" s="79"/>
      <c r="H4" s="79"/>
      <c r="I4" s="79"/>
      <c r="J4" s="79">
        <v>2017</v>
      </c>
      <c r="K4" s="79"/>
      <c r="L4" s="79"/>
      <c r="M4" s="79"/>
      <c r="N4" s="79">
        <v>2018</v>
      </c>
      <c r="O4" s="79"/>
      <c r="P4" s="79"/>
      <c r="Q4" s="79"/>
      <c r="R4" s="79">
        <v>2019</v>
      </c>
      <c r="S4" s="79"/>
      <c r="T4" s="79"/>
      <c r="U4" s="79"/>
      <c r="V4" s="3"/>
      <c r="W4" s="3"/>
      <c r="X4" s="3"/>
    </row>
    <row r="5" spans="1:24" x14ac:dyDescent="0.25">
      <c r="A5" s="73" t="s">
        <v>0</v>
      </c>
      <c r="B5" s="78" t="s">
        <v>6</v>
      </c>
      <c r="C5" s="78"/>
      <c r="D5" s="78"/>
      <c r="E5" s="78"/>
      <c r="F5" s="74" t="s">
        <v>8</v>
      </c>
      <c r="G5" s="74"/>
      <c r="H5" s="74"/>
      <c r="I5" s="74"/>
      <c r="J5" s="74" t="s">
        <v>9</v>
      </c>
      <c r="K5" s="74"/>
      <c r="L5" s="74"/>
      <c r="M5" s="74"/>
      <c r="N5" s="74" t="s">
        <v>10</v>
      </c>
      <c r="O5" s="74"/>
      <c r="P5" s="74"/>
      <c r="Q5" s="74"/>
      <c r="R5" s="75" t="s">
        <v>11</v>
      </c>
      <c r="S5" s="74"/>
      <c r="T5" s="74"/>
      <c r="U5" s="74"/>
      <c r="V5" s="74" t="s">
        <v>4</v>
      </c>
      <c r="W5" s="74"/>
      <c r="X5" s="70" t="s">
        <v>12</v>
      </c>
    </row>
    <row r="6" spans="1:24" x14ac:dyDescent="0.25">
      <c r="A6" s="73"/>
      <c r="B6" s="74" t="s">
        <v>7</v>
      </c>
      <c r="C6" s="74"/>
      <c r="D6" s="74" t="s">
        <v>16</v>
      </c>
      <c r="E6" s="74"/>
      <c r="F6" s="74" t="s">
        <v>7</v>
      </c>
      <c r="G6" s="74"/>
      <c r="H6" s="74" t="s">
        <v>16</v>
      </c>
      <c r="I6" s="74"/>
      <c r="J6" s="74" t="s">
        <v>7</v>
      </c>
      <c r="K6" s="74"/>
      <c r="L6" s="74" t="s">
        <v>16</v>
      </c>
      <c r="M6" s="74"/>
      <c r="N6" s="74" t="s">
        <v>7</v>
      </c>
      <c r="O6" s="74"/>
      <c r="P6" s="74" t="s">
        <v>16</v>
      </c>
      <c r="Q6" s="74"/>
      <c r="R6" s="70" t="s">
        <v>7</v>
      </c>
      <c r="S6" s="70"/>
      <c r="T6" s="70" t="s">
        <v>16</v>
      </c>
      <c r="U6" s="70"/>
      <c r="V6" s="74"/>
      <c r="W6" s="74"/>
      <c r="X6" s="70"/>
    </row>
    <row r="7" spans="1:24" x14ac:dyDescent="0.25">
      <c r="A7" s="73"/>
      <c r="B7" s="40" t="s">
        <v>1</v>
      </c>
      <c r="C7" s="40" t="s">
        <v>3</v>
      </c>
      <c r="D7" s="40" t="s">
        <v>1</v>
      </c>
      <c r="E7" s="40" t="s">
        <v>3</v>
      </c>
      <c r="F7" s="40" t="s">
        <v>1</v>
      </c>
      <c r="G7" s="40" t="s">
        <v>3</v>
      </c>
      <c r="H7" s="40" t="s">
        <v>1</v>
      </c>
      <c r="I7" s="40" t="s">
        <v>3</v>
      </c>
      <c r="J7" s="40" t="s">
        <v>1</v>
      </c>
      <c r="K7" s="40" t="s">
        <v>3</v>
      </c>
      <c r="L7" s="40" t="s">
        <v>1</v>
      </c>
      <c r="M7" s="40" t="s">
        <v>3</v>
      </c>
      <c r="N7" s="40" t="s">
        <v>1</v>
      </c>
      <c r="O7" s="40" t="s">
        <v>3</v>
      </c>
      <c r="P7" s="40" t="s">
        <v>1</v>
      </c>
      <c r="Q7" s="40" t="s">
        <v>3</v>
      </c>
      <c r="R7" s="41" t="s">
        <v>1</v>
      </c>
      <c r="S7" s="41" t="s">
        <v>3</v>
      </c>
      <c r="T7" s="41" t="s">
        <v>1</v>
      </c>
      <c r="U7" s="41" t="s">
        <v>3</v>
      </c>
      <c r="V7" s="40" t="s">
        <v>1</v>
      </c>
      <c r="W7" s="40" t="s">
        <v>3</v>
      </c>
      <c r="X7" s="70"/>
    </row>
    <row r="8" spans="1:24" ht="25.5" x14ac:dyDescent="0.25">
      <c r="A8" s="29" t="s">
        <v>20</v>
      </c>
      <c r="B8" s="65"/>
      <c r="C8" s="66"/>
      <c r="D8" s="66"/>
      <c r="E8" s="67"/>
      <c r="F8" s="65"/>
      <c r="G8" s="66"/>
      <c r="H8" s="66"/>
      <c r="I8" s="67"/>
      <c r="J8" s="65"/>
      <c r="K8" s="66"/>
      <c r="L8" s="66"/>
      <c r="M8" s="67"/>
      <c r="N8" s="65"/>
      <c r="O8" s="66"/>
      <c r="P8" s="66"/>
      <c r="Q8" s="67"/>
      <c r="R8" s="65"/>
      <c r="S8" s="66"/>
      <c r="T8" s="66"/>
      <c r="U8" s="67"/>
      <c r="V8" s="68"/>
      <c r="W8" s="68"/>
      <c r="X8" s="68"/>
    </row>
    <row r="9" spans="1:24" ht="19.5" customHeight="1" x14ac:dyDescent="0.25">
      <c r="A9" s="29" t="s">
        <v>21</v>
      </c>
      <c r="B9" s="65"/>
      <c r="C9" s="66"/>
      <c r="D9" s="66"/>
      <c r="E9" s="67"/>
      <c r="F9" s="65"/>
      <c r="G9" s="66"/>
      <c r="H9" s="66"/>
      <c r="I9" s="67"/>
      <c r="J9" s="65"/>
      <c r="K9" s="66"/>
      <c r="L9" s="66"/>
      <c r="M9" s="67"/>
      <c r="N9" s="65"/>
      <c r="O9" s="66"/>
      <c r="P9" s="66"/>
      <c r="Q9" s="67"/>
      <c r="R9" s="65"/>
      <c r="S9" s="66"/>
      <c r="T9" s="66"/>
      <c r="U9" s="67"/>
      <c r="V9" s="57"/>
      <c r="W9" s="57"/>
      <c r="X9" s="57"/>
    </row>
    <row r="10" spans="1:24" x14ac:dyDescent="0.25">
      <c r="A10" s="58" t="s">
        <v>22</v>
      </c>
      <c r="B10" s="24"/>
      <c r="C10" s="24"/>
      <c r="D10" s="24">
        <f>D11*27200</f>
        <v>544</v>
      </c>
      <c r="E10" s="24"/>
      <c r="F10" s="24">
        <f>F11*27200</f>
        <v>2720</v>
      </c>
      <c r="G10" s="24"/>
      <c r="H10" s="24">
        <f>H11*27200</f>
        <v>6800</v>
      </c>
      <c r="I10" s="24"/>
      <c r="J10" s="24">
        <f>J11*27200</f>
        <v>8160</v>
      </c>
      <c r="K10" s="24"/>
      <c r="L10" s="24">
        <f>L11*27200</f>
        <v>6256</v>
      </c>
      <c r="M10" s="24"/>
      <c r="N10" s="24">
        <f>N11*27200</f>
        <v>2720</v>
      </c>
      <c r="O10" s="24"/>
      <c r="P10" s="24"/>
      <c r="Q10" s="24"/>
      <c r="R10" s="24"/>
      <c r="S10" s="24"/>
      <c r="T10" s="24"/>
      <c r="U10" s="24"/>
      <c r="V10" s="25">
        <f t="shared" ref="V10:W18" si="0">T10+R10+P10+N10+L10+J10+H10+F10+D10+B10</f>
        <v>27200</v>
      </c>
      <c r="W10" s="26">
        <v>0</v>
      </c>
      <c r="X10" s="25">
        <f t="shared" ref="X10:X19" si="1">SUM(V10:W10)</f>
        <v>27200</v>
      </c>
    </row>
    <row r="11" spans="1:24" x14ac:dyDescent="0.25">
      <c r="A11" s="58"/>
      <c r="B11" s="23"/>
      <c r="C11" s="23"/>
      <c r="D11" s="23">
        <v>0.02</v>
      </c>
      <c r="E11" s="23"/>
      <c r="F11" s="23">
        <v>0.1</v>
      </c>
      <c r="G11" s="23"/>
      <c r="H11" s="23">
        <v>0.25</v>
      </c>
      <c r="I11" s="23"/>
      <c r="J11" s="23">
        <v>0.3</v>
      </c>
      <c r="K11" s="23"/>
      <c r="L11" s="23">
        <v>0.23</v>
      </c>
      <c r="M11" s="23"/>
      <c r="N11" s="23">
        <v>0.1</v>
      </c>
      <c r="O11" s="23"/>
      <c r="P11" s="23"/>
      <c r="Q11" s="23"/>
      <c r="R11" s="23"/>
      <c r="S11" s="23"/>
      <c r="T11" s="23"/>
      <c r="U11" s="23"/>
      <c r="V11" s="27">
        <f t="shared" si="0"/>
        <v>1</v>
      </c>
      <c r="W11" s="27"/>
      <c r="X11" s="28">
        <f>X10/$X$77</f>
        <v>0.24285714285714285</v>
      </c>
    </row>
    <row r="12" spans="1:24" x14ac:dyDescent="0.25">
      <c r="A12" s="58" t="s">
        <v>43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f>N13*12000</f>
        <v>2400</v>
      </c>
      <c r="O12" s="24"/>
      <c r="P12" s="24">
        <f>P13*12000</f>
        <v>3600</v>
      </c>
      <c r="Q12" s="24"/>
      <c r="R12" s="24">
        <f>R13*12000</f>
        <v>4800</v>
      </c>
      <c r="S12" s="24"/>
      <c r="T12" s="24">
        <f>T13*12000</f>
        <v>1200</v>
      </c>
      <c r="U12" s="24"/>
      <c r="V12" s="25">
        <f t="shared" ref="V12:W17" si="2">T12+R12+P12+N12+L12+J12+H12+F12+D12+B12</f>
        <v>12000</v>
      </c>
      <c r="W12" s="26">
        <v>0</v>
      </c>
      <c r="X12" s="25">
        <f t="shared" si="1"/>
        <v>12000</v>
      </c>
    </row>
    <row r="13" spans="1:24" x14ac:dyDescent="0.25">
      <c r="A13" s="5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v>0.2</v>
      </c>
      <c r="O13" s="23"/>
      <c r="P13" s="23">
        <v>0.3</v>
      </c>
      <c r="Q13" s="23"/>
      <c r="R13" s="23">
        <v>0.4</v>
      </c>
      <c r="S13" s="23"/>
      <c r="T13" s="23">
        <v>0.1</v>
      </c>
      <c r="U13" s="23"/>
      <c r="V13" s="27">
        <f t="shared" si="2"/>
        <v>1</v>
      </c>
      <c r="W13" s="27"/>
      <c r="X13" s="28">
        <f>X12/$X$77</f>
        <v>0.10714285714285714</v>
      </c>
    </row>
    <row r="14" spans="1:24" x14ac:dyDescent="0.25">
      <c r="A14" s="58" t="s">
        <v>38</v>
      </c>
      <c r="B14" s="24"/>
      <c r="C14" s="24"/>
      <c r="D14" s="24"/>
      <c r="E14" s="24"/>
      <c r="F14" s="24">
        <f>F15*3000</f>
        <v>300</v>
      </c>
      <c r="G14" s="24"/>
      <c r="H14" s="24">
        <f>H15*3000</f>
        <v>600</v>
      </c>
      <c r="I14" s="24"/>
      <c r="J14" s="24">
        <f>J15*3000</f>
        <v>1200</v>
      </c>
      <c r="K14" s="24"/>
      <c r="L14" s="24">
        <f>L15*3000</f>
        <v>900</v>
      </c>
      <c r="M14" s="24"/>
      <c r="N14" s="24"/>
      <c r="O14" s="24"/>
      <c r="P14" s="24"/>
      <c r="Q14" s="24"/>
      <c r="R14" s="24"/>
      <c r="S14" s="24"/>
      <c r="T14" s="24"/>
      <c r="U14" s="24"/>
      <c r="V14" s="25">
        <f t="shared" si="2"/>
        <v>3000</v>
      </c>
      <c r="W14" s="26">
        <f t="shared" si="0"/>
        <v>0</v>
      </c>
      <c r="X14" s="25">
        <f t="shared" si="1"/>
        <v>3000</v>
      </c>
    </row>
    <row r="15" spans="1:24" x14ac:dyDescent="0.25">
      <c r="A15" s="58"/>
      <c r="B15" s="23"/>
      <c r="C15" s="23"/>
      <c r="D15" s="23"/>
      <c r="E15" s="23"/>
      <c r="F15" s="23">
        <v>0.1</v>
      </c>
      <c r="G15" s="23"/>
      <c r="H15" s="23">
        <v>0.2</v>
      </c>
      <c r="I15" s="23"/>
      <c r="J15" s="23">
        <v>0.4</v>
      </c>
      <c r="K15" s="23"/>
      <c r="L15" s="23">
        <v>0.3</v>
      </c>
      <c r="M15" s="23"/>
      <c r="N15" s="23"/>
      <c r="O15" s="23"/>
      <c r="P15" s="23"/>
      <c r="Q15" s="23"/>
      <c r="R15" s="23"/>
      <c r="S15" s="23"/>
      <c r="T15" s="23"/>
      <c r="U15" s="23"/>
      <c r="V15" s="27">
        <f t="shared" si="2"/>
        <v>0.99999999999999989</v>
      </c>
      <c r="W15" s="27"/>
      <c r="X15" s="28">
        <f>X14/$X$77</f>
        <v>2.6785714285714284E-2</v>
      </c>
    </row>
    <row r="16" spans="1:24" x14ac:dyDescent="0.25">
      <c r="A16" s="58" t="s">
        <v>39</v>
      </c>
      <c r="B16" s="24"/>
      <c r="C16" s="24"/>
      <c r="D16" s="24"/>
      <c r="E16" s="24"/>
      <c r="F16" s="24"/>
      <c r="G16" s="24"/>
      <c r="H16" s="24"/>
      <c r="I16" s="24">
        <f>I17*350</f>
        <v>350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6">
        <f t="shared" si="2"/>
        <v>0</v>
      </c>
      <c r="W16" s="25">
        <f>U16+S16+Q16+O16+M16+K16+I16+G16+E16+C16</f>
        <v>350</v>
      </c>
      <c r="X16" s="25">
        <f t="shared" si="1"/>
        <v>350</v>
      </c>
    </row>
    <row r="17" spans="1:25" x14ac:dyDescent="0.25">
      <c r="A17" s="58"/>
      <c r="B17" s="23"/>
      <c r="C17" s="23"/>
      <c r="D17" s="23"/>
      <c r="E17" s="23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7"/>
      <c r="W17" s="27">
        <f t="shared" si="2"/>
        <v>1</v>
      </c>
      <c r="X17" s="28">
        <f>X16/$X$77</f>
        <v>3.1250000000000002E-3</v>
      </c>
    </row>
    <row r="18" spans="1:25" s="7" customFormat="1" x14ac:dyDescent="0.25">
      <c r="A18" s="36" t="s">
        <v>4</v>
      </c>
      <c r="B18" s="26">
        <f t="shared" ref="B18:U18" si="3">B16+B14+B12+B10</f>
        <v>0</v>
      </c>
      <c r="C18" s="26">
        <f t="shared" si="3"/>
        <v>0</v>
      </c>
      <c r="D18" s="35">
        <f t="shared" si="3"/>
        <v>544</v>
      </c>
      <c r="E18" s="26">
        <f t="shared" si="3"/>
        <v>0</v>
      </c>
      <c r="F18" s="35">
        <f t="shared" si="3"/>
        <v>3020</v>
      </c>
      <c r="G18" s="35">
        <f t="shared" si="3"/>
        <v>0</v>
      </c>
      <c r="H18" s="35">
        <f t="shared" si="3"/>
        <v>7400</v>
      </c>
      <c r="I18" s="26">
        <f t="shared" si="3"/>
        <v>350</v>
      </c>
      <c r="J18" s="35">
        <f t="shared" si="3"/>
        <v>9360</v>
      </c>
      <c r="K18" s="26">
        <f t="shared" si="3"/>
        <v>0</v>
      </c>
      <c r="L18" s="35">
        <f t="shared" si="3"/>
        <v>7156</v>
      </c>
      <c r="M18" s="26">
        <f t="shared" si="3"/>
        <v>0</v>
      </c>
      <c r="N18" s="35">
        <f t="shared" si="3"/>
        <v>5120</v>
      </c>
      <c r="O18" s="26">
        <f t="shared" si="3"/>
        <v>0</v>
      </c>
      <c r="P18" s="35">
        <f t="shared" si="3"/>
        <v>3600</v>
      </c>
      <c r="Q18" s="26">
        <f t="shared" si="3"/>
        <v>0</v>
      </c>
      <c r="R18" s="35">
        <f t="shared" si="3"/>
        <v>4800</v>
      </c>
      <c r="S18" s="35">
        <f t="shared" si="3"/>
        <v>0</v>
      </c>
      <c r="T18" s="35">
        <f t="shared" si="3"/>
        <v>1200</v>
      </c>
      <c r="U18" s="35">
        <f t="shared" si="3"/>
        <v>0</v>
      </c>
      <c r="V18" s="25">
        <f t="shared" si="0"/>
        <v>42200</v>
      </c>
      <c r="W18" s="25">
        <f t="shared" si="0"/>
        <v>350</v>
      </c>
      <c r="X18" s="25">
        <f t="shared" si="1"/>
        <v>42550</v>
      </c>
    </row>
    <row r="19" spans="1:25" s="4" customFormat="1" x14ac:dyDescent="0.25">
      <c r="A19" s="31" t="s">
        <v>19</v>
      </c>
      <c r="B19" s="57">
        <f>SUM(B18:E18)</f>
        <v>544</v>
      </c>
      <c r="C19" s="57"/>
      <c r="D19" s="57"/>
      <c r="E19" s="57"/>
      <c r="F19" s="57">
        <f>SUM(F18:I18)</f>
        <v>10770</v>
      </c>
      <c r="G19" s="57"/>
      <c r="H19" s="57"/>
      <c r="I19" s="57"/>
      <c r="J19" s="57">
        <f>SUM(J18:M18)</f>
        <v>16516</v>
      </c>
      <c r="K19" s="57"/>
      <c r="L19" s="57"/>
      <c r="M19" s="57"/>
      <c r="N19" s="57">
        <f>SUM(N18:Q18)</f>
        <v>8720</v>
      </c>
      <c r="O19" s="57"/>
      <c r="P19" s="57"/>
      <c r="Q19" s="57"/>
      <c r="R19" s="57">
        <f>SUM(R18:U18)</f>
        <v>6000</v>
      </c>
      <c r="S19" s="57"/>
      <c r="T19" s="57"/>
      <c r="U19" s="57"/>
      <c r="V19" s="57">
        <f>SUM(V18:W18)</f>
        <v>42550</v>
      </c>
      <c r="W19" s="57"/>
      <c r="X19" s="21">
        <f t="shared" si="1"/>
        <v>42550</v>
      </c>
    </row>
    <row r="20" spans="1:25" x14ac:dyDescent="0.25">
      <c r="A20" s="37"/>
      <c r="B20" s="59"/>
      <c r="C20" s="60"/>
      <c r="D20" s="60"/>
      <c r="E20" s="61"/>
      <c r="F20" s="59"/>
      <c r="G20" s="60"/>
      <c r="H20" s="60"/>
      <c r="I20" s="61"/>
      <c r="J20" s="59"/>
      <c r="K20" s="60"/>
      <c r="L20" s="60"/>
      <c r="M20" s="61"/>
      <c r="N20" s="59"/>
      <c r="O20" s="60"/>
      <c r="P20" s="60"/>
      <c r="Q20" s="61"/>
      <c r="R20" s="59"/>
      <c r="S20" s="60"/>
      <c r="T20" s="60"/>
      <c r="U20" s="61"/>
      <c r="V20" s="62"/>
      <c r="W20" s="62"/>
      <c r="X20" s="62"/>
    </row>
    <row r="21" spans="1:25" ht="21.75" customHeight="1" x14ac:dyDescent="0.25">
      <c r="A21" s="29" t="s">
        <v>23</v>
      </c>
      <c r="B21" s="65"/>
      <c r="C21" s="66"/>
      <c r="D21" s="66"/>
      <c r="E21" s="67"/>
      <c r="F21" s="65"/>
      <c r="G21" s="66"/>
      <c r="H21" s="66"/>
      <c r="I21" s="67"/>
      <c r="J21" s="65"/>
      <c r="K21" s="66"/>
      <c r="L21" s="66"/>
      <c r="M21" s="67"/>
      <c r="N21" s="65"/>
      <c r="O21" s="66"/>
      <c r="P21" s="66"/>
      <c r="Q21" s="67"/>
      <c r="R21" s="65"/>
      <c r="S21" s="66"/>
      <c r="T21" s="66"/>
      <c r="U21" s="67"/>
      <c r="V21" s="57"/>
      <c r="W21" s="57"/>
      <c r="X21" s="57"/>
    </row>
    <row r="22" spans="1:25" s="17" customFormat="1" ht="25.5" x14ac:dyDescent="0.25">
      <c r="A22" s="32" t="s">
        <v>24</v>
      </c>
      <c r="B22" s="19">
        <f t="shared" ref="B22:W22" si="4">B23+B25+B27+B29</f>
        <v>0</v>
      </c>
      <c r="C22" s="19">
        <f t="shared" si="4"/>
        <v>0</v>
      </c>
      <c r="D22" s="19">
        <f t="shared" si="4"/>
        <v>0</v>
      </c>
      <c r="E22" s="19">
        <f t="shared" si="4"/>
        <v>252</v>
      </c>
      <c r="F22" s="19">
        <f t="shared" si="4"/>
        <v>0</v>
      </c>
      <c r="G22" s="19">
        <f t="shared" si="4"/>
        <v>1260</v>
      </c>
      <c r="H22" s="19">
        <f t="shared" si="4"/>
        <v>0</v>
      </c>
      <c r="I22" s="19">
        <f t="shared" si="4"/>
        <v>1890</v>
      </c>
      <c r="J22" s="19">
        <f t="shared" si="4"/>
        <v>0</v>
      </c>
      <c r="K22" s="19">
        <f t="shared" si="4"/>
        <v>6585</v>
      </c>
      <c r="L22" s="19">
        <f t="shared" si="4"/>
        <v>0</v>
      </c>
      <c r="M22" s="19">
        <f t="shared" si="4"/>
        <v>14715</v>
      </c>
      <c r="N22" s="19">
        <f t="shared" si="4"/>
        <v>0</v>
      </c>
      <c r="O22" s="19">
        <f t="shared" si="4"/>
        <v>10020</v>
      </c>
      <c r="P22" s="19">
        <f t="shared" si="4"/>
        <v>0</v>
      </c>
      <c r="Q22" s="19">
        <f t="shared" si="4"/>
        <v>7357.5</v>
      </c>
      <c r="R22" s="19">
        <f t="shared" si="4"/>
        <v>0</v>
      </c>
      <c r="S22" s="19">
        <f t="shared" si="4"/>
        <v>7105.5</v>
      </c>
      <c r="T22" s="19">
        <f t="shared" si="4"/>
        <v>0</v>
      </c>
      <c r="U22" s="19">
        <f t="shared" si="4"/>
        <v>4065</v>
      </c>
      <c r="V22" s="19">
        <f t="shared" si="4"/>
        <v>0</v>
      </c>
      <c r="W22" s="19">
        <f t="shared" si="4"/>
        <v>53250</v>
      </c>
      <c r="X22" s="19">
        <f>SUM(X23:X30)</f>
        <v>53250.475446428572</v>
      </c>
    </row>
    <row r="23" spans="1:25" s="17" customFormat="1" x14ac:dyDescent="0.25">
      <c r="A23" s="63" t="s">
        <v>48</v>
      </c>
      <c r="B23" s="24"/>
      <c r="C23" s="24"/>
      <c r="D23" s="24"/>
      <c r="E23" s="24">
        <f>E24*12600</f>
        <v>252</v>
      </c>
      <c r="F23" s="24"/>
      <c r="G23" s="24">
        <f>G24*12600</f>
        <v>1260</v>
      </c>
      <c r="H23" s="24"/>
      <c r="I23" s="24">
        <f>I24*12600</f>
        <v>1890</v>
      </c>
      <c r="J23" s="24"/>
      <c r="K23" s="24">
        <f>K24*12600</f>
        <v>2520</v>
      </c>
      <c r="L23" s="24"/>
      <c r="M23" s="24">
        <f>M24*12600</f>
        <v>2520</v>
      </c>
      <c r="N23" s="24"/>
      <c r="O23" s="24">
        <f>O24*12600</f>
        <v>1890</v>
      </c>
      <c r="P23" s="24"/>
      <c r="Q23" s="24">
        <f>Q24*12600</f>
        <v>1260</v>
      </c>
      <c r="R23" s="24"/>
      <c r="S23" s="24">
        <f>S24*12600</f>
        <v>1008</v>
      </c>
      <c r="T23" s="24"/>
      <c r="U23" s="24"/>
      <c r="V23" s="26">
        <f t="shared" ref="V23:W23" si="5">T23+R23+P23+N23+L23+J23+H23+F23+D23+B23</f>
        <v>0</v>
      </c>
      <c r="W23" s="25">
        <f t="shared" si="5"/>
        <v>12600</v>
      </c>
      <c r="X23" s="25">
        <f>SUM(V23:W23)</f>
        <v>12600</v>
      </c>
      <c r="Y23" s="20"/>
    </row>
    <row r="24" spans="1:25" s="17" customFormat="1" x14ac:dyDescent="0.25">
      <c r="A24" s="63"/>
      <c r="B24" s="23"/>
      <c r="C24" s="23"/>
      <c r="D24" s="23"/>
      <c r="E24" s="23">
        <v>0.02</v>
      </c>
      <c r="F24" s="23"/>
      <c r="G24" s="23">
        <v>0.1</v>
      </c>
      <c r="H24" s="23"/>
      <c r="I24" s="23">
        <v>0.15</v>
      </c>
      <c r="J24" s="23"/>
      <c r="K24" s="23">
        <v>0.2</v>
      </c>
      <c r="L24" s="23"/>
      <c r="M24" s="23">
        <v>0.2</v>
      </c>
      <c r="N24" s="23"/>
      <c r="O24" s="23">
        <v>0.15</v>
      </c>
      <c r="P24" s="23"/>
      <c r="Q24" s="23">
        <v>0.1</v>
      </c>
      <c r="R24" s="23"/>
      <c r="S24" s="23">
        <v>0.08</v>
      </c>
      <c r="T24" s="23"/>
      <c r="U24" s="23"/>
      <c r="V24" s="27"/>
      <c r="W24" s="27">
        <f>U24+S24+Q24+O24+M24+K24+I24+G24+E24+C24</f>
        <v>1</v>
      </c>
      <c r="X24" s="28">
        <f>X23/$X$77</f>
        <v>0.1125</v>
      </c>
      <c r="Y24" s="20"/>
    </row>
    <row r="25" spans="1:25" s="17" customFormat="1" x14ac:dyDescent="0.25">
      <c r="A25" s="63" t="s">
        <v>45</v>
      </c>
      <c r="B25" s="24"/>
      <c r="C25" s="24"/>
      <c r="D25" s="24"/>
      <c r="E25" s="24"/>
      <c r="F25" s="24"/>
      <c r="G25" s="24"/>
      <c r="H25" s="24"/>
      <c r="I25" s="24"/>
      <c r="J25" s="24"/>
      <c r="K25" s="24">
        <f>K26*15500</f>
        <v>1550</v>
      </c>
      <c r="L25" s="24"/>
      <c r="M25" s="24">
        <f>M26*15500</f>
        <v>4650</v>
      </c>
      <c r="N25" s="24"/>
      <c r="O25" s="24">
        <f>O26*15500</f>
        <v>3100</v>
      </c>
      <c r="P25" s="24"/>
      <c r="Q25" s="24">
        <f>Q26*15500</f>
        <v>2325</v>
      </c>
      <c r="R25" s="24"/>
      <c r="S25" s="24">
        <f>S26*15500</f>
        <v>2325</v>
      </c>
      <c r="T25" s="24"/>
      <c r="U25" s="24">
        <f>U26*15500</f>
        <v>1550</v>
      </c>
      <c r="V25" s="26">
        <f t="shared" ref="V25" si="6">T25+R25+P25+N25+L25+J25+H25+F25+D25+B25</f>
        <v>0</v>
      </c>
      <c r="W25" s="25">
        <f t="shared" ref="W25:W28" si="7">U25+S25+Q25+O25+M25+K25+I25+G25+E25+C25</f>
        <v>15500</v>
      </c>
      <c r="X25" s="25">
        <f t="shared" ref="X25" si="8">SUM(V25:W25)</f>
        <v>15500</v>
      </c>
    </row>
    <row r="26" spans="1:25" s="17" customFormat="1" x14ac:dyDescent="0.25">
      <c r="A26" s="63"/>
      <c r="B26" s="23"/>
      <c r="C26" s="23"/>
      <c r="D26" s="23"/>
      <c r="E26" s="23"/>
      <c r="F26" s="23"/>
      <c r="G26" s="23"/>
      <c r="H26" s="23"/>
      <c r="I26" s="23"/>
      <c r="J26" s="23"/>
      <c r="K26" s="23">
        <v>0.1</v>
      </c>
      <c r="L26" s="23"/>
      <c r="M26" s="23">
        <v>0.3</v>
      </c>
      <c r="N26" s="23"/>
      <c r="O26" s="23">
        <v>0.2</v>
      </c>
      <c r="P26" s="23"/>
      <c r="Q26" s="23">
        <v>0.15</v>
      </c>
      <c r="R26" s="23"/>
      <c r="S26" s="23">
        <v>0.15</v>
      </c>
      <c r="T26" s="23"/>
      <c r="U26" s="23">
        <v>0.1</v>
      </c>
      <c r="V26" s="27"/>
      <c r="W26" s="27">
        <f t="shared" si="7"/>
        <v>1.0000000000000002</v>
      </c>
      <c r="X26" s="28">
        <f>X25/$X$77</f>
        <v>0.13839285714285715</v>
      </c>
    </row>
    <row r="27" spans="1:25" s="17" customFormat="1" x14ac:dyDescent="0.25">
      <c r="A27" s="63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>
        <f>K28*20000</f>
        <v>2000</v>
      </c>
      <c r="L27" s="24"/>
      <c r="M27" s="24">
        <f>M28*20000</f>
        <v>6000</v>
      </c>
      <c r="N27" s="24"/>
      <c r="O27" s="24">
        <f>O28*20000</f>
        <v>4000</v>
      </c>
      <c r="P27" s="24"/>
      <c r="Q27" s="24">
        <f>Q28*20000</f>
        <v>3000</v>
      </c>
      <c r="R27" s="24"/>
      <c r="S27" s="24">
        <f>S28*20000</f>
        <v>3000</v>
      </c>
      <c r="T27" s="24"/>
      <c r="U27" s="24">
        <f>U28*20000</f>
        <v>2000</v>
      </c>
      <c r="V27" s="26">
        <f t="shared" ref="V27:W30" si="9">T27+R27+P27+N27+L27+J27+H27+F27+D27+B27</f>
        <v>0</v>
      </c>
      <c r="W27" s="25">
        <f t="shared" si="9"/>
        <v>20000</v>
      </c>
      <c r="X27" s="25">
        <f>SUM(V27:W27)</f>
        <v>20000</v>
      </c>
    </row>
    <row r="28" spans="1:25" s="17" customFormat="1" x14ac:dyDescent="0.25">
      <c r="A28" s="63"/>
      <c r="B28" s="23"/>
      <c r="C28" s="23"/>
      <c r="D28" s="23"/>
      <c r="E28" s="23"/>
      <c r="F28" s="23"/>
      <c r="G28" s="23"/>
      <c r="H28" s="23"/>
      <c r="I28" s="23"/>
      <c r="J28" s="23"/>
      <c r="K28" s="23">
        <v>0.1</v>
      </c>
      <c r="L28" s="23"/>
      <c r="M28" s="23">
        <v>0.3</v>
      </c>
      <c r="N28" s="23"/>
      <c r="O28" s="23">
        <v>0.2</v>
      </c>
      <c r="P28" s="23"/>
      <c r="Q28" s="23">
        <v>0.15</v>
      </c>
      <c r="R28" s="23"/>
      <c r="S28" s="23">
        <v>0.15</v>
      </c>
      <c r="T28" s="23"/>
      <c r="U28" s="23">
        <v>0.1</v>
      </c>
      <c r="V28" s="27"/>
      <c r="W28" s="27">
        <f t="shared" si="7"/>
        <v>1.0000000000000002</v>
      </c>
      <c r="X28" s="28">
        <f>X27/$X$77</f>
        <v>0.17857142857142858</v>
      </c>
    </row>
    <row r="29" spans="1:25" s="17" customFormat="1" x14ac:dyDescent="0.25">
      <c r="A29" s="63" t="s">
        <v>47</v>
      </c>
      <c r="B29" s="24"/>
      <c r="C29" s="24"/>
      <c r="D29" s="24"/>
      <c r="E29" s="24"/>
      <c r="F29" s="24"/>
      <c r="G29" s="24"/>
      <c r="H29" s="24"/>
      <c r="I29" s="24"/>
      <c r="J29" s="24"/>
      <c r="K29" s="24">
        <f>K30*5150</f>
        <v>515</v>
      </c>
      <c r="L29" s="24"/>
      <c r="M29" s="24">
        <f>M30*5150</f>
        <v>1545</v>
      </c>
      <c r="N29" s="24"/>
      <c r="O29" s="24">
        <f>O30*5150</f>
        <v>1030</v>
      </c>
      <c r="P29" s="24"/>
      <c r="Q29" s="24">
        <f>Q30*5150</f>
        <v>772.5</v>
      </c>
      <c r="R29" s="24"/>
      <c r="S29" s="24">
        <f>S30*5150</f>
        <v>772.5</v>
      </c>
      <c r="T29" s="24"/>
      <c r="U29" s="24">
        <f>U30*5150</f>
        <v>515</v>
      </c>
      <c r="V29" s="26">
        <f t="shared" si="9"/>
        <v>0</v>
      </c>
      <c r="W29" s="25">
        <f t="shared" si="9"/>
        <v>5150</v>
      </c>
      <c r="X29" s="25">
        <f t="shared" ref="X29" si="10">SUM(V29:W29)</f>
        <v>5150</v>
      </c>
    </row>
    <row r="30" spans="1:25" s="17" customFormat="1" x14ac:dyDescent="0.25">
      <c r="A30" s="63"/>
      <c r="B30" s="23"/>
      <c r="C30" s="23"/>
      <c r="D30" s="23"/>
      <c r="E30" s="23"/>
      <c r="F30" s="23"/>
      <c r="G30" s="23"/>
      <c r="H30" s="23"/>
      <c r="I30" s="23"/>
      <c r="J30" s="23"/>
      <c r="K30" s="23">
        <v>0.1</v>
      </c>
      <c r="L30" s="23"/>
      <c r="M30" s="23">
        <v>0.3</v>
      </c>
      <c r="N30" s="23"/>
      <c r="O30" s="23">
        <v>0.2</v>
      </c>
      <c r="P30" s="23"/>
      <c r="Q30" s="23">
        <v>0.15</v>
      </c>
      <c r="R30" s="23"/>
      <c r="S30" s="23">
        <v>0.15</v>
      </c>
      <c r="T30" s="23"/>
      <c r="U30" s="23">
        <v>0.1</v>
      </c>
      <c r="V30" s="27"/>
      <c r="W30" s="27">
        <f t="shared" si="9"/>
        <v>1.0000000000000002</v>
      </c>
      <c r="X30" s="28">
        <f>X29/$X$77</f>
        <v>4.598214285714286E-2</v>
      </c>
    </row>
    <row r="31" spans="1:25" x14ac:dyDescent="0.25">
      <c r="A31" s="58" t="s">
        <v>40</v>
      </c>
      <c r="B31" s="24"/>
      <c r="C31" s="24"/>
      <c r="D31" s="24"/>
      <c r="E31" s="24"/>
      <c r="F31" s="24">
        <f>F32*2600</f>
        <v>650</v>
      </c>
      <c r="G31" s="24"/>
      <c r="H31" s="24">
        <f>H32*2600</f>
        <v>1300</v>
      </c>
      <c r="I31" s="24"/>
      <c r="J31" s="24">
        <f>J32*2600</f>
        <v>650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>T31+R31+P31+N31+L31+J31+H31+F31+D31+B31</f>
        <v>2600</v>
      </c>
      <c r="W31" s="26">
        <f>U31+S31+Q31+O31+M31+K31+I31+G31+E31+C31</f>
        <v>0</v>
      </c>
      <c r="X31" s="25">
        <f t="shared" ref="X31" si="11">SUM(V31:W31)</f>
        <v>2600</v>
      </c>
    </row>
    <row r="32" spans="1:25" x14ac:dyDescent="0.25">
      <c r="A32" s="58"/>
      <c r="B32" s="23"/>
      <c r="C32" s="23"/>
      <c r="D32" s="23"/>
      <c r="E32" s="23"/>
      <c r="F32" s="23">
        <v>0.25</v>
      </c>
      <c r="G32" s="23"/>
      <c r="H32" s="23">
        <v>0.5</v>
      </c>
      <c r="I32" s="23"/>
      <c r="J32" s="23">
        <v>0.25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7">
        <f t="shared" ref="V32" si="12">T32+R32+P32+N32+L32+J32+H32+F32+D32+B32</f>
        <v>1</v>
      </c>
      <c r="W32" s="27"/>
      <c r="X32" s="28">
        <f>X31/$X$77</f>
        <v>2.3214285714285715E-2</v>
      </c>
    </row>
    <row r="33" spans="1:24" s="7" customFormat="1" x14ac:dyDescent="0.25">
      <c r="A33" s="36" t="s">
        <v>4</v>
      </c>
      <c r="B33" s="34">
        <f t="shared" ref="B33:W33" si="13">B31+B22</f>
        <v>0</v>
      </c>
      <c r="C33" s="34">
        <f t="shared" si="13"/>
        <v>0</v>
      </c>
      <c r="D33" s="34">
        <f t="shared" si="13"/>
        <v>0</v>
      </c>
      <c r="E33" s="34">
        <f t="shared" si="13"/>
        <v>252</v>
      </c>
      <c r="F33" s="34">
        <f t="shared" si="13"/>
        <v>650</v>
      </c>
      <c r="G33" s="34">
        <f t="shared" si="13"/>
        <v>1260</v>
      </c>
      <c r="H33" s="34">
        <f t="shared" si="13"/>
        <v>1300</v>
      </c>
      <c r="I33" s="34">
        <f t="shared" si="13"/>
        <v>1890</v>
      </c>
      <c r="J33" s="34">
        <f t="shared" si="13"/>
        <v>650</v>
      </c>
      <c r="K33" s="34">
        <f t="shared" si="13"/>
        <v>6585</v>
      </c>
      <c r="L33" s="34">
        <f t="shared" si="13"/>
        <v>0</v>
      </c>
      <c r="M33" s="34">
        <f t="shared" si="13"/>
        <v>14715</v>
      </c>
      <c r="N33" s="34">
        <f t="shared" si="13"/>
        <v>0</v>
      </c>
      <c r="O33" s="34">
        <f t="shared" si="13"/>
        <v>10020</v>
      </c>
      <c r="P33" s="34">
        <f t="shared" si="13"/>
        <v>0</v>
      </c>
      <c r="Q33" s="34">
        <f t="shared" si="13"/>
        <v>7357.5</v>
      </c>
      <c r="R33" s="34">
        <f t="shared" si="13"/>
        <v>0</v>
      </c>
      <c r="S33" s="34">
        <f t="shared" si="13"/>
        <v>7105.5</v>
      </c>
      <c r="T33" s="34">
        <f t="shared" si="13"/>
        <v>0</v>
      </c>
      <c r="U33" s="34">
        <f t="shared" si="13"/>
        <v>4065</v>
      </c>
      <c r="V33" s="34">
        <f t="shared" si="13"/>
        <v>2600</v>
      </c>
      <c r="W33" s="34">
        <f t="shared" si="13"/>
        <v>53250</v>
      </c>
      <c r="X33" s="25">
        <f>X22+X31</f>
        <v>55850.475446428572</v>
      </c>
    </row>
    <row r="34" spans="1:24" s="4" customFormat="1" x14ac:dyDescent="0.25">
      <c r="A34" s="31" t="s">
        <v>19</v>
      </c>
      <c r="B34" s="57">
        <f>SUM(B33:E33)</f>
        <v>252</v>
      </c>
      <c r="C34" s="57"/>
      <c r="D34" s="57"/>
      <c r="E34" s="57"/>
      <c r="F34" s="57">
        <f t="shared" ref="F34" si="14">SUM(F33:I33)</f>
        <v>5100</v>
      </c>
      <c r="G34" s="57"/>
      <c r="H34" s="57"/>
      <c r="I34" s="57"/>
      <c r="J34" s="57">
        <f t="shared" ref="J34" si="15">SUM(J33:M33)</f>
        <v>21950</v>
      </c>
      <c r="K34" s="57"/>
      <c r="L34" s="57"/>
      <c r="M34" s="57"/>
      <c r="N34" s="57">
        <f t="shared" ref="N34" si="16">SUM(N33:Q33)</f>
        <v>17377.5</v>
      </c>
      <c r="O34" s="57"/>
      <c r="P34" s="57"/>
      <c r="Q34" s="57"/>
      <c r="R34" s="57">
        <f t="shared" ref="R34" si="17">SUM(R33:U33)</f>
        <v>11170.5</v>
      </c>
      <c r="S34" s="57"/>
      <c r="T34" s="57"/>
      <c r="U34" s="57"/>
      <c r="V34" s="57">
        <f>SUM(V33:W33)</f>
        <v>55850</v>
      </c>
      <c r="W34" s="57"/>
      <c r="X34" s="21">
        <f>SUM(V34:W34)</f>
        <v>55850</v>
      </c>
    </row>
    <row r="35" spans="1:24" x14ac:dyDescent="0.25">
      <c r="A35" s="37"/>
      <c r="B35" s="59"/>
      <c r="C35" s="60"/>
      <c r="D35" s="60"/>
      <c r="E35" s="61"/>
      <c r="F35" s="59"/>
      <c r="G35" s="60"/>
      <c r="H35" s="60"/>
      <c r="I35" s="61"/>
      <c r="J35" s="59"/>
      <c r="K35" s="60"/>
      <c r="L35" s="60"/>
      <c r="M35" s="61"/>
      <c r="N35" s="59"/>
      <c r="O35" s="60"/>
      <c r="P35" s="60"/>
      <c r="Q35" s="61"/>
      <c r="R35" s="59"/>
      <c r="S35" s="60"/>
      <c r="T35" s="60"/>
      <c r="U35" s="61"/>
      <c r="V35" s="62"/>
      <c r="W35" s="62"/>
      <c r="X35" s="62"/>
    </row>
    <row r="36" spans="1:24" s="4" customFormat="1" x14ac:dyDescent="0.25">
      <c r="A36" s="64" t="s">
        <v>28</v>
      </c>
      <c r="B36" s="57" t="s">
        <v>1</v>
      </c>
      <c r="C36" s="57"/>
      <c r="D36" s="57" t="s">
        <v>3</v>
      </c>
      <c r="E36" s="57"/>
      <c r="F36" s="57" t="s">
        <v>1</v>
      </c>
      <c r="G36" s="57"/>
      <c r="H36" s="57" t="s">
        <v>3</v>
      </c>
      <c r="I36" s="57"/>
      <c r="J36" s="57" t="s">
        <v>1</v>
      </c>
      <c r="K36" s="57"/>
      <c r="L36" s="57" t="s">
        <v>3</v>
      </c>
      <c r="M36" s="57"/>
      <c r="N36" s="57" t="s">
        <v>1</v>
      </c>
      <c r="O36" s="57"/>
      <c r="P36" s="57" t="s">
        <v>3</v>
      </c>
      <c r="Q36" s="57"/>
      <c r="R36" s="57" t="s">
        <v>1</v>
      </c>
      <c r="S36" s="57"/>
      <c r="T36" s="57" t="s">
        <v>3</v>
      </c>
      <c r="U36" s="57"/>
      <c r="V36" s="12" t="s">
        <v>1</v>
      </c>
      <c r="W36" s="12" t="s">
        <v>3</v>
      </c>
      <c r="X36" s="21" t="s">
        <v>4</v>
      </c>
    </row>
    <row r="37" spans="1:24" s="4" customFormat="1" x14ac:dyDescent="0.25">
      <c r="A37" s="64"/>
      <c r="B37" s="57">
        <f>B18+B33+D18+D33</f>
        <v>544</v>
      </c>
      <c r="C37" s="57"/>
      <c r="D37" s="57">
        <f>C18+C33+E18+E33</f>
        <v>252</v>
      </c>
      <c r="E37" s="57"/>
      <c r="F37" s="57">
        <f>F18+F33+H18+H33</f>
        <v>12370</v>
      </c>
      <c r="G37" s="57"/>
      <c r="H37" s="57">
        <f>G18+G33+I18+I33</f>
        <v>3500</v>
      </c>
      <c r="I37" s="57"/>
      <c r="J37" s="57">
        <f>J18+J33+L18+L33</f>
        <v>17166</v>
      </c>
      <c r="K37" s="57"/>
      <c r="L37" s="57">
        <f>K18+K33+M18+M33</f>
        <v>21300</v>
      </c>
      <c r="M37" s="57"/>
      <c r="N37" s="57">
        <f>N18+N33+P18+P33</f>
        <v>8720</v>
      </c>
      <c r="O37" s="57"/>
      <c r="P37" s="57">
        <f>O18+O33+Q18+Q33</f>
        <v>17377.5</v>
      </c>
      <c r="Q37" s="57"/>
      <c r="R37" s="57">
        <f>R18+R33+T18+T33</f>
        <v>6000</v>
      </c>
      <c r="S37" s="57"/>
      <c r="T37" s="57">
        <f>S18+S33+U18+U33</f>
        <v>11170.5</v>
      </c>
      <c r="U37" s="57"/>
      <c r="V37" s="21">
        <f>B37+F37+J37+N37+R37</f>
        <v>44800</v>
      </c>
      <c r="W37" s="21">
        <f>D37+H37+L37+P37+T37</f>
        <v>53600</v>
      </c>
      <c r="X37" s="21">
        <f>SUM(V37:W37)</f>
        <v>98400</v>
      </c>
    </row>
    <row r="38" spans="1:24" s="4" customFormat="1" ht="25.5" x14ac:dyDescent="0.25">
      <c r="A38" s="31" t="s">
        <v>29</v>
      </c>
      <c r="B38" s="57">
        <f>SUM(B37:E37)</f>
        <v>796</v>
      </c>
      <c r="C38" s="57"/>
      <c r="D38" s="57"/>
      <c r="E38" s="57"/>
      <c r="F38" s="57">
        <f>SUM(F37:I37)</f>
        <v>15870</v>
      </c>
      <c r="G38" s="57"/>
      <c r="H38" s="57"/>
      <c r="I38" s="57"/>
      <c r="J38" s="57">
        <f>SUM(J37:M37)</f>
        <v>38466</v>
      </c>
      <c r="K38" s="57"/>
      <c r="L38" s="57"/>
      <c r="M38" s="57"/>
      <c r="N38" s="57">
        <f>SUM(N37:Q37)</f>
        <v>26097.5</v>
      </c>
      <c r="O38" s="57"/>
      <c r="P38" s="57"/>
      <c r="Q38" s="57"/>
      <c r="R38" s="57">
        <f>SUM(R37:U37)</f>
        <v>17170.5</v>
      </c>
      <c r="S38" s="57"/>
      <c r="T38" s="57"/>
      <c r="U38" s="57"/>
      <c r="V38" s="57">
        <f>SUM(V37:W37)</f>
        <v>98400</v>
      </c>
      <c r="W38" s="57"/>
      <c r="X38" s="21">
        <f>SUM(V38:W38)</f>
        <v>98400</v>
      </c>
    </row>
    <row r="39" spans="1:24" x14ac:dyDescent="0.25">
      <c r="A39" s="37"/>
      <c r="B39" s="59"/>
      <c r="C39" s="60"/>
      <c r="D39" s="60"/>
      <c r="E39" s="61"/>
      <c r="F39" s="59"/>
      <c r="G39" s="60"/>
      <c r="H39" s="60"/>
      <c r="I39" s="61"/>
      <c r="J39" s="59"/>
      <c r="K39" s="60"/>
      <c r="L39" s="60"/>
      <c r="M39" s="61"/>
      <c r="N39" s="59"/>
      <c r="O39" s="60"/>
      <c r="P39" s="60"/>
      <c r="Q39" s="61"/>
      <c r="R39" s="59"/>
      <c r="S39" s="60"/>
      <c r="T39" s="60"/>
      <c r="U39" s="61"/>
      <c r="V39" s="62"/>
      <c r="W39" s="62"/>
      <c r="X39" s="62"/>
    </row>
    <row r="40" spans="1:24" ht="32.25" customHeight="1" x14ac:dyDescent="0.25">
      <c r="A40" s="29" t="s">
        <v>25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19.5" customHeight="1" x14ac:dyDescent="0.25">
      <c r="A41" s="33" t="s">
        <v>13</v>
      </c>
      <c r="B41" s="21">
        <f>B42+B44+B46</f>
        <v>0</v>
      </c>
      <c r="C41" s="21">
        <f t="shared" ref="C41:W41" si="18">C42+C44+C46</f>
        <v>0</v>
      </c>
      <c r="D41" s="21">
        <f t="shared" si="18"/>
        <v>231</v>
      </c>
      <c r="E41" s="21">
        <f t="shared" si="18"/>
        <v>44</v>
      </c>
      <c r="F41" s="21">
        <f t="shared" si="18"/>
        <v>231</v>
      </c>
      <c r="G41" s="21">
        <f t="shared" si="18"/>
        <v>44</v>
      </c>
      <c r="H41" s="21">
        <f t="shared" si="18"/>
        <v>231</v>
      </c>
      <c r="I41" s="21">
        <f t="shared" si="18"/>
        <v>44</v>
      </c>
      <c r="J41" s="21">
        <f t="shared" si="18"/>
        <v>481</v>
      </c>
      <c r="K41" s="21">
        <f t="shared" si="18"/>
        <v>44</v>
      </c>
      <c r="L41" s="21">
        <f t="shared" si="18"/>
        <v>231</v>
      </c>
      <c r="M41" s="21">
        <f t="shared" si="18"/>
        <v>44</v>
      </c>
      <c r="N41" s="21">
        <f t="shared" si="18"/>
        <v>231</v>
      </c>
      <c r="O41" s="21">
        <f t="shared" si="18"/>
        <v>44</v>
      </c>
      <c r="P41" s="21">
        <f t="shared" si="18"/>
        <v>231</v>
      </c>
      <c r="Q41" s="21">
        <f t="shared" si="18"/>
        <v>44</v>
      </c>
      <c r="R41" s="21">
        <f t="shared" si="18"/>
        <v>231</v>
      </c>
      <c r="S41" s="21">
        <f t="shared" si="18"/>
        <v>44</v>
      </c>
      <c r="T41" s="21">
        <f t="shared" si="18"/>
        <v>252</v>
      </c>
      <c r="U41" s="21">
        <f t="shared" si="18"/>
        <v>48</v>
      </c>
      <c r="V41" s="21">
        <f t="shared" si="18"/>
        <v>2350</v>
      </c>
      <c r="W41" s="21">
        <f t="shared" si="18"/>
        <v>400</v>
      </c>
      <c r="X41" s="21">
        <f t="shared" ref="X41:X59" si="19">SUM(V41:W41)</f>
        <v>2750</v>
      </c>
    </row>
    <row r="42" spans="1:24" s="17" customFormat="1" x14ac:dyDescent="0.25">
      <c r="A42" s="63" t="s">
        <v>41</v>
      </c>
      <c r="B42" s="24"/>
      <c r="C42" s="24"/>
      <c r="D42" s="24">
        <f>D43*2100</f>
        <v>231</v>
      </c>
      <c r="E42" s="24">
        <f>E43*400</f>
        <v>44</v>
      </c>
      <c r="F42" s="24">
        <f>F43*2100</f>
        <v>231</v>
      </c>
      <c r="G42" s="24">
        <f>G43*400</f>
        <v>44</v>
      </c>
      <c r="H42" s="24">
        <f>H43*2100</f>
        <v>231</v>
      </c>
      <c r="I42" s="24">
        <f>I43*400</f>
        <v>44</v>
      </c>
      <c r="J42" s="24">
        <f>J43*2100</f>
        <v>231</v>
      </c>
      <c r="K42" s="24">
        <f>K43*400</f>
        <v>44</v>
      </c>
      <c r="L42" s="24">
        <f>L43*2100</f>
        <v>231</v>
      </c>
      <c r="M42" s="24">
        <f>M43*400</f>
        <v>44</v>
      </c>
      <c r="N42" s="24">
        <f>N43*2100</f>
        <v>231</v>
      </c>
      <c r="O42" s="24">
        <f>O43*400</f>
        <v>44</v>
      </c>
      <c r="P42" s="24">
        <f>P43*2100</f>
        <v>231</v>
      </c>
      <c r="Q42" s="24">
        <f>Q43*400</f>
        <v>44</v>
      </c>
      <c r="R42" s="24">
        <f>R43*2100</f>
        <v>231</v>
      </c>
      <c r="S42" s="24">
        <f>S43*400</f>
        <v>44</v>
      </c>
      <c r="T42" s="24">
        <f>T43*2100</f>
        <v>252</v>
      </c>
      <c r="U42" s="24">
        <f>U43*400</f>
        <v>48</v>
      </c>
      <c r="V42" s="25">
        <f t="shared" ref="V42:W50" si="20">T42+R42+P42+N42+L42+J42+H42+F42+D42+B42</f>
        <v>2100</v>
      </c>
      <c r="W42" s="25">
        <f t="shared" si="20"/>
        <v>400</v>
      </c>
      <c r="X42" s="25">
        <f>SUM(V42:W42)</f>
        <v>2500</v>
      </c>
    </row>
    <row r="43" spans="1:24" s="17" customFormat="1" x14ac:dyDescent="0.25">
      <c r="A43" s="63"/>
      <c r="B43" s="23"/>
      <c r="C43" s="23"/>
      <c r="D43" s="23">
        <v>0.11</v>
      </c>
      <c r="E43" s="23">
        <v>0.11</v>
      </c>
      <c r="F43" s="23">
        <v>0.11</v>
      </c>
      <c r="G43" s="23">
        <v>0.11</v>
      </c>
      <c r="H43" s="23">
        <v>0.11</v>
      </c>
      <c r="I43" s="23">
        <v>0.11</v>
      </c>
      <c r="J43" s="23">
        <v>0.11</v>
      </c>
      <c r="K43" s="23">
        <v>0.11</v>
      </c>
      <c r="L43" s="23">
        <v>0.11</v>
      </c>
      <c r="M43" s="23">
        <v>0.11</v>
      </c>
      <c r="N43" s="23">
        <v>0.11</v>
      </c>
      <c r="O43" s="23">
        <v>0.11</v>
      </c>
      <c r="P43" s="23">
        <v>0.11</v>
      </c>
      <c r="Q43" s="23">
        <v>0.11</v>
      </c>
      <c r="R43" s="23">
        <v>0.11</v>
      </c>
      <c r="S43" s="23">
        <v>0.11</v>
      </c>
      <c r="T43" s="23">
        <v>0.12</v>
      </c>
      <c r="U43" s="23">
        <v>0.12</v>
      </c>
      <c r="V43" s="27">
        <f t="shared" si="20"/>
        <v>0.99999999999999989</v>
      </c>
      <c r="W43" s="27">
        <f t="shared" si="20"/>
        <v>0.99999999999999989</v>
      </c>
      <c r="X43" s="28">
        <f>X42/$X$77</f>
        <v>2.2321428571428572E-2</v>
      </c>
    </row>
    <row r="44" spans="1:24" s="17" customFormat="1" x14ac:dyDescent="0.25">
      <c r="A44" s="63" t="s">
        <v>37</v>
      </c>
      <c r="B44" s="24"/>
      <c r="C44" s="24"/>
      <c r="D44" s="39"/>
      <c r="E44" s="24"/>
      <c r="F44" s="24"/>
      <c r="G44" s="24"/>
      <c r="H44" s="24"/>
      <c r="I44" s="24"/>
      <c r="J44" s="24">
        <v>100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>
        <f t="shared" si="20"/>
        <v>100</v>
      </c>
      <c r="W44" s="26">
        <f t="shared" ref="W44:W54" si="21">U44+S44+Q44+O44+M44+K44+I44+G44+E44+C44</f>
        <v>0</v>
      </c>
      <c r="X44" s="25">
        <f>SUM(V44:W44)</f>
        <v>100</v>
      </c>
    </row>
    <row r="45" spans="1:24" s="17" customFormat="1" ht="13.5" customHeight="1" x14ac:dyDescent="0.25">
      <c r="A45" s="63"/>
      <c r="B45" s="23"/>
      <c r="C45" s="23"/>
      <c r="D45" s="23"/>
      <c r="E45" s="23"/>
      <c r="F45" s="23"/>
      <c r="G45" s="23"/>
      <c r="H45" s="23"/>
      <c r="I45" s="23"/>
      <c r="J45" s="23">
        <v>1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7">
        <f t="shared" ref="V45:V51" si="22">T45+R45+P45+N45+L45+J45+H45+F45+D45+B45</f>
        <v>1</v>
      </c>
      <c r="W45" s="27"/>
      <c r="X45" s="28">
        <f>X44/$X$77</f>
        <v>8.9285714285714283E-4</v>
      </c>
    </row>
    <row r="46" spans="1:24" s="17" customFormat="1" ht="13.5" customHeight="1" x14ac:dyDescent="0.25">
      <c r="A46" s="63" t="s">
        <v>42</v>
      </c>
      <c r="B46" s="24"/>
      <c r="C46" s="24"/>
      <c r="D46" s="24"/>
      <c r="E46" s="24"/>
      <c r="F46" s="24"/>
      <c r="G46" s="24"/>
      <c r="H46" s="24"/>
      <c r="I46" s="24"/>
      <c r="J46" s="24">
        <v>150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>
        <f t="shared" si="22"/>
        <v>150</v>
      </c>
      <c r="W46" s="26">
        <f t="shared" si="21"/>
        <v>0</v>
      </c>
      <c r="X46" s="25">
        <f>SUM(V46:W46)</f>
        <v>150</v>
      </c>
    </row>
    <row r="47" spans="1:24" s="17" customFormat="1" ht="13.5" customHeight="1" x14ac:dyDescent="0.25">
      <c r="A47" s="63"/>
      <c r="B47" s="23"/>
      <c r="C47" s="23"/>
      <c r="D47" s="23"/>
      <c r="E47" s="23"/>
      <c r="F47" s="23"/>
      <c r="G47" s="23"/>
      <c r="H47" s="23"/>
      <c r="I47" s="23"/>
      <c r="J47" s="23">
        <v>1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7">
        <f t="shared" si="22"/>
        <v>1</v>
      </c>
      <c r="W47" s="27"/>
      <c r="X47" s="28">
        <f>X46/$X$77</f>
        <v>1.3392857142857143E-3</v>
      </c>
    </row>
    <row r="48" spans="1:24" s="17" customFormat="1" x14ac:dyDescent="0.25">
      <c r="A48" s="58" t="s">
        <v>36</v>
      </c>
      <c r="B48" s="24"/>
      <c r="C48" s="24"/>
      <c r="D48" s="24">
        <f>D49*230</f>
        <v>25.3</v>
      </c>
      <c r="E48" s="24"/>
      <c r="F48" s="24">
        <f>F49*230</f>
        <v>25.3</v>
      </c>
      <c r="G48" s="24"/>
      <c r="H48" s="24">
        <f>H49*230</f>
        <v>25.3</v>
      </c>
      <c r="I48" s="24"/>
      <c r="J48" s="24">
        <f>J49*230</f>
        <v>25.3</v>
      </c>
      <c r="K48" s="24"/>
      <c r="L48" s="24">
        <f>L49*230</f>
        <v>25.3</v>
      </c>
      <c r="M48" s="24"/>
      <c r="N48" s="24">
        <f>N49*230</f>
        <v>25.3</v>
      </c>
      <c r="O48" s="24"/>
      <c r="P48" s="24">
        <f>P49*230</f>
        <v>25.3</v>
      </c>
      <c r="Q48" s="24"/>
      <c r="R48" s="24">
        <f>R49*230</f>
        <v>25.3</v>
      </c>
      <c r="S48" s="24"/>
      <c r="T48" s="24">
        <f>T49*230</f>
        <v>27.599999999999998</v>
      </c>
      <c r="U48" s="24"/>
      <c r="V48" s="25">
        <f t="shared" si="20"/>
        <v>230.00000000000006</v>
      </c>
      <c r="W48" s="26">
        <f t="shared" si="21"/>
        <v>0</v>
      </c>
      <c r="X48" s="25">
        <f t="shared" si="19"/>
        <v>230.00000000000006</v>
      </c>
    </row>
    <row r="49" spans="1:24" s="17" customFormat="1" x14ac:dyDescent="0.25">
      <c r="A49" s="58"/>
      <c r="B49" s="23"/>
      <c r="C49" s="23"/>
      <c r="D49" s="23">
        <v>0.11</v>
      </c>
      <c r="E49" s="23"/>
      <c r="F49" s="23">
        <v>0.11</v>
      </c>
      <c r="G49" s="23"/>
      <c r="H49" s="23">
        <v>0.11</v>
      </c>
      <c r="I49" s="23"/>
      <c r="J49" s="23">
        <v>0.11</v>
      </c>
      <c r="K49" s="23"/>
      <c r="L49" s="23">
        <v>0.11</v>
      </c>
      <c r="M49" s="23"/>
      <c r="N49" s="23">
        <v>0.11</v>
      </c>
      <c r="O49" s="23"/>
      <c r="P49" s="23">
        <v>0.11</v>
      </c>
      <c r="Q49" s="23"/>
      <c r="R49" s="23">
        <v>0.11</v>
      </c>
      <c r="S49" s="23"/>
      <c r="T49" s="23">
        <v>0.12</v>
      </c>
      <c r="U49" s="23"/>
      <c r="V49" s="27">
        <f t="shared" si="22"/>
        <v>0.99999999999999989</v>
      </c>
      <c r="W49" s="27"/>
      <c r="X49" s="28">
        <f>X48/$X$77</f>
        <v>2.0535714285714289E-3</v>
      </c>
    </row>
    <row r="50" spans="1:24" s="17" customFormat="1" x14ac:dyDescent="0.25">
      <c r="A50" s="58" t="s">
        <v>32</v>
      </c>
      <c r="B50" s="24"/>
      <c r="C50" s="24"/>
      <c r="D50" s="24">
        <f>7600*D51</f>
        <v>75.197016780609076</v>
      </c>
      <c r="E50" s="24"/>
      <c r="F50" s="24">
        <f>7600*F51</f>
        <v>375.98508390304539</v>
      </c>
      <c r="G50" s="24"/>
      <c r="H50" s="24">
        <f>7600*H51</f>
        <v>820.93225605966438</v>
      </c>
      <c r="I50" s="24"/>
      <c r="J50" s="24">
        <f>7600*J51</f>
        <v>1392.9397141081417</v>
      </c>
      <c r="K50" s="24"/>
      <c r="L50" s="24">
        <f>7600*L51</f>
        <v>1981.1013051584837</v>
      </c>
      <c r="M50" s="24"/>
      <c r="N50" s="24">
        <f>7600*N51</f>
        <v>1203.5301429459291</v>
      </c>
      <c r="O50" s="24"/>
      <c r="P50" s="24">
        <f>7600*P51</f>
        <v>695.05282784338101</v>
      </c>
      <c r="Q50" s="24"/>
      <c r="R50" s="24">
        <f>7600*R51</f>
        <v>671.24673710379125</v>
      </c>
      <c r="S50" s="24"/>
      <c r="T50" s="24">
        <f>7600*T51</f>
        <v>384.01491609695461</v>
      </c>
      <c r="U50" s="24"/>
      <c r="V50" s="25">
        <f t="shared" si="20"/>
        <v>7600.0000000000009</v>
      </c>
      <c r="W50" s="26">
        <f t="shared" si="21"/>
        <v>0</v>
      </c>
      <c r="X50" s="25">
        <f>SUM(V50:W50)</f>
        <v>7600.0000000000009</v>
      </c>
    </row>
    <row r="51" spans="1:24" s="17" customFormat="1" x14ac:dyDescent="0.25">
      <c r="A51" s="58"/>
      <c r="B51" s="23"/>
      <c r="C51" s="23"/>
      <c r="D51" s="55">
        <v>9.8943443132380356E-3</v>
      </c>
      <c r="E51" s="56"/>
      <c r="F51" s="56">
        <v>4.9471721566190181E-2</v>
      </c>
      <c r="G51" s="56"/>
      <c r="H51" s="56">
        <v>0.10801740211311374</v>
      </c>
      <c r="I51" s="56"/>
      <c r="J51" s="56">
        <v>0.18328154133001864</v>
      </c>
      <c r="K51" s="56"/>
      <c r="L51" s="56">
        <v>0.26067122436295836</v>
      </c>
      <c r="M51" s="56"/>
      <c r="N51" s="56">
        <v>0.15835922933499066</v>
      </c>
      <c r="O51" s="56"/>
      <c r="P51" s="56">
        <v>9.1454319453076444E-2</v>
      </c>
      <c r="Q51" s="56"/>
      <c r="R51" s="56">
        <v>8.8321939092604107E-2</v>
      </c>
      <c r="S51" s="56"/>
      <c r="T51" s="56">
        <v>5.0528278433809817E-2</v>
      </c>
      <c r="U51" s="56"/>
      <c r="V51" s="27">
        <f t="shared" si="22"/>
        <v>0.99999999999999989</v>
      </c>
      <c r="W51" s="27"/>
      <c r="X51" s="28">
        <f>X50/$X$77</f>
        <v>6.7857142857142866E-2</v>
      </c>
    </row>
    <row r="52" spans="1:24" s="17" customFormat="1" x14ac:dyDescent="0.25">
      <c r="A52" s="58" t="s">
        <v>33</v>
      </c>
      <c r="B52" s="24"/>
      <c r="C52" s="24"/>
      <c r="D52" s="24"/>
      <c r="E52" s="24"/>
      <c r="F52" s="24"/>
      <c r="G52" s="24"/>
      <c r="H52" s="24"/>
      <c r="I52" s="24"/>
      <c r="J52" s="24">
        <f>150*J53</f>
        <v>75</v>
      </c>
      <c r="K52" s="24"/>
      <c r="L52" s="24"/>
      <c r="M52" s="24"/>
      <c r="N52" s="24"/>
      <c r="O52" s="24"/>
      <c r="P52" s="24"/>
      <c r="Q52" s="24"/>
      <c r="R52" s="24"/>
      <c r="S52" s="24"/>
      <c r="T52" s="24">
        <f>150*T53</f>
        <v>75</v>
      </c>
      <c r="U52" s="24"/>
      <c r="V52" s="25">
        <f t="shared" ref="V52:V55" si="23">T52+R52+P52+N52+L52+J52+H52+F52+D52+B52</f>
        <v>150</v>
      </c>
      <c r="W52" s="26">
        <f t="shared" si="21"/>
        <v>0</v>
      </c>
      <c r="X52" s="25">
        <f t="shared" si="19"/>
        <v>150</v>
      </c>
    </row>
    <row r="53" spans="1:24" s="17" customFormat="1" x14ac:dyDescent="0.25">
      <c r="A53" s="58"/>
      <c r="B53" s="23"/>
      <c r="C53" s="23"/>
      <c r="D53" s="23"/>
      <c r="E53" s="23"/>
      <c r="F53" s="23"/>
      <c r="G53" s="23"/>
      <c r="H53" s="23"/>
      <c r="I53" s="23"/>
      <c r="J53" s="23">
        <v>0.5</v>
      </c>
      <c r="K53" s="23"/>
      <c r="L53" s="23"/>
      <c r="M53" s="23"/>
      <c r="N53" s="23"/>
      <c r="O53" s="23"/>
      <c r="P53" s="23"/>
      <c r="Q53" s="23"/>
      <c r="R53" s="23"/>
      <c r="S53" s="23"/>
      <c r="T53" s="23">
        <v>0.5</v>
      </c>
      <c r="U53" s="23"/>
      <c r="V53" s="27">
        <f t="shared" si="23"/>
        <v>1</v>
      </c>
      <c r="W53" s="27"/>
      <c r="X53" s="28">
        <f>X52/$X$77</f>
        <v>1.3392857142857143E-3</v>
      </c>
    </row>
    <row r="54" spans="1:24" s="17" customFormat="1" x14ac:dyDescent="0.25">
      <c r="A54" s="58" t="s">
        <v>34</v>
      </c>
      <c r="B54" s="24"/>
      <c r="C54" s="24"/>
      <c r="D54" s="24">
        <f>D55*250</f>
        <v>27.5</v>
      </c>
      <c r="E54" s="24"/>
      <c r="F54" s="24">
        <f>F55*250</f>
        <v>27.5</v>
      </c>
      <c r="G54" s="24"/>
      <c r="H54" s="24">
        <f>H55*250</f>
        <v>27.5</v>
      </c>
      <c r="I54" s="24"/>
      <c r="J54" s="24">
        <f>J55*250</f>
        <v>27.5</v>
      </c>
      <c r="K54" s="24"/>
      <c r="L54" s="24">
        <f>L55*250</f>
        <v>27.5</v>
      </c>
      <c r="M54" s="24"/>
      <c r="N54" s="24">
        <f>N55*250</f>
        <v>27.5</v>
      </c>
      <c r="O54" s="24"/>
      <c r="P54" s="24">
        <f>P55*250</f>
        <v>27.5</v>
      </c>
      <c r="Q54" s="24"/>
      <c r="R54" s="24">
        <f>R55*250</f>
        <v>27.5</v>
      </c>
      <c r="S54" s="24"/>
      <c r="T54" s="24">
        <f>T55*250</f>
        <v>30</v>
      </c>
      <c r="U54" s="24"/>
      <c r="V54" s="25">
        <f t="shared" si="23"/>
        <v>250</v>
      </c>
      <c r="W54" s="26">
        <f t="shared" si="21"/>
        <v>0</v>
      </c>
      <c r="X54" s="25">
        <f t="shared" si="19"/>
        <v>250</v>
      </c>
    </row>
    <row r="55" spans="1:24" s="17" customFormat="1" x14ac:dyDescent="0.25">
      <c r="A55" s="58"/>
      <c r="B55" s="23"/>
      <c r="C55" s="23"/>
      <c r="D55" s="23">
        <v>0.11</v>
      </c>
      <c r="E55" s="23"/>
      <c r="F55" s="23">
        <v>0.11</v>
      </c>
      <c r="G55" s="23"/>
      <c r="H55" s="23">
        <v>0.11</v>
      </c>
      <c r="I55" s="23"/>
      <c r="J55" s="23">
        <v>0.11</v>
      </c>
      <c r="K55" s="23"/>
      <c r="L55" s="23">
        <v>0.11</v>
      </c>
      <c r="M55" s="23"/>
      <c r="N55" s="23">
        <v>0.11</v>
      </c>
      <c r="O55" s="23"/>
      <c r="P55" s="23">
        <v>0.11</v>
      </c>
      <c r="Q55" s="23"/>
      <c r="R55" s="23">
        <v>0.11</v>
      </c>
      <c r="S55" s="23"/>
      <c r="T55" s="23">
        <v>0.12</v>
      </c>
      <c r="U55" s="23"/>
      <c r="V55" s="27">
        <f t="shared" si="23"/>
        <v>0.99999999999999989</v>
      </c>
      <c r="W55" s="27"/>
      <c r="X55" s="28">
        <f>X54/$X$77</f>
        <v>2.232142857142857E-3</v>
      </c>
    </row>
    <row r="56" spans="1:24" s="17" customFormat="1" x14ac:dyDescent="0.25">
      <c r="A56" s="58" t="s">
        <v>35</v>
      </c>
      <c r="B56" s="24"/>
      <c r="C56" s="24"/>
      <c r="D56" s="24">
        <f>620*D57</f>
        <v>12.4</v>
      </c>
      <c r="E56" s="24"/>
      <c r="F56" s="24">
        <f>620*F57</f>
        <v>62</v>
      </c>
      <c r="G56" s="24"/>
      <c r="H56" s="24">
        <f>620*H57</f>
        <v>155</v>
      </c>
      <c r="I56" s="24"/>
      <c r="J56" s="24">
        <f>620*J57</f>
        <v>186</v>
      </c>
      <c r="K56" s="24"/>
      <c r="L56" s="24">
        <f>620*L57</f>
        <v>142.6</v>
      </c>
      <c r="M56" s="24"/>
      <c r="N56" s="24">
        <f>620*N57</f>
        <v>62</v>
      </c>
      <c r="O56" s="24"/>
      <c r="P56" s="24"/>
      <c r="Q56" s="24"/>
      <c r="R56" s="24"/>
      <c r="S56" s="24"/>
      <c r="T56" s="24"/>
      <c r="U56" s="24"/>
      <c r="V56" s="25">
        <f t="shared" ref="V56:V57" si="24">T56+R56+P56+N56+L56+J56+H56+F56+D56+B56</f>
        <v>620</v>
      </c>
      <c r="W56" s="26">
        <f t="shared" ref="W56" si="25">U56+S56+Q56+O56+M56+K56+I56+G56+E56+C56</f>
        <v>0</v>
      </c>
      <c r="X56" s="25">
        <f t="shared" ref="X56" si="26">SUM(V56:W56)</f>
        <v>620</v>
      </c>
    </row>
    <row r="57" spans="1:24" s="17" customFormat="1" x14ac:dyDescent="0.25">
      <c r="A57" s="58"/>
      <c r="B57" s="23"/>
      <c r="C57" s="23"/>
      <c r="D57" s="23">
        <v>0.02</v>
      </c>
      <c r="E57" s="23"/>
      <c r="F57" s="23">
        <v>0.1</v>
      </c>
      <c r="G57" s="23"/>
      <c r="H57" s="23">
        <v>0.25</v>
      </c>
      <c r="I57" s="23"/>
      <c r="J57" s="23">
        <v>0.3</v>
      </c>
      <c r="K57" s="23"/>
      <c r="L57" s="23">
        <v>0.23</v>
      </c>
      <c r="M57" s="23"/>
      <c r="N57" s="23">
        <v>0.1</v>
      </c>
      <c r="O57" s="23"/>
      <c r="P57" s="23"/>
      <c r="Q57" s="23"/>
      <c r="R57" s="23"/>
      <c r="S57" s="23"/>
      <c r="T57" s="23"/>
      <c r="U57" s="23"/>
      <c r="V57" s="27">
        <f t="shared" si="24"/>
        <v>1</v>
      </c>
      <c r="W57" s="27"/>
      <c r="X57" s="28">
        <f>X56/$X$77</f>
        <v>5.5357142857142853E-3</v>
      </c>
    </row>
    <row r="58" spans="1:24" s="7" customFormat="1" x14ac:dyDescent="0.25">
      <c r="A58" s="30" t="s">
        <v>4</v>
      </c>
      <c r="B58" s="21">
        <f>B41+B48+B50+B52+B54+B56</f>
        <v>0</v>
      </c>
      <c r="C58" s="22">
        <f t="shared" ref="C58:E58" si="27">C41+C48+C50+C52+C54+C56</f>
        <v>0</v>
      </c>
      <c r="D58" s="22">
        <f t="shared" si="27"/>
        <v>371.39701678060908</v>
      </c>
      <c r="E58" s="22">
        <f t="shared" si="27"/>
        <v>44</v>
      </c>
      <c r="F58" s="22">
        <f>F41+F48+F50+F52+F54+F56</f>
        <v>721.78508390304546</v>
      </c>
      <c r="G58" s="22">
        <f t="shared" ref="G58:I58" si="28">G41+G48+G50+G52+G54+G56</f>
        <v>44</v>
      </c>
      <c r="H58" s="22">
        <f t="shared" si="28"/>
        <v>1259.7322560596645</v>
      </c>
      <c r="I58" s="22">
        <f t="shared" si="28"/>
        <v>44</v>
      </c>
      <c r="J58" s="22">
        <f>J41+J48+J50+J52+J54+J56</f>
        <v>2187.7397141081419</v>
      </c>
      <c r="K58" s="22">
        <f t="shared" ref="K58:M58" si="29">K41+K48+K50+K52+K54+K56</f>
        <v>44</v>
      </c>
      <c r="L58" s="22">
        <f t="shared" si="29"/>
        <v>2407.5013051584838</v>
      </c>
      <c r="M58" s="22">
        <f t="shared" si="29"/>
        <v>44</v>
      </c>
      <c r="N58" s="22">
        <f>N41+N48+N50+N52+N54+N56</f>
        <v>1549.3301429459291</v>
      </c>
      <c r="O58" s="22">
        <f t="shared" ref="O58:Q58" si="30">O41+O48+O50+O52+O54+O56</f>
        <v>44</v>
      </c>
      <c r="P58" s="22">
        <f t="shared" si="30"/>
        <v>978.85282784338096</v>
      </c>
      <c r="Q58" s="22">
        <f t="shared" si="30"/>
        <v>44</v>
      </c>
      <c r="R58" s="22">
        <f>R41+R48+R50+R52+R54+R56</f>
        <v>955.0467371037912</v>
      </c>
      <c r="S58" s="22">
        <f t="shared" ref="S58:U58" si="31">S41+S48+S50+S52+S54+S56</f>
        <v>44</v>
      </c>
      <c r="T58" s="22">
        <f t="shared" si="31"/>
        <v>768.61491609695463</v>
      </c>
      <c r="U58" s="22">
        <f t="shared" si="31"/>
        <v>48</v>
      </c>
      <c r="V58" s="21">
        <f>V41+V48+V50+V52+V54+V56</f>
        <v>11200</v>
      </c>
      <c r="W58" s="21">
        <f>W41+W48+W50+W52+W54+W56</f>
        <v>400</v>
      </c>
      <c r="X58" s="21">
        <f>X41+X48+X50+X52+X54+X56</f>
        <v>11600</v>
      </c>
    </row>
    <row r="59" spans="1:24" s="4" customFormat="1" x14ac:dyDescent="0.25">
      <c r="A59" s="31" t="s">
        <v>19</v>
      </c>
      <c r="B59" s="57">
        <f>SUM(B58:E58)</f>
        <v>415.39701678060908</v>
      </c>
      <c r="C59" s="57"/>
      <c r="D59" s="57"/>
      <c r="E59" s="57"/>
      <c r="F59" s="57">
        <f>SUM(F58:I58)</f>
        <v>2069.5173399627101</v>
      </c>
      <c r="G59" s="57"/>
      <c r="H59" s="57"/>
      <c r="I59" s="57"/>
      <c r="J59" s="57">
        <f>SUM(J58:M58)</f>
        <v>4683.2410192666257</v>
      </c>
      <c r="K59" s="57"/>
      <c r="L59" s="57"/>
      <c r="M59" s="57"/>
      <c r="N59" s="57">
        <f>SUM(N58:Q58)</f>
        <v>2616.1829707893103</v>
      </c>
      <c r="O59" s="57"/>
      <c r="P59" s="57"/>
      <c r="Q59" s="57"/>
      <c r="R59" s="57">
        <f>SUM(R58:U58)</f>
        <v>1815.6616532007458</v>
      </c>
      <c r="S59" s="57"/>
      <c r="T59" s="57"/>
      <c r="U59" s="57"/>
      <c r="V59" s="57">
        <f>SUM(V58:W58)</f>
        <v>11600</v>
      </c>
      <c r="W59" s="57"/>
      <c r="X59" s="21">
        <f t="shared" si="19"/>
        <v>11600</v>
      </c>
    </row>
    <row r="60" spans="1:24" s="4" customFormat="1" x14ac:dyDescent="0.25">
      <c r="A60" s="64" t="s">
        <v>30</v>
      </c>
      <c r="B60" s="57" t="s">
        <v>1</v>
      </c>
      <c r="C60" s="57"/>
      <c r="D60" s="57" t="s">
        <v>3</v>
      </c>
      <c r="E60" s="57"/>
      <c r="F60" s="57" t="s">
        <v>1</v>
      </c>
      <c r="G60" s="57"/>
      <c r="H60" s="57" t="s">
        <v>3</v>
      </c>
      <c r="I60" s="57"/>
      <c r="J60" s="57" t="s">
        <v>1</v>
      </c>
      <c r="K60" s="57"/>
      <c r="L60" s="57" t="s">
        <v>3</v>
      </c>
      <c r="M60" s="57"/>
      <c r="N60" s="57" t="s">
        <v>1</v>
      </c>
      <c r="O60" s="57"/>
      <c r="P60" s="57" t="s">
        <v>3</v>
      </c>
      <c r="Q60" s="57"/>
      <c r="R60" s="57" t="s">
        <v>1</v>
      </c>
      <c r="S60" s="57"/>
      <c r="T60" s="57" t="s">
        <v>3</v>
      </c>
      <c r="U60" s="57"/>
      <c r="V60" s="12" t="s">
        <v>1</v>
      </c>
      <c r="W60" s="12" t="s">
        <v>3</v>
      </c>
      <c r="X60" s="21"/>
    </row>
    <row r="61" spans="1:24" s="4" customFormat="1" x14ac:dyDescent="0.25">
      <c r="A61" s="64"/>
      <c r="B61" s="57">
        <f>B58+D58</f>
        <v>371.39701678060908</v>
      </c>
      <c r="C61" s="57"/>
      <c r="D61" s="57">
        <f>C58+E58</f>
        <v>44</v>
      </c>
      <c r="E61" s="57"/>
      <c r="F61" s="57">
        <f>F58+H58</f>
        <v>1981.5173399627099</v>
      </c>
      <c r="G61" s="57"/>
      <c r="H61" s="57">
        <f>G58+I58</f>
        <v>88</v>
      </c>
      <c r="I61" s="57"/>
      <c r="J61" s="57">
        <f>J58+L58</f>
        <v>4595.2410192666257</v>
      </c>
      <c r="K61" s="57"/>
      <c r="L61" s="57">
        <f>K58+M58</f>
        <v>88</v>
      </c>
      <c r="M61" s="57"/>
      <c r="N61" s="57">
        <f>N58+P58</f>
        <v>2528.1829707893103</v>
      </c>
      <c r="O61" s="57"/>
      <c r="P61" s="57">
        <f>O58+Q58</f>
        <v>88</v>
      </c>
      <c r="Q61" s="57"/>
      <c r="R61" s="57">
        <f>R58+T58</f>
        <v>1723.6616532007458</v>
      </c>
      <c r="S61" s="57"/>
      <c r="T61" s="57">
        <f>S58+U58</f>
        <v>92</v>
      </c>
      <c r="U61" s="57"/>
      <c r="V61" s="21">
        <f>B61+F61+J61+N61+R61</f>
        <v>11200.000000000002</v>
      </c>
      <c r="W61" s="21">
        <f>D61+H61+L61+P61+T61</f>
        <v>400</v>
      </c>
      <c r="X61" s="21">
        <f>SUM(V61:W61)</f>
        <v>11600.000000000002</v>
      </c>
    </row>
    <row r="62" spans="1:24" s="4" customFormat="1" ht="26.25" customHeight="1" x14ac:dyDescent="0.25">
      <c r="A62" s="31" t="s">
        <v>31</v>
      </c>
      <c r="B62" s="57">
        <f>SUM(B61:E61)</f>
        <v>415.39701678060908</v>
      </c>
      <c r="C62" s="57"/>
      <c r="D62" s="57"/>
      <c r="E62" s="57"/>
      <c r="F62" s="57">
        <f>SUM(F61:I61)</f>
        <v>2069.5173399627101</v>
      </c>
      <c r="G62" s="57"/>
      <c r="H62" s="57"/>
      <c r="I62" s="57"/>
      <c r="J62" s="57">
        <f>SUM(J61:M61)</f>
        <v>4683.2410192666257</v>
      </c>
      <c r="K62" s="57"/>
      <c r="L62" s="57"/>
      <c r="M62" s="57"/>
      <c r="N62" s="57">
        <f>SUM(N61:Q61)</f>
        <v>2616.1829707893103</v>
      </c>
      <c r="O62" s="57"/>
      <c r="P62" s="57"/>
      <c r="Q62" s="57"/>
      <c r="R62" s="57">
        <f>SUM(R61:U61)</f>
        <v>1815.6616532007458</v>
      </c>
      <c r="S62" s="57"/>
      <c r="T62" s="57"/>
      <c r="U62" s="57"/>
      <c r="V62" s="57">
        <f>SUM(V61:W61)</f>
        <v>11600.000000000002</v>
      </c>
      <c r="W62" s="57"/>
      <c r="X62" s="21">
        <f>SUM(V62:W62)</f>
        <v>11600.000000000002</v>
      </c>
    </row>
    <row r="63" spans="1:24" ht="32.25" customHeight="1" x14ac:dyDescent="0.25">
      <c r="A63" s="29" t="s">
        <v>49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4" s="17" customFormat="1" x14ac:dyDescent="0.25">
      <c r="A64" s="58" t="s">
        <v>50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>
        <v>700</v>
      </c>
      <c r="N64" s="24"/>
      <c r="O64" s="24"/>
      <c r="P64" s="24"/>
      <c r="Q64" s="24"/>
      <c r="R64" s="24"/>
      <c r="S64" s="24"/>
      <c r="T64" s="24"/>
      <c r="U64" s="24"/>
      <c r="V64" s="26">
        <f t="shared" ref="V64" si="32">T64+R64+P64+N64+L64+J64+H64+F64+D64+B64</f>
        <v>0</v>
      </c>
      <c r="W64" s="25">
        <f t="shared" ref="W64" si="33">U64+S64+Q64+O64+M64+K64+I64+G64+E64+C64</f>
        <v>700</v>
      </c>
      <c r="X64" s="25">
        <f t="shared" ref="X64" si="34">SUM(V64:W64)</f>
        <v>700</v>
      </c>
    </row>
    <row r="65" spans="1:24" s="17" customFormat="1" x14ac:dyDescent="0.25">
      <c r="A65" s="5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>
        <v>1</v>
      </c>
      <c r="N65" s="23"/>
      <c r="O65" s="23"/>
      <c r="P65" s="23"/>
      <c r="Q65" s="23"/>
      <c r="R65" s="23"/>
      <c r="S65" s="23"/>
      <c r="T65" s="23"/>
      <c r="U65" s="23"/>
      <c r="V65" s="27"/>
      <c r="W65" s="27">
        <f t="shared" ref="W65" si="35">U65+S65+Q65+O65+M65+K65+I65+G65+E65+C65</f>
        <v>1</v>
      </c>
      <c r="X65" s="28">
        <f>X64/$X$77</f>
        <v>6.2500000000000003E-3</v>
      </c>
    </row>
    <row r="66" spans="1:24" s="7" customFormat="1" x14ac:dyDescent="0.25">
      <c r="A66" s="30" t="s">
        <v>4</v>
      </c>
      <c r="B66" s="49">
        <f>B64</f>
        <v>0</v>
      </c>
      <c r="C66" s="49">
        <f t="shared" ref="C66:U66" si="36">C64</f>
        <v>0</v>
      </c>
      <c r="D66" s="49">
        <f t="shared" si="36"/>
        <v>0</v>
      </c>
      <c r="E66" s="49">
        <f t="shared" si="36"/>
        <v>0</v>
      </c>
      <c r="F66" s="49">
        <f>F64</f>
        <v>0</v>
      </c>
      <c r="G66" s="49">
        <f t="shared" si="36"/>
        <v>0</v>
      </c>
      <c r="H66" s="49">
        <f t="shared" si="36"/>
        <v>0</v>
      </c>
      <c r="I66" s="49">
        <f t="shared" si="36"/>
        <v>0</v>
      </c>
      <c r="J66" s="49">
        <f>J64</f>
        <v>0</v>
      </c>
      <c r="K66" s="49">
        <f t="shared" si="36"/>
        <v>0</v>
      </c>
      <c r="L66" s="49">
        <f t="shared" si="36"/>
        <v>0</v>
      </c>
      <c r="M66" s="49">
        <f t="shared" si="36"/>
        <v>700</v>
      </c>
      <c r="N66" s="49">
        <f>N64</f>
        <v>0</v>
      </c>
      <c r="O66" s="49">
        <f t="shared" si="36"/>
        <v>0</v>
      </c>
      <c r="P66" s="49">
        <f t="shared" si="36"/>
        <v>0</v>
      </c>
      <c r="Q66" s="49">
        <f t="shared" si="36"/>
        <v>0</v>
      </c>
      <c r="R66" s="49">
        <f>R64</f>
        <v>0</v>
      </c>
      <c r="S66" s="49">
        <f t="shared" si="36"/>
        <v>0</v>
      </c>
      <c r="T66" s="49">
        <f t="shared" si="36"/>
        <v>0</v>
      </c>
      <c r="U66" s="49">
        <f t="shared" si="36"/>
        <v>0</v>
      </c>
      <c r="V66" s="49">
        <f>V64</f>
        <v>0</v>
      </c>
      <c r="W66" s="49">
        <f>W64</f>
        <v>700</v>
      </c>
      <c r="X66" s="49">
        <f>W66</f>
        <v>700</v>
      </c>
    </row>
    <row r="67" spans="1:24" s="4" customFormat="1" x14ac:dyDescent="0.25">
      <c r="A67" s="50" t="s">
        <v>19</v>
      </c>
      <c r="B67" s="57">
        <f>SUM(B66:E66)</f>
        <v>0</v>
      </c>
      <c r="C67" s="57"/>
      <c r="D67" s="57"/>
      <c r="E67" s="57"/>
      <c r="F67" s="57">
        <f>SUM(F66:I66)</f>
        <v>0</v>
      </c>
      <c r="G67" s="57"/>
      <c r="H67" s="57"/>
      <c r="I67" s="57"/>
      <c r="J67" s="57">
        <f>SUM(J66:M66)</f>
        <v>700</v>
      </c>
      <c r="K67" s="57"/>
      <c r="L67" s="57"/>
      <c r="M67" s="57"/>
      <c r="N67" s="57">
        <f>SUM(N66:Q66)</f>
        <v>0</v>
      </c>
      <c r="O67" s="57"/>
      <c r="P67" s="57"/>
      <c r="Q67" s="57"/>
      <c r="R67" s="57">
        <f>SUM(R66:U66)</f>
        <v>0</v>
      </c>
      <c r="S67" s="57"/>
      <c r="T67" s="57"/>
      <c r="U67" s="57"/>
      <c r="V67" s="57">
        <f>SUM(V66:W66)</f>
        <v>700</v>
      </c>
      <c r="W67" s="57"/>
      <c r="X67" s="49">
        <f t="shared" ref="X67" si="37">SUM(V67:W67)</f>
        <v>700</v>
      </c>
    </row>
    <row r="68" spans="1:24" ht="32.25" customHeight="1" x14ac:dyDescent="0.25">
      <c r="A68" s="29" t="s">
        <v>51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s="17" customFormat="1" x14ac:dyDescent="0.25">
      <c r="A69" s="58" t="s">
        <v>52</v>
      </c>
      <c r="B69" s="24"/>
      <c r="C69" s="24"/>
      <c r="D69" s="24"/>
      <c r="E69" s="24"/>
      <c r="F69" s="24"/>
      <c r="G69" s="24">
        <f>1100*G70</f>
        <v>137.5</v>
      </c>
      <c r="H69" s="24"/>
      <c r="I69" s="24">
        <f>1100*I70</f>
        <v>137.5</v>
      </c>
      <c r="J69" s="24"/>
      <c r="K69" s="24">
        <f>1100*K70</f>
        <v>137.5</v>
      </c>
      <c r="L69" s="24"/>
      <c r="M69" s="24">
        <f>1100*M70</f>
        <v>137.5</v>
      </c>
      <c r="N69" s="24"/>
      <c r="O69" s="24">
        <f>1100*O70</f>
        <v>137.5</v>
      </c>
      <c r="P69" s="24"/>
      <c r="Q69" s="24">
        <f>1100*Q70</f>
        <v>137.5</v>
      </c>
      <c r="R69" s="24"/>
      <c r="S69" s="24">
        <f>1100*S70</f>
        <v>137.5</v>
      </c>
      <c r="T69" s="24"/>
      <c r="U69" s="24">
        <f>1100*U70</f>
        <v>137.5</v>
      </c>
      <c r="V69" s="26">
        <f t="shared" ref="V69" si="38">T69+R69+P69+N69+L69+J69+H69+F69+D69+B69</f>
        <v>0</v>
      </c>
      <c r="W69" s="25">
        <f t="shared" ref="W69:W72" si="39">U69+S69+Q69+O69+M69+K69+I69+G69+E69+C69</f>
        <v>1100</v>
      </c>
      <c r="X69" s="25">
        <f t="shared" ref="X69" si="40">SUM(V69:W69)</f>
        <v>1100</v>
      </c>
    </row>
    <row r="70" spans="1:24" s="17" customFormat="1" x14ac:dyDescent="0.25">
      <c r="A70" s="58"/>
      <c r="B70" s="23"/>
      <c r="C70" s="23"/>
      <c r="D70" s="23"/>
      <c r="E70" s="23"/>
      <c r="F70" s="23"/>
      <c r="G70" s="23">
        <v>0.125</v>
      </c>
      <c r="H70" s="23"/>
      <c r="I70" s="23">
        <v>0.125</v>
      </c>
      <c r="J70" s="23"/>
      <c r="K70" s="23">
        <v>0.125</v>
      </c>
      <c r="L70" s="23"/>
      <c r="M70" s="23">
        <v>0.125</v>
      </c>
      <c r="N70" s="23"/>
      <c r="O70" s="23">
        <v>0.125</v>
      </c>
      <c r="P70" s="23"/>
      <c r="Q70" s="23">
        <v>0.125</v>
      </c>
      <c r="R70" s="23"/>
      <c r="S70" s="23">
        <v>0.125</v>
      </c>
      <c r="T70" s="23"/>
      <c r="U70" s="23">
        <v>0.125</v>
      </c>
      <c r="V70" s="27"/>
      <c r="W70" s="27">
        <f t="shared" si="39"/>
        <v>1</v>
      </c>
      <c r="X70" s="28">
        <f>X69/$X$77</f>
        <v>9.8214285714285712E-3</v>
      </c>
    </row>
    <row r="71" spans="1:24" s="17" customFormat="1" x14ac:dyDescent="0.25">
      <c r="A71" s="58" t="s">
        <v>53</v>
      </c>
      <c r="B71" s="24"/>
      <c r="C71" s="24"/>
      <c r="D71" s="24"/>
      <c r="E71" s="24"/>
      <c r="F71" s="24"/>
      <c r="G71" s="24">
        <f>200*G72</f>
        <v>25</v>
      </c>
      <c r="H71" s="24"/>
      <c r="I71" s="24">
        <f>200*I72</f>
        <v>25</v>
      </c>
      <c r="J71" s="24"/>
      <c r="K71" s="24">
        <f>200*K72</f>
        <v>25</v>
      </c>
      <c r="L71" s="24"/>
      <c r="M71" s="24">
        <f>200*M72</f>
        <v>25</v>
      </c>
      <c r="N71" s="24"/>
      <c r="O71" s="24">
        <f>200*O72</f>
        <v>25</v>
      </c>
      <c r="P71" s="24"/>
      <c r="Q71" s="24">
        <f>200*Q72</f>
        <v>25</v>
      </c>
      <c r="R71" s="24"/>
      <c r="S71" s="24">
        <f>200*S72</f>
        <v>25</v>
      </c>
      <c r="T71" s="24"/>
      <c r="U71" s="24">
        <f>200*U72</f>
        <v>25</v>
      </c>
      <c r="V71" s="26">
        <f t="shared" ref="V71" si="41">T71+R71+P71+N71+L71+J71+H71+F71+D71+B71</f>
        <v>0</v>
      </c>
      <c r="W71" s="25">
        <f t="shared" si="39"/>
        <v>200</v>
      </c>
      <c r="X71" s="25">
        <f t="shared" ref="X71" si="42">SUM(V71:W71)</f>
        <v>200</v>
      </c>
    </row>
    <row r="72" spans="1:24" s="17" customFormat="1" x14ac:dyDescent="0.25">
      <c r="A72" s="58"/>
      <c r="B72" s="23"/>
      <c r="C72" s="23"/>
      <c r="D72" s="23"/>
      <c r="E72" s="23"/>
      <c r="F72" s="23"/>
      <c r="G72" s="23">
        <v>0.125</v>
      </c>
      <c r="H72" s="23"/>
      <c r="I72" s="23">
        <v>0.125</v>
      </c>
      <c r="J72" s="23"/>
      <c r="K72" s="23">
        <v>0.125</v>
      </c>
      <c r="L72" s="23"/>
      <c r="M72" s="23">
        <v>0.125</v>
      </c>
      <c r="N72" s="23"/>
      <c r="O72" s="23">
        <v>0.125</v>
      </c>
      <c r="P72" s="23"/>
      <c r="Q72" s="23">
        <v>0.125</v>
      </c>
      <c r="R72" s="23"/>
      <c r="S72" s="23">
        <v>0.125</v>
      </c>
      <c r="T72" s="23"/>
      <c r="U72" s="23">
        <v>0.125</v>
      </c>
      <c r="V72" s="27"/>
      <c r="W72" s="27">
        <f t="shared" si="39"/>
        <v>1</v>
      </c>
      <c r="X72" s="28">
        <f>X71/$X$77</f>
        <v>1.7857142857142857E-3</v>
      </c>
    </row>
    <row r="73" spans="1:24" s="7" customFormat="1" x14ac:dyDescent="0.25">
      <c r="A73" s="30" t="s">
        <v>4</v>
      </c>
      <c r="B73" s="49">
        <f>B71+B69</f>
        <v>0</v>
      </c>
      <c r="C73" s="49">
        <f t="shared" ref="C73:E73" si="43">C71+C69</f>
        <v>0</v>
      </c>
      <c r="D73" s="49">
        <f t="shared" si="43"/>
        <v>0</v>
      </c>
      <c r="E73" s="49">
        <f t="shared" si="43"/>
        <v>0</v>
      </c>
      <c r="F73" s="49">
        <f>F71+F69</f>
        <v>0</v>
      </c>
      <c r="G73" s="49">
        <f t="shared" ref="G73:I73" si="44">G71+G69</f>
        <v>162.5</v>
      </c>
      <c r="H73" s="49">
        <f t="shared" si="44"/>
        <v>0</v>
      </c>
      <c r="I73" s="49">
        <f t="shared" si="44"/>
        <v>162.5</v>
      </c>
      <c r="J73" s="49">
        <f>J71+J69</f>
        <v>0</v>
      </c>
      <c r="K73" s="49">
        <f t="shared" ref="K73:M73" si="45">K71+K69</f>
        <v>162.5</v>
      </c>
      <c r="L73" s="49">
        <f t="shared" si="45"/>
        <v>0</v>
      </c>
      <c r="M73" s="49">
        <f t="shared" si="45"/>
        <v>162.5</v>
      </c>
      <c r="N73" s="49">
        <f>N71+N69</f>
        <v>0</v>
      </c>
      <c r="O73" s="49">
        <f t="shared" ref="O73:Q73" si="46">O71+O69</f>
        <v>162.5</v>
      </c>
      <c r="P73" s="49">
        <f t="shared" si="46"/>
        <v>0</v>
      </c>
      <c r="Q73" s="49">
        <f t="shared" si="46"/>
        <v>162.5</v>
      </c>
      <c r="R73" s="49">
        <f>R71+R69</f>
        <v>0</v>
      </c>
      <c r="S73" s="49">
        <f t="shared" ref="S73:W73" si="47">S71+S69</f>
        <v>162.5</v>
      </c>
      <c r="T73" s="49">
        <f t="shared" si="47"/>
        <v>0</v>
      </c>
      <c r="U73" s="49">
        <f t="shared" si="47"/>
        <v>162.5</v>
      </c>
      <c r="V73" s="49">
        <f t="shared" si="47"/>
        <v>0</v>
      </c>
      <c r="W73" s="49">
        <f t="shared" si="47"/>
        <v>1300</v>
      </c>
      <c r="X73" s="49">
        <f>SUM(V73:W73)</f>
        <v>1300</v>
      </c>
    </row>
    <row r="74" spans="1:24" s="4" customFormat="1" x14ac:dyDescent="0.25">
      <c r="A74" s="50" t="s">
        <v>19</v>
      </c>
      <c r="B74" s="57">
        <f>SUM(B73:E73)</f>
        <v>0</v>
      </c>
      <c r="C74" s="57"/>
      <c r="D74" s="57"/>
      <c r="E74" s="57"/>
      <c r="F74" s="57">
        <f>SUM(F73:I73)</f>
        <v>325</v>
      </c>
      <c r="G74" s="57"/>
      <c r="H74" s="57"/>
      <c r="I74" s="57"/>
      <c r="J74" s="57">
        <f>SUM(J73:M73)</f>
        <v>325</v>
      </c>
      <c r="K74" s="57"/>
      <c r="L74" s="57"/>
      <c r="M74" s="57"/>
      <c r="N74" s="57">
        <f>SUM(N73:Q73)</f>
        <v>325</v>
      </c>
      <c r="O74" s="57"/>
      <c r="P74" s="57"/>
      <c r="Q74" s="57"/>
      <c r="R74" s="57">
        <f>SUM(R73:U73)</f>
        <v>325</v>
      </c>
      <c r="S74" s="57"/>
      <c r="T74" s="57"/>
      <c r="U74" s="57"/>
      <c r="V74" s="57">
        <f>SUM(V73:W73)</f>
        <v>1300</v>
      </c>
      <c r="W74" s="57"/>
      <c r="X74" s="49">
        <f t="shared" ref="X74" si="48">SUM(V74:W74)</f>
        <v>1300</v>
      </c>
    </row>
    <row r="75" spans="1:24" s="4" customFormat="1" x14ac:dyDescent="0.25">
      <c r="A75" s="72" t="s">
        <v>27</v>
      </c>
      <c r="B75" s="70" t="s">
        <v>1</v>
      </c>
      <c r="C75" s="70"/>
      <c r="D75" s="70" t="s">
        <v>3</v>
      </c>
      <c r="E75" s="70"/>
      <c r="F75" s="70" t="s">
        <v>1</v>
      </c>
      <c r="G75" s="70"/>
      <c r="H75" s="70" t="s">
        <v>3</v>
      </c>
      <c r="I75" s="70"/>
      <c r="J75" s="70" t="s">
        <v>1</v>
      </c>
      <c r="K75" s="70"/>
      <c r="L75" s="70" t="s">
        <v>3</v>
      </c>
      <c r="M75" s="70"/>
      <c r="N75" s="70" t="s">
        <v>1</v>
      </c>
      <c r="O75" s="70"/>
      <c r="P75" s="70" t="s">
        <v>3</v>
      </c>
      <c r="Q75" s="70"/>
      <c r="R75" s="70" t="s">
        <v>1</v>
      </c>
      <c r="S75" s="70"/>
      <c r="T75" s="70" t="s">
        <v>3</v>
      </c>
      <c r="U75" s="70"/>
      <c r="V75" s="40" t="s">
        <v>1</v>
      </c>
      <c r="W75" s="40" t="s">
        <v>3</v>
      </c>
      <c r="X75" s="41"/>
    </row>
    <row r="76" spans="1:24" s="4" customFormat="1" x14ac:dyDescent="0.25">
      <c r="A76" s="72"/>
      <c r="B76" s="70">
        <f>B61+B37+B66+D66+B73+D73</f>
        <v>915.39701678060908</v>
      </c>
      <c r="C76" s="70"/>
      <c r="D76" s="70">
        <f>D61+D37+C66+E66+C73+E73</f>
        <v>296</v>
      </c>
      <c r="E76" s="70"/>
      <c r="F76" s="70">
        <f>F61+F37+F66+H66+F73+H73</f>
        <v>14351.517339962709</v>
      </c>
      <c r="G76" s="70"/>
      <c r="H76" s="70">
        <f>H61+H37+G66+I66+G73+I73</f>
        <v>3913</v>
      </c>
      <c r="I76" s="70"/>
      <c r="J76" s="70">
        <f>J61+J37+J66+L66+J73+L73</f>
        <v>21761.241019266625</v>
      </c>
      <c r="K76" s="70"/>
      <c r="L76" s="70">
        <f>L61+L37+K66+M66+K73+M73</f>
        <v>22413</v>
      </c>
      <c r="M76" s="70"/>
      <c r="N76" s="70">
        <f>N61+N37+N66+P66+N73+P73</f>
        <v>11248.18297078931</v>
      </c>
      <c r="O76" s="70"/>
      <c r="P76" s="70">
        <f>P61+P37+O66+Q66+O73+Q73</f>
        <v>17790.5</v>
      </c>
      <c r="Q76" s="70"/>
      <c r="R76" s="70">
        <f>R61+R37+R66+T66+R73+T73</f>
        <v>7723.6616532007456</v>
      </c>
      <c r="S76" s="70"/>
      <c r="T76" s="70">
        <f>T61+T37+S66+U66+S73+U73</f>
        <v>11587.5</v>
      </c>
      <c r="U76" s="70"/>
      <c r="V76" s="41">
        <f>B76+F76+J76+N76+R76</f>
        <v>56000</v>
      </c>
      <c r="W76" s="51">
        <f>D76+H76+L76+P76+T76</f>
        <v>56000</v>
      </c>
      <c r="X76" s="41">
        <f>SUM(V76:W76)</f>
        <v>112000</v>
      </c>
    </row>
    <row r="77" spans="1:24" s="4" customFormat="1" x14ac:dyDescent="0.25">
      <c r="A77" s="46" t="s">
        <v>18</v>
      </c>
      <c r="B77" s="70">
        <f>SUM(B76:E76)</f>
        <v>1211.3970167806092</v>
      </c>
      <c r="C77" s="70"/>
      <c r="D77" s="70"/>
      <c r="E77" s="70"/>
      <c r="F77" s="70">
        <f>SUM(F76:I76)</f>
        <v>18264.517339962709</v>
      </c>
      <c r="G77" s="70"/>
      <c r="H77" s="70"/>
      <c r="I77" s="70"/>
      <c r="J77" s="70">
        <f>SUM(J76:M76)</f>
        <v>44174.241019266628</v>
      </c>
      <c r="K77" s="70"/>
      <c r="L77" s="70"/>
      <c r="M77" s="70"/>
      <c r="N77" s="70">
        <f>SUM(N76:Q76)</f>
        <v>29038.682970789312</v>
      </c>
      <c r="O77" s="70"/>
      <c r="P77" s="70"/>
      <c r="Q77" s="70"/>
      <c r="R77" s="70">
        <f>SUM(R76:U76)</f>
        <v>19311.161653200747</v>
      </c>
      <c r="S77" s="70"/>
      <c r="T77" s="70"/>
      <c r="U77" s="70"/>
      <c r="V77" s="70">
        <f>SUM(V76:W76)</f>
        <v>112000</v>
      </c>
      <c r="W77" s="70"/>
      <c r="X77" s="41">
        <f>SUM(V77:W77)</f>
        <v>112000</v>
      </c>
    </row>
    <row r="78" spans="1:24" s="8" customFormat="1" x14ac:dyDescent="0.25">
      <c r="A78" s="47" t="s">
        <v>14</v>
      </c>
      <c r="B78" s="71">
        <f>B77/$V$77</f>
        <v>1.0816044792684011E-2</v>
      </c>
      <c r="C78" s="71"/>
      <c r="D78" s="71"/>
      <c r="E78" s="71"/>
      <c r="F78" s="71">
        <f>F77/$V$77</f>
        <v>0.16307604767823847</v>
      </c>
      <c r="G78" s="71"/>
      <c r="H78" s="71"/>
      <c r="I78" s="71"/>
      <c r="J78" s="71">
        <f>J77/$V$77</f>
        <v>0.39441286624345206</v>
      </c>
      <c r="K78" s="71"/>
      <c r="L78" s="71"/>
      <c r="M78" s="71"/>
      <c r="N78" s="71">
        <f>N77/$V$77</f>
        <v>0.25927395509633316</v>
      </c>
      <c r="O78" s="71"/>
      <c r="P78" s="71"/>
      <c r="Q78" s="71"/>
      <c r="R78" s="71">
        <f>R77/$V$77</f>
        <v>0.17242108618929239</v>
      </c>
      <c r="S78" s="71"/>
      <c r="T78" s="71"/>
      <c r="U78" s="71"/>
      <c r="V78" s="71">
        <f>V77/X77</f>
        <v>1</v>
      </c>
      <c r="W78" s="71"/>
      <c r="X78" s="48"/>
    </row>
    <row r="79" spans="1:24" x14ac:dyDescent="0.25">
      <c r="V79" s="38"/>
      <c r="W79" s="38"/>
      <c r="X79" s="38"/>
    </row>
    <row r="80" spans="1:24" x14ac:dyDescent="0.25">
      <c r="V80" s="38"/>
      <c r="W80" s="38"/>
      <c r="X80" s="38"/>
    </row>
    <row r="81" spans="1:24" x14ac:dyDescent="0.25">
      <c r="V81" s="38"/>
      <c r="W81" s="38"/>
      <c r="X81" s="38"/>
    </row>
    <row r="82" spans="1:24" x14ac:dyDescent="0.25">
      <c r="A82" s="10" t="s">
        <v>15</v>
      </c>
      <c r="B82" s="11" t="s">
        <v>26</v>
      </c>
      <c r="C82" s="11" t="s">
        <v>8</v>
      </c>
      <c r="D82" s="11" t="s">
        <v>9</v>
      </c>
      <c r="E82" s="11" t="s">
        <v>10</v>
      </c>
      <c r="F82" s="11" t="s">
        <v>11</v>
      </c>
      <c r="G82" s="11" t="s">
        <v>4</v>
      </c>
      <c r="W82" s="13"/>
    </row>
    <row r="83" spans="1:24" x14ac:dyDescent="0.25">
      <c r="A83" s="9" t="s">
        <v>1</v>
      </c>
      <c r="B83" s="12">
        <f>B76</f>
        <v>915.39701678060908</v>
      </c>
      <c r="C83" s="12">
        <f>F76</f>
        <v>14351.517339962709</v>
      </c>
      <c r="D83" s="12">
        <f>J76</f>
        <v>21761.241019266625</v>
      </c>
      <c r="E83" s="12">
        <f>N76</f>
        <v>11248.18297078931</v>
      </c>
      <c r="F83" s="12">
        <f>R76</f>
        <v>7723.6616532007456</v>
      </c>
      <c r="G83" s="11">
        <f>SUM(B83:F83)</f>
        <v>56000</v>
      </c>
    </row>
    <row r="84" spans="1:24" x14ac:dyDescent="0.25">
      <c r="A84" s="9" t="s">
        <v>2</v>
      </c>
      <c r="B84" s="16">
        <f>B83/$G$83</f>
        <v>1.6346375299653732E-2</v>
      </c>
      <c r="C84" s="16">
        <f>C83/$G$83</f>
        <v>0.25627709535647697</v>
      </c>
      <c r="D84" s="16">
        <f>D83/$G$83</f>
        <v>0.38859358962976115</v>
      </c>
      <c r="E84" s="16">
        <f>E83/$G$83</f>
        <v>0.20086041019266626</v>
      </c>
      <c r="F84" s="16">
        <f>F83/$G$83</f>
        <v>0.13792252952144188</v>
      </c>
      <c r="G84" s="18">
        <f>SUM(B84:F84)</f>
        <v>1</v>
      </c>
    </row>
    <row r="85" spans="1:24" x14ac:dyDescent="0.25">
      <c r="A85" s="9" t="s">
        <v>3</v>
      </c>
      <c r="B85" s="12">
        <f>D76</f>
        <v>296</v>
      </c>
      <c r="C85" s="12">
        <f>H76</f>
        <v>3913</v>
      </c>
      <c r="D85" s="12">
        <f>L76</f>
        <v>22413</v>
      </c>
      <c r="E85" s="12">
        <f>P76</f>
        <v>17790.5</v>
      </c>
      <c r="F85" s="12">
        <f>T76</f>
        <v>11587.5</v>
      </c>
      <c r="G85" s="11">
        <f>SUM(B85:F85)</f>
        <v>56000</v>
      </c>
    </row>
    <row r="86" spans="1:24" x14ac:dyDescent="0.25">
      <c r="A86" s="9" t="s">
        <v>2</v>
      </c>
      <c r="B86" s="16">
        <f t="shared" ref="B86:G86" si="49">B85/$G$85</f>
        <v>5.2857142857142859E-3</v>
      </c>
      <c r="C86" s="16">
        <f t="shared" si="49"/>
        <v>6.9875000000000007E-2</v>
      </c>
      <c r="D86" s="16">
        <f t="shared" si="49"/>
        <v>0.40023214285714287</v>
      </c>
      <c r="E86" s="16">
        <f t="shared" si="49"/>
        <v>0.31768750000000001</v>
      </c>
      <c r="F86" s="16">
        <f t="shared" si="49"/>
        <v>0.20691964285714284</v>
      </c>
      <c r="G86" s="18">
        <f t="shared" si="49"/>
        <v>1</v>
      </c>
    </row>
    <row r="87" spans="1:24" x14ac:dyDescent="0.25">
      <c r="A87" s="69" t="s">
        <v>4</v>
      </c>
      <c r="B87" s="11">
        <f>SUM(B83+B85)</f>
        <v>1211.3970167806092</v>
      </c>
      <c r="C87" s="11">
        <f>SUM(C83+C85)</f>
        <v>18264.517339962709</v>
      </c>
      <c r="D87" s="11">
        <f>SUM(D83+D85)</f>
        <v>44174.241019266628</v>
      </c>
      <c r="E87" s="11">
        <f>SUM(E83+E85)</f>
        <v>29038.682970789312</v>
      </c>
      <c r="F87" s="11">
        <f>SUM(F83+F85)</f>
        <v>19311.161653200747</v>
      </c>
      <c r="G87" s="11">
        <f>SUM(B87:F87)</f>
        <v>112000</v>
      </c>
    </row>
    <row r="88" spans="1:24" x14ac:dyDescent="0.25">
      <c r="A88" s="69"/>
      <c r="B88" s="18">
        <f t="shared" ref="B88:G88" si="50">B87/$G$87</f>
        <v>1.0816044792684011E-2</v>
      </c>
      <c r="C88" s="18">
        <f t="shared" si="50"/>
        <v>0.16307604767823847</v>
      </c>
      <c r="D88" s="18">
        <f t="shared" si="50"/>
        <v>0.39441286624345206</v>
      </c>
      <c r="E88" s="18">
        <f>E87/$G$87</f>
        <v>0.25927395509633316</v>
      </c>
      <c r="F88" s="18">
        <f t="shared" si="50"/>
        <v>0.17242108618929239</v>
      </c>
      <c r="G88" s="18">
        <f t="shared" si="50"/>
        <v>1</v>
      </c>
    </row>
    <row r="92" spans="1:24" s="45" customFormat="1" x14ac:dyDescent="0.25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  <c r="W92" s="44"/>
      <c r="X92" s="44"/>
    </row>
    <row r="93" spans="1:24" s="52" customFormat="1" x14ac:dyDescent="0.25">
      <c r="C93" s="52" t="s">
        <v>44</v>
      </c>
      <c r="D93" s="54">
        <f t="shared" ref="D93:U93" si="51">(D10+E23+E25+E27+E29)/($V$10+$W$23+$W$25+$W$27+$W$29)</f>
        <v>9.8943443132380356E-3</v>
      </c>
      <c r="E93" s="54">
        <f t="shared" si="51"/>
        <v>0</v>
      </c>
      <c r="F93" s="54">
        <f t="shared" si="51"/>
        <v>4.9471721566190181E-2</v>
      </c>
      <c r="G93" s="54">
        <f t="shared" si="51"/>
        <v>0</v>
      </c>
      <c r="H93" s="54">
        <f t="shared" si="51"/>
        <v>0.10801740211311374</v>
      </c>
      <c r="I93" s="54">
        <f t="shared" si="51"/>
        <v>0</v>
      </c>
      <c r="J93" s="54">
        <f t="shared" si="51"/>
        <v>0.18328154133001864</v>
      </c>
      <c r="K93" s="54">
        <f t="shared" si="51"/>
        <v>0</v>
      </c>
      <c r="L93" s="54">
        <f t="shared" si="51"/>
        <v>0.26067122436295836</v>
      </c>
      <c r="M93" s="54">
        <f t="shared" si="51"/>
        <v>0</v>
      </c>
      <c r="N93" s="54">
        <f t="shared" si="51"/>
        <v>0.15835922933499066</v>
      </c>
      <c r="O93" s="54">
        <f t="shared" si="51"/>
        <v>0</v>
      </c>
      <c r="P93" s="54">
        <f t="shared" si="51"/>
        <v>9.1454319453076444E-2</v>
      </c>
      <c r="Q93" s="54">
        <f t="shared" si="51"/>
        <v>0</v>
      </c>
      <c r="R93" s="54">
        <f t="shared" si="51"/>
        <v>8.8321939092604107E-2</v>
      </c>
      <c r="S93" s="54">
        <f t="shared" si="51"/>
        <v>0</v>
      </c>
      <c r="T93" s="54">
        <f t="shared" si="51"/>
        <v>5.0528278433809817E-2</v>
      </c>
      <c r="U93" s="54">
        <f t="shared" si="51"/>
        <v>0</v>
      </c>
      <c r="V93" s="53">
        <f>SUM(D93:U93)</f>
        <v>1.0000000000000002</v>
      </c>
    </row>
  </sheetData>
  <mergeCells count="199">
    <mergeCell ref="V62:W62"/>
    <mergeCell ref="V78:W78"/>
    <mergeCell ref="R75:S75"/>
    <mergeCell ref="T75:U75"/>
    <mergeCell ref="R76:S76"/>
    <mergeCell ref="T76:U76"/>
    <mergeCell ref="V77:W77"/>
    <mergeCell ref="R78:U78"/>
    <mergeCell ref="F78:I78"/>
    <mergeCell ref="J78:M78"/>
    <mergeCell ref="N78:Q78"/>
    <mergeCell ref="F77:I77"/>
    <mergeCell ref="J77:M77"/>
    <mergeCell ref="N75:O75"/>
    <mergeCell ref="R77:U77"/>
    <mergeCell ref="N77:Q77"/>
    <mergeCell ref="N76:O76"/>
    <mergeCell ref="P76:Q76"/>
    <mergeCell ref="P75:Q75"/>
    <mergeCell ref="H75:I75"/>
    <mergeCell ref="J75:K75"/>
    <mergeCell ref="J59:M59"/>
    <mergeCell ref="N59:Q59"/>
    <mergeCell ref="T60:U60"/>
    <mergeCell ref="N60:O60"/>
    <mergeCell ref="P60:Q60"/>
    <mergeCell ref="R60:S60"/>
    <mergeCell ref="R61:S61"/>
    <mergeCell ref="R62:U62"/>
    <mergeCell ref="T61:U61"/>
    <mergeCell ref="N62:Q62"/>
    <mergeCell ref="B59:E59"/>
    <mergeCell ref="F59:I59"/>
    <mergeCell ref="B38:E38"/>
    <mergeCell ref="B39:E39"/>
    <mergeCell ref="A48:A49"/>
    <mergeCell ref="A50:A51"/>
    <mergeCell ref="A52:A53"/>
    <mergeCell ref="A54:A55"/>
    <mergeCell ref="A56:A57"/>
    <mergeCell ref="A1:X1"/>
    <mergeCell ref="A2:X2"/>
    <mergeCell ref="X5:X7"/>
    <mergeCell ref="N6:O6"/>
    <mergeCell ref="R6:S6"/>
    <mergeCell ref="V5:W6"/>
    <mergeCell ref="F6:G6"/>
    <mergeCell ref="N5:Q5"/>
    <mergeCell ref="B6:C6"/>
    <mergeCell ref="T6:U6"/>
    <mergeCell ref="P6:Q6"/>
    <mergeCell ref="F5:I5"/>
    <mergeCell ref="B5:E5"/>
    <mergeCell ref="D6:E6"/>
    <mergeCell ref="H6:I6"/>
    <mergeCell ref="L6:M6"/>
    <mergeCell ref="B4:E4"/>
    <mergeCell ref="F4:I4"/>
    <mergeCell ref="J4:M4"/>
    <mergeCell ref="N4:Q4"/>
    <mergeCell ref="R4:U4"/>
    <mergeCell ref="J34:M34"/>
    <mergeCell ref="V59:W59"/>
    <mergeCell ref="J36:K36"/>
    <mergeCell ref="V38:W38"/>
    <mergeCell ref="F37:G37"/>
    <mergeCell ref="F36:G36"/>
    <mergeCell ref="V34:W34"/>
    <mergeCell ref="R38:U38"/>
    <mergeCell ref="N34:Q34"/>
    <mergeCell ref="H37:I37"/>
    <mergeCell ref="J38:M38"/>
    <mergeCell ref="F38:I38"/>
    <mergeCell ref="F39:I39"/>
    <mergeCell ref="J39:M39"/>
    <mergeCell ref="N39:Q39"/>
    <mergeCell ref="R39:U39"/>
    <mergeCell ref="V39:X39"/>
    <mergeCell ref="F34:I34"/>
    <mergeCell ref="L37:M37"/>
    <mergeCell ref="R59:U59"/>
    <mergeCell ref="R37:S37"/>
    <mergeCell ref="T37:U37"/>
    <mergeCell ref="N36:O36"/>
    <mergeCell ref="P36:Q36"/>
    <mergeCell ref="B34:E34"/>
    <mergeCell ref="R34:U34"/>
    <mergeCell ref="F19:I19"/>
    <mergeCell ref="D60:E60"/>
    <mergeCell ref="F60:G60"/>
    <mergeCell ref="B61:C61"/>
    <mergeCell ref="D61:E61"/>
    <mergeCell ref="F61:G61"/>
    <mergeCell ref="A5:A7"/>
    <mergeCell ref="H60:I60"/>
    <mergeCell ref="J60:K60"/>
    <mergeCell ref="L60:M60"/>
    <mergeCell ref="J5:M5"/>
    <mergeCell ref="L36:M36"/>
    <mergeCell ref="J6:K6"/>
    <mergeCell ref="J37:K37"/>
    <mergeCell ref="B19:E19"/>
    <mergeCell ref="J19:M19"/>
    <mergeCell ref="N19:Q19"/>
    <mergeCell ref="H36:I36"/>
    <mergeCell ref="R36:S36"/>
    <mergeCell ref="R5:U5"/>
    <mergeCell ref="T36:U36"/>
    <mergeCell ref="R19:U19"/>
    <mergeCell ref="A87:A88"/>
    <mergeCell ref="P61:Q61"/>
    <mergeCell ref="F75:G75"/>
    <mergeCell ref="F76:G76"/>
    <mergeCell ref="B76:C76"/>
    <mergeCell ref="D76:E76"/>
    <mergeCell ref="A60:A61"/>
    <mergeCell ref="B60:C60"/>
    <mergeCell ref="N61:O61"/>
    <mergeCell ref="B78:E78"/>
    <mergeCell ref="A75:A76"/>
    <mergeCell ref="B62:E62"/>
    <mergeCell ref="F62:I62"/>
    <mergeCell ref="J62:M62"/>
    <mergeCell ref="H76:I76"/>
    <mergeCell ref="J76:K76"/>
    <mergeCell ref="L76:M76"/>
    <mergeCell ref="B75:C75"/>
    <mergeCell ref="D75:E75"/>
    <mergeCell ref="L75:M75"/>
    <mergeCell ref="J61:K61"/>
    <mergeCell ref="L61:M61"/>
    <mergeCell ref="B77:E77"/>
    <mergeCell ref="H61:I61"/>
    <mergeCell ref="A31:A32"/>
    <mergeCell ref="A23:A24"/>
    <mergeCell ref="A25:A26"/>
    <mergeCell ref="A27:A28"/>
    <mergeCell ref="A29:A30"/>
    <mergeCell ref="A16:A17"/>
    <mergeCell ref="V9:X9"/>
    <mergeCell ref="V8:X8"/>
    <mergeCell ref="A14:A15"/>
    <mergeCell ref="A12:A13"/>
    <mergeCell ref="A10:A11"/>
    <mergeCell ref="V19:W19"/>
    <mergeCell ref="B8:E8"/>
    <mergeCell ref="B9:E9"/>
    <mergeCell ref="F8:I8"/>
    <mergeCell ref="J8:M8"/>
    <mergeCell ref="N8:Q8"/>
    <mergeCell ref="R8:U8"/>
    <mergeCell ref="F9:I9"/>
    <mergeCell ref="J9:M9"/>
    <mergeCell ref="N9:Q9"/>
    <mergeCell ref="R9:U9"/>
    <mergeCell ref="B21:E21"/>
    <mergeCell ref="F21:I21"/>
    <mergeCell ref="J21:M21"/>
    <mergeCell ref="N21:Q21"/>
    <mergeCell ref="R21:U21"/>
    <mergeCell ref="V21:X21"/>
    <mergeCell ref="B20:E20"/>
    <mergeCell ref="F20:I20"/>
    <mergeCell ref="J20:M20"/>
    <mergeCell ref="N20:Q20"/>
    <mergeCell ref="R20:U20"/>
    <mergeCell ref="V20:X20"/>
    <mergeCell ref="B35:E35"/>
    <mergeCell ref="F35:I35"/>
    <mergeCell ref="J35:M35"/>
    <mergeCell ref="N35:Q35"/>
    <mergeCell ref="R35:U35"/>
    <mergeCell ref="V35:X35"/>
    <mergeCell ref="A42:A43"/>
    <mergeCell ref="A44:A45"/>
    <mergeCell ref="A46:A47"/>
    <mergeCell ref="B37:C37"/>
    <mergeCell ref="D37:E37"/>
    <mergeCell ref="A36:A37"/>
    <mergeCell ref="B36:C36"/>
    <mergeCell ref="D36:E36"/>
    <mergeCell ref="P37:Q37"/>
    <mergeCell ref="N37:O37"/>
    <mergeCell ref="N38:Q38"/>
    <mergeCell ref="B74:E74"/>
    <mergeCell ref="F74:I74"/>
    <mergeCell ref="J74:M74"/>
    <mergeCell ref="N74:Q74"/>
    <mergeCell ref="R74:U74"/>
    <mergeCell ref="V74:W74"/>
    <mergeCell ref="A64:A65"/>
    <mergeCell ref="B67:E67"/>
    <mergeCell ref="F67:I67"/>
    <mergeCell ref="J67:M67"/>
    <mergeCell ref="N67:Q67"/>
    <mergeCell ref="R67:U67"/>
    <mergeCell ref="V67:W67"/>
    <mergeCell ref="A69:A70"/>
    <mergeCell ref="A71:A72"/>
  </mergeCells>
  <phoneticPr fontId="20" type="noConversion"/>
  <pageMargins left="0.19685039370078741" right="0.19685039370078741" top="0.39370078740157483" bottom="0.39370078740157483" header="0.31496062992125984" footer="0.31496062992125984"/>
  <pageSetup paperSize="8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5" x14ac:dyDescent="0.25"/>
  <sheetData/>
  <phoneticPr fontId="2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0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39660251</IDBDocs_x0020_Number>
    <TaxCatchAll xmlns="9c571b2f-e523-4ab2-ba2e-09e151a03ef4">
      <Value>11</Value>
      <Value>10</Value>
    </TaxCatchAll>
    <Phase xmlns="9c571b2f-e523-4ab2-ba2e-09e151a03ef4" xsi:nil="true"/>
    <SISCOR_x0020_Number xmlns="9c571b2f-e523-4ab2-ba2e-09e151a03ef4" xsi:nil="true"/>
    <Division_x0020_or_x0020_Unit xmlns="9c571b2f-e523-4ab2-ba2e-09e151a03ef4">IFD/FMM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Approval_x0020_Number xmlns="9c571b2f-e523-4ab2-ba2e-09e151a03ef4" xsi:nil="true"/>
    <Document_x0020_Author xmlns="9c571b2f-e523-4ab2-ba2e-09e151a03ef4">Hobbs, Jason Anthony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BR-L1422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Proposal&lt;/USER_STAGE&gt;&lt;PD_OBJ_TYPE&gt;0&lt;/PD_OBJ_TYPE&gt;&lt;MAKERECORD&gt;N&lt;/MAKERECORD&gt;&lt;PD_FILEPT_NO&gt;PO-BR-L1422-Anl&lt;/PD_FILEPT_NO&gt;&lt;/Data&gt;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DU-DUR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5FA93FBA580EE4FB1AB5996B5A88039" ma:contentTypeVersion="0" ma:contentTypeDescription="A content type to manage public (operations) IDB documents" ma:contentTypeScope="" ma:versionID="54b29b7265dd001e29fd253741c6a30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7CEA342-08C7-44D2-AB9A-BDAC705877C7}"/>
</file>

<file path=customXml/itemProps2.xml><?xml version="1.0" encoding="utf-8"?>
<ds:datastoreItem xmlns:ds="http://schemas.openxmlformats.org/officeDocument/2006/customXml" ds:itemID="{8F355896-DCE9-4A73-A23F-69EC4E683AA0}"/>
</file>

<file path=customXml/itemProps3.xml><?xml version="1.0" encoding="utf-8"?>
<ds:datastoreItem xmlns:ds="http://schemas.openxmlformats.org/officeDocument/2006/customXml" ds:itemID="{3BCEF389-368B-4BA9-9F19-C19804CCDA0B}"/>
</file>

<file path=customXml/itemProps4.xml><?xml version="1.0" encoding="utf-8"?>
<ds:datastoreItem xmlns:ds="http://schemas.openxmlformats.org/officeDocument/2006/customXml" ds:itemID="{C760B83E-0139-4EB5-B7A7-03C1BA773D75}"/>
</file>

<file path=customXml/itemProps5.xml><?xml version="1.0" encoding="utf-8"?>
<ds:datastoreItem xmlns:ds="http://schemas.openxmlformats.org/officeDocument/2006/customXml" ds:itemID="{0C5439DC-FDA5-4839-87CF-2905D24445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POA</vt:lpstr>
      <vt:lpstr>Plan2</vt:lpstr>
      <vt:lpstr>Plan3</vt:lpstr>
      <vt:lpstr>POA!Print_Area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Operativo Anual (POA)</dc:title>
  <dc:creator>PMCG</dc:creator>
  <cp:lastModifiedBy>IADB</cp:lastModifiedBy>
  <cp:lastPrinted>2015-06-02T14:28:38Z</cp:lastPrinted>
  <dcterms:created xsi:type="dcterms:W3CDTF">2014-11-10T12:59:25Z</dcterms:created>
  <dcterms:modified xsi:type="dcterms:W3CDTF">2015-06-02T19:49:16Z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0x01010046CF21643EE8D14686A648AA6DAD08920025FA93FBA580EE4FB1AB5996B5A88039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10;#Loan Proposal|6ee86b6f-6e46-485b-8bfb-87a1f44622ac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10;#Loan Proposal|6ee86b6f-6e46-485b-8bfb-87a1f44622ac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