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idbg.sharepoint.com/teams/EZ-JA-LON/JA-L1074/15 LifeCycle Milestones/Draft Area/"/>
    </mc:Choice>
  </mc:AlternateContent>
  <bookViews>
    <workbookView xWindow="0" yWindow="0" windowWidth="25200" windowHeight="11760" activeTab="2" xr2:uid="{00000000-000D-0000-FFFF-FFFF00000000}"/>
  </bookViews>
  <sheets>
    <sheet name="AOP_PEP" sheetId="5" r:id="rId1"/>
    <sheet name="Budget" sheetId="1" r:id="rId2"/>
    <sheet name="Procurement Plan" sheetId="2" r:id="rId3"/>
    <sheet name="Procurement Plan - intro" sheetId="3" r:id="rId4"/>
  </sheets>
  <definedNames>
    <definedName name="_xlnm.Print_Area" localSheetId="1">Budget!$A$8:$BY$92</definedName>
  </definedNames>
  <calcPr calcId="171027"/>
</workbook>
</file>

<file path=xl/calcChain.xml><?xml version="1.0" encoding="utf-8"?>
<calcChain xmlns="http://schemas.openxmlformats.org/spreadsheetml/2006/main">
  <c r="BY89" i="1" l="1"/>
  <c r="BY76" i="1" l="1"/>
  <c r="BY77" i="1"/>
  <c r="BY78" i="1"/>
  <c r="BY79" i="1"/>
  <c r="BY80" i="1"/>
  <c r="BY81" i="1"/>
  <c r="BY82" i="1"/>
  <c r="BY84" i="1"/>
  <c r="BY75" i="1"/>
  <c r="BK76" i="1"/>
  <c r="BK77" i="1"/>
  <c r="BK78" i="1"/>
  <c r="BK79" i="1"/>
  <c r="BK80" i="1"/>
  <c r="BK81" i="1"/>
  <c r="BK82" i="1"/>
  <c r="BK75" i="1"/>
  <c r="AW76" i="1"/>
  <c r="AW77" i="1"/>
  <c r="AW78" i="1"/>
  <c r="AW79" i="1"/>
  <c r="AW80" i="1"/>
  <c r="AW81" i="1"/>
  <c r="AW82" i="1"/>
  <c r="AW75" i="1"/>
  <c r="AI79" i="1"/>
  <c r="AI80" i="1"/>
  <c r="AI81" i="1"/>
  <c r="AI82" i="1"/>
  <c r="AI84" i="1"/>
  <c r="AI76" i="1"/>
  <c r="AI77" i="1"/>
  <c r="AI78" i="1"/>
  <c r="AI75" i="1"/>
  <c r="G85" i="1"/>
  <c r="G84" i="1"/>
  <c r="R87" i="1"/>
  <c r="S87" i="1"/>
  <c r="T87" i="1"/>
  <c r="U87" i="1"/>
  <c r="V87" i="1"/>
  <c r="W87" i="1"/>
  <c r="X87" i="1"/>
  <c r="Y87" i="1"/>
  <c r="Z87" i="1"/>
  <c r="AA87" i="1"/>
  <c r="AB87" i="1"/>
  <c r="AD87" i="1"/>
  <c r="AE87" i="1"/>
  <c r="AF87" i="1"/>
  <c r="AG87" i="1"/>
  <c r="AK87" i="1"/>
  <c r="AL87" i="1"/>
  <c r="AM87" i="1"/>
  <c r="AN87" i="1"/>
  <c r="AO87" i="1"/>
  <c r="AP87" i="1"/>
  <c r="AR87" i="1"/>
  <c r="AS87" i="1"/>
  <c r="AT87" i="1"/>
  <c r="AU87" i="1"/>
  <c r="AX87" i="1"/>
  <c r="AY87" i="1"/>
  <c r="BA87" i="1"/>
  <c r="BB87" i="1"/>
  <c r="BC87" i="1"/>
  <c r="BD87" i="1"/>
  <c r="BF87" i="1"/>
  <c r="BG87" i="1"/>
  <c r="BH87" i="1"/>
  <c r="BI87" i="1"/>
  <c r="BL87" i="1"/>
  <c r="BM87" i="1"/>
  <c r="BN87" i="1"/>
  <c r="BO87" i="1"/>
  <c r="BP87" i="1"/>
  <c r="BQ87" i="1"/>
  <c r="BR87" i="1"/>
  <c r="BT87" i="1"/>
  <c r="BU87" i="1"/>
  <c r="BV87" i="1"/>
  <c r="BW87" i="1"/>
  <c r="O87" i="1"/>
  <c r="P87" i="1"/>
  <c r="L87" i="1"/>
  <c r="M87" i="1"/>
  <c r="N87" i="1"/>
  <c r="K87" i="1"/>
  <c r="B36" i="2" l="1"/>
  <c r="B30" i="2"/>
  <c r="B47" i="2" l="1"/>
  <c r="B43" i="2"/>
  <c r="C108" i="2"/>
  <c r="H108" i="2"/>
  <c r="H41" i="2"/>
  <c r="H58" i="2"/>
  <c r="H85" i="2"/>
  <c r="C85" i="2"/>
  <c r="H84" i="2"/>
  <c r="C84" i="2"/>
  <c r="H83" i="2"/>
  <c r="C83" i="2"/>
  <c r="H81" i="2"/>
  <c r="C81" i="2"/>
  <c r="B80" i="2"/>
  <c r="B79" i="2"/>
  <c r="H78" i="2"/>
  <c r="C78" i="2"/>
  <c r="B77" i="2"/>
  <c r="H76" i="2"/>
  <c r="C76" i="2"/>
  <c r="B75" i="2"/>
  <c r="H73" i="2"/>
  <c r="C73" i="2"/>
  <c r="C71" i="2"/>
  <c r="B70" i="2"/>
  <c r="H71" i="2"/>
  <c r="H69" i="2"/>
  <c r="C69" i="2"/>
  <c r="H68" i="2"/>
  <c r="C68" i="2"/>
  <c r="H67" i="2"/>
  <c r="C67" i="2"/>
  <c r="B66" i="2"/>
  <c r="H86" i="2" l="1"/>
  <c r="H25" i="2"/>
  <c r="H35" i="2"/>
  <c r="H46" i="2"/>
  <c r="B26" i="2"/>
  <c r="B19" i="2"/>
  <c r="H11" i="2"/>
  <c r="H10" i="2"/>
  <c r="B9" i="2"/>
  <c r="K92" i="1"/>
  <c r="Y93" i="1"/>
  <c r="H18" i="2" l="1"/>
  <c r="J84" i="1"/>
  <c r="AW49" i="1"/>
  <c r="BY12" i="1"/>
  <c r="AW12" i="1"/>
  <c r="AW31" i="1"/>
  <c r="BK31" i="1"/>
  <c r="BY31" i="1"/>
  <c r="BK20" i="1"/>
  <c r="G16" i="1"/>
  <c r="G14" i="1"/>
  <c r="G13" i="1"/>
  <c r="G12" i="1"/>
  <c r="G11" i="1"/>
  <c r="G10" i="1"/>
  <c r="E84" i="1"/>
  <c r="E85" i="1"/>
  <c r="D66" i="1"/>
  <c r="D62" i="1"/>
  <c r="D65" i="1"/>
  <c r="D64" i="1"/>
  <c r="D63" i="1"/>
  <c r="D61" i="1"/>
  <c r="D59" i="1"/>
  <c r="D58" i="1"/>
  <c r="D22" i="1"/>
  <c r="D67" i="1"/>
  <c r="A67" i="1"/>
  <c r="D60" i="1"/>
  <c r="A60" i="1"/>
  <c r="D57" i="1"/>
  <c r="A57" i="1"/>
  <c r="D53" i="1"/>
  <c r="A53" i="1"/>
  <c r="D46" i="1"/>
  <c r="A46" i="1"/>
  <c r="D39" i="1"/>
  <c r="A39" i="1"/>
  <c r="D30" i="1"/>
  <c r="A30" i="1"/>
  <c r="D12" i="1"/>
  <c r="A12" i="1"/>
  <c r="D29" i="1"/>
  <c r="D27" i="1"/>
  <c r="A27" i="1"/>
  <c r="D26" i="1"/>
  <c r="D25" i="1"/>
  <c r="D24" i="1"/>
  <c r="D23" i="1"/>
  <c r="D16" i="1"/>
  <c r="D15" i="1"/>
  <c r="E11" i="1"/>
  <c r="E10" i="1"/>
  <c r="D20" i="1"/>
  <c r="D19" i="1"/>
  <c r="D18" i="1"/>
  <c r="D17" i="1"/>
  <c r="D14" i="1"/>
  <c r="D13" i="1"/>
  <c r="A20" i="1"/>
  <c r="A14" i="1"/>
  <c r="D57" i="5"/>
  <c r="E21" i="1" l="1"/>
  <c r="AJ84" i="1"/>
  <c r="AZ84" i="1"/>
  <c r="D45" i="5"/>
  <c r="D34" i="5"/>
  <c r="AZ87" i="1" l="1"/>
  <c r="BK84" i="1"/>
  <c r="AJ87" i="1"/>
  <c r="AW84" i="1"/>
  <c r="D24" i="5"/>
  <c r="C103" i="2" l="1"/>
  <c r="H103" i="2"/>
  <c r="C25" i="3"/>
  <c r="H101" i="2"/>
  <c r="H100" i="2"/>
  <c r="H99" i="2"/>
  <c r="H97" i="2"/>
  <c r="H96" i="2"/>
  <c r="H95" i="2"/>
  <c r="H92" i="2"/>
  <c r="C23" i="3" s="1"/>
  <c r="H28" i="2"/>
  <c r="C95" i="2"/>
  <c r="C102" i="2"/>
  <c r="C101" i="2"/>
  <c r="C100" i="2"/>
  <c r="C99" i="2"/>
  <c r="C98" i="2"/>
  <c r="C97" i="2"/>
  <c r="C96" i="2"/>
  <c r="C92" i="2"/>
  <c r="B82" i="2"/>
  <c r="B72" i="2"/>
  <c r="I92" i="1"/>
  <c r="AA61" i="1"/>
  <c r="AI61" i="1" s="1"/>
  <c r="BY61" i="1"/>
  <c r="BK67" i="1"/>
  <c r="BK66" i="1"/>
  <c r="BK64" i="1"/>
  <c r="BK62" i="1"/>
  <c r="BK61" i="1"/>
  <c r="AW64" i="1"/>
  <c r="AW61" i="1"/>
  <c r="AI63" i="1"/>
  <c r="G66" i="1"/>
  <c r="G64" i="1"/>
  <c r="G63" i="1"/>
  <c r="G62" i="1"/>
  <c r="G59" i="1"/>
  <c r="G58" i="1"/>
  <c r="BK55" i="1"/>
  <c r="AW55" i="1"/>
  <c r="G56" i="1"/>
  <c r="G57" i="1"/>
  <c r="G55" i="1"/>
  <c r="BK53" i="1"/>
  <c r="AW53" i="1"/>
  <c r="AI53" i="1"/>
  <c r="G53" i="1"/>
  <c r="AW44" i="1"/>
  <c r="AW43" i="1"/>
  <c r="AW42" i="1"/>
  <c r="AW41" i="1"/>
  <c r="BK42" i="1"/>
  <c r="BK43" i="1"/>
  <c r="BK44" i="1"/>
  <c r="BK46" i="1"/>
  <c r="BK47" i="1" s="1"/>
  <c r="BK41" i="1"/>
  <c r="BY43" i="1"/>
  <c r="BY44" i="1"/>
  <c r="BY46" i="1"/>
  <c r="BY47" i="1" s="1"/>
  <c r="BK35" i="1"/>
  <c r="BK36" i="1"/>
  <c r="BK37" i="1"/>
  <c r="BK38" i="1"/>
  <c r="BK39" i="1"/>
  <c r="AW35" i="1"/>
  <c r="AW37" i="1"/>
  <c r="AW39" i="1"/>
  <c r="AI39" i="1"/>
  <c r="AI38" i="1"/>
  <c r="AI36" i="1"/>
  <c r="G39" i="1"/>
  <c r="G38" i="1"/>
  <c r="G37" i="1"/>
  <c r="G36" i="1"/>
  <c r="G35" i="1"/>
  <c r="AW46" i="1"/>
  <c r="AI46" i="1"/>
  <c r="AI47" i="1" s="1"/>
  <c r="AI44" i="1"/>
  <c r="AI41" i="1"/>
  <c r="AI30" i="1"/>
  <c r="G26" i="1"/>
  <c r="AI20" i="1"/>
  <c r="AW20" i="1"/>
  <c r="BY14" i="1"/>
  <c r="BY21" i="1" s="1"/>
  <c r="BK14" i="1"/>
  <c r="AW14" i="1"/>
  <c r="BK27" i="1"/>
  <c r="AW27" i="1"/>
  <c r="AW19" i="1"/>
  <c r="AW25" i="1"/>
  <c r="AW17" i="1"/>
  <c r="AI27" i="1"/>
  <c r="P28" i="1"/>
  <c r="P93" i="1" s="1"/>
  <c r="N28" i="1"/>
  <c r="M28" i="1"/>
  <c r="S28" i="1"/>
  <c r="S93" i="1" s="1"/>
  <c r="BJ28" i="1"/>
  <c r="D81" i="5"/>
  <c r="H98" i="2" s="1"/>
  <c r="AW45" i="1" l="1"/>
  <c r="H59" i="2"/>
  <c r="BK45" i="1"/>
  <c r="G40" i="1"/>
  <c r="BK40" i="1"/>
  <c r="U28" i="1"/>
  <c r="D83" i="1"/>
  <c r="D81" i="1"/>
  <c r="D80" i="1"/>
  <c r="D79" i="1"/>
  <c r="D78" i="1"/>
  <c r="D77" i="1"/>
  <c r="D76" i="1"/>
  <c r="D75" i="1"/>
  <c r="D55" i="1"/>
  <c r="D52" i="1"/>
  <c r="D51" i="1"/>
  <c r="D44" i="1"/>
  <c r="D43" i="1"/>
  <c r="D42" i="1"/>
  <c r="D41" i="1"/>
  <c r="D38" i="1"/>
  <c r="D37" i="1"/>
  <c r="E37" i="1" s="1"/>
  <c r="Z37" i="1" s="1"/>
  <c r="AI37" i="1" s="1"/>
  <c r="D36" i="1"/>
  <c r="E36" i="1" s="1"/>
  <c r="AJ36" i="1" s="1"/>
  <c r="AW36" i="1" s="1"/>
  <c r="D35" i="1"/>
  <c r="E35" i="1" s="1"/>
  <c r="AC35" i="1" s="1"/>
  <c r="AI35" i="1" s="1"/>
  <c r="E22" i="1"/>
  <c r="D85" i="5"/>
  <c r="AI40" i="1" l="1"/>
  <c r="E77" i="1"/>
  <c r="J77" i="1"/>
  <c r="G77" i="1" s="1"/>
  <c r="E79" i="1"/>
  <c r="J79" i="1"/>
  <c r="G79" i="1" s="1"/>
  <c r="E81" i="1"/>
  <c r="J81" i="1"/>
  <c r="G81" i="1" s="1"/>
  <c r="E76" i="1"/>
  <c r="J76" i="1"/>
  <c r="G76" i="1" s="1"/>
  <c r="E78" i="1"/>
  <c r="J78" i="1"/>
  <c r="G78" i="1" s="1"/>
  <c r="E80" i="1"/>
  <c r="J80" i="1"/>
  <c r="G80" i="1" s="1"/>
  <c r="E83" i="1"/>
  <c r="BE83" i="1"/>
  <c r="AC83" i="1"/>
  <c r="BS83" i="1"/>
  <c r="AQ83" i="1"/>
  <c r="D77" i="5"/>
  <c r="H102" i="2"/>
  <c r="H104" i="2" s="1"/>
  <c r="D82" i="1"/>
  <c r="AB12" i="1"/>
  <c r="AA12" i="1"/>
  <c r="E25" i="1"/>
  <c r="O25" i="1"/>
  <c r="V25" i="1"/>
  <c r="AI25" i="1" s="1"/>
  <c r="Q19" i="1"/>
  <c r="L19" i="1"/>
  <c r="AA19" i="1"/>
  <c r="AI19" i="1" s="1"/>
  <c r="AP22" i="1"/>
  <c r="AE22" i="1"/>
  <c r="T22" i="1"/>
  <c r="E24" i="1"/>
  <c r="AP24" i="1"/>
  <c r="AW24" i="1" s="1"/>
  <c r="E30" i="1"/>
  <c r="R30" i="1"/>
  <c r="G30" i="1" s="1"/>
  <c r="E38" i="1"/>
  <c r="AL38" i="1"/>
  <c r="AW38" i="1" s="1"/>
  <c r="AW40" i="1" s="1"/>
  <c r="E41" i="1"/>
  <c r="R41" i="1"/>
  <c r="G41" i="1" s="1"/>
  <c r="E43" i="1"/>
  <c r="V43" i="1"/>
  <c r="AI43" i="1" s="1"/>
  <c r="AI45" i="1" s="1"/>
  <c r="AI49" i="1" s="1"/>
  <c r="E52" i="1"/>
  <c r="AJ52" i="1"/>
  <c r="AW52" i="1" s="1"/>
  <c r="V52" i="1"/>
  <c r="AI52" i="1" s="1"/>
  <c r="AX52" i="1"/>
  <c r="BK52" i="1" s="1"/>
  <c r="L52" i="1"/>
  <c r="G52" i="1" s="1"/>
  <c r="E55" i="1"/>
  <c r="W55" i="1"/>
  <c r="E59" i="1"/>
  <c r="V59" i="1"/>
  <c r="AI59" i="1" s="1"/>
  <c r="E61" i="1"/>
  <c r="O61" i="1"/>
  <c r="E63" i="1"/>
  <c r="BO63" i="1"/>
  <c r="BY63" i="1" s="1"/>
  <c r="BY68" i="1" s="1"/>
  <c r="AM63" i="1"/>
  <c r="AW63" i="1" s="1"/>
  <c r="BA63" i="1"/>
  <c r="BK63" i="1" s="1"/>
  <c r="E66" i="1"/>
  <c r="AK66" i="1"/>
  <c r="AW66" i="1" s="1"/>
  <c r="AE66" i="1"/>
  <c r="AI66" i="1" s="1"/>
  <c r="E65" i="1"/>
  <c r="AJ65" i="1"/>
  <c r="AL15" i="1"/>
  <c r="AW15" i="1" s="1"/>
  <c r="AA15" i="1"/>
  <c r="R15" i="1"/>
  <c r="L15" i="1"/>
  <c r="AA17" i="1"/>
  <c r="AI17" i="1" s="1"/>
  <c r="Q17" i="1"/>
  <c r="L18" i="1"/>
  <c r="AA18" i="1"/>
  <c r="AI18" i="1" s="1"/>
  <c r="AL18" i="1"/>
  <c r="AW18" i="1" s="1"/>
  <c r="R18" i="1"/>
  <c r="E27" i="1"/>
  <c r="L27" i="1"/>
  <c r="G27" i="1" s="1"/>
  <c r="E23" i="1"/>
  <c r="AE23" i="1" s="1"/>
  <c r="AI23" i="1" s="1"/>
  <c r="AP23" i="1"/>
  <c r="AW23" i="1" s="1"/>
  <c r="T23" i="1"/>
  <c r="G23" i="1" s="1"/>
  <c r="AX13" i="1"/>
  <c r="AJ13" i="1"/>
  <c r="E26" i="1"/>
  <c r="BL26" i="1"/>
  <c r="E42" i="1"/>
  <c r="U42" i="1"/>
  <c r="E44" i="1"/>
  <c r="R44" i="1"/>
  <c r="G44" i="1" s="1"/>
  <c r="E51" i="1"/>
  <c r="AJ51" i="1"/>
  <c r="AW51" i="1" s="1"/>
  <c r="N51" i="1"/>
  <c r="N93" i="1" s="1"/>
  <c r="AX51" i="1"/>
  <c r="BK51" i="1" s="1"/>
  <c r="V51" i="1"/>
  <c r="AI51" i="1" s="1"/>
  <c r="E53" i="1"/>
  <c r="BV53" i="1"/>
  <c r="BY53" i="1" s="1"/>
  <c r="BY54" i="1" s="1"/>
  <c r="E62" i="1"/>
  <c r="AC62" i="1"/>
  <c r="AI62" i="1" s="1"/>
  <c r="AJ62" i="1"/>
  <c r="AW62" i="1" s="1"/>
  <c r="E64" i="1"/>
  <c r="AB64" i="1"/>
  <c r="X64" i="1"/>
  <c r="X93" i="1" s="1"/>
  <c r="E67" i="1"/>
  <c r="W67" i="1"/>
  <c r="AI67" i="1" s="1"/>
  <c r="AJ67" i="1"/>
  <c r="AW67" i="1" s="1"/>
  <c r="L67" i="1"/>
  <c r="G67" i="1" s="1"/>
  <c r="E75" i="1"/>
  <c r="H75" i="1"/>
  <c r="D54" i="1"/>
  <c r="AI12" i="1" l="1"/>
  <c r="BE87" i="1"/>
  <c r="BK87" i="1" s="1"/>
  <c r="BK83" i="1"/>
  <c r="H92" i="1"/>
  <c r="H87" i="1"/>
  <c r="G75" i="1"/>
  <c r="AC87" i="1"/>
  <c r="AI87" i="1" s="1"/>
  <c r="AI83" i="1"/>
  <c r="AQ87" i="1"/>
  <c r="AW87" i="1" s="1"/>
  <c r="AW83" i="1"/>
  <c r="BS87" i="1"/>
  <c r="BY87" i="1" s="1"/>
  <c r="BY83" i="1"/>
  <c r="C24" i="3"/>
  <c r="E82" i="1"/>
  <c r="E87" i="1" s="1"/>
  <c r="J82" i="1"/>
  <c r="W93" i="1"/>
  <c r="Q83" i="1"/>
  <c r="G83" i="1" s="1"/>
  <c r="BY69" i="1"/>
  <c r="E45" i="1"/>
  <c r="G15" i="1"/>
  <c r="E28" i="1"/>
  <c r="AI54" i="1"/>
  <c r="AI64" i="1"/>
  <c r="E54" i="1"/>
  <c r="G18" i="1"/>
  <c r="G51" i="1"/>
  <c r="G54" i="1" s="1"/>
  <c r="AX26" i="1"/>
  <c r="V26" i="1"/>
  <c r="AJ26" i="1"/>
  <c r="BK13" i="1"/>
  <c r="BK21" i="1" s="1"/>
  <c r="G17" i="1"/>
  <c r="Q28" i="1"/>
  <c r="R28" i="1"/>
  <c r="AW65" i="1"/>
  <c r="T24" i="1"/>
  <c r="G24" i="1" s="1"/>
  <c r="AE24" i="1"/>
  <c r="AI24" i="1" s="1"/>
  <c r="AI22" i="1"/>
  <c r="BK54" i="1"/>
  <c r="AW54" i="1"/>
  <c r="G42" i="1"/>
  <c r="G45" i="1" s="1"/>
  <c r="BY26" i="1"/>
  <c r="BY28" i="1" s="1"/>
  <c r="BY33" i="1" s="1"/>
  <c r="AW13" i="1"/>
  <c r="L28" i="1"/>
  <c r="AI15" i="1"/>
  <c r="U61" i="1"/>
  <c r="U93" i="1" s="1"/>
  <c r="AI55" i="1"/>
  <c r="G22" i="1"/>
  <c r="AW22" i="1"/>
  <c r="G19" i="1"/>
  <c r="G25" i="1"/>
  <c r="O28" i="1"/>
  <c r="O93" i="1" s="1"/>
  <c r="D56" i="1"/>
  <c r="D53" i="5"/>
  <c r="D71" i="5" s="1"/>
  <c r="D7" i="5"/>
  <c r="D11" i="1" s="1"/>
  <c r="D6" i="5"/>
  <c r="J92" i="1" l="1"/>
  <c r="G82" i="1"/>
  <c r="Q93" i="1"/>
  <c r="Q87" i="1"/>
  <c r="J87" i="1"/>
  <c r="L92" i="1"/>
  <c r="G4" i="1" s="1"/>
  <c r="G28" i="1"/>
  <c r="E58" i="1"/>
  <c r="AA11" i="1"/>
  <c r="AI11" i="1"/>
  <c r="AW11" i="1"/>
  <c r="D17" i="5"/>
  <c r="E29" i="1"/>
  <c r="E31" i="1" s="1"/>
  <c r="E33" i="1" s="1"/>
  <c r="E39" i="1"/>
  <c r="D40" i="5"/>
  <c r="D47" i="5" s="1"/>
  <c r="AJ56" i="1"/>
  <c r="AW56" i="1" s="1"/>
  <c r="V56" i="1"/>
  <c r="AI56" i="1" s="1"/>
  <c r="E56" i="1"/>
  <c r="AX56" i="1"/>
  <c r="BK56" i="1" s="1"/>
  <c r="D5" i="5"/>
  <c r="D10" i="1"/>
  <c r="AW26" i="1"/>
  <c r="AW28" i="1" s="1"/>
  <c r="BI26" i="1"/>
  <c r="G61" i="1"/>
  <c r="AI26" i="1"/>
  <c r="AI28" i="1" s="1"/>
  <c r="BZ54" i="1"/>
  <c r="T20" i="1"/>
  <c r="G87" i="1" l="1"/>
  <c r="G20" i="1"/>
  <c r="T28" i="1"/>
  <c r="V58" i="1"/>
  <c r="AI58" i="1" s="1"/>
  <c r="D28" i="5"/>
  <c r="AX57" i="1"/>
  <c r="AJ57" i="1"/>
  <c r="AW57" i="1" s="1"/>
  <c r="AW68" i="1" s="1"/>
  <c r="E57" i="1"/>
  <c r="V57" i="1"/>
  <c r="AF14" i="1"/>
  <c r="T60" i="1"/>
  <c r="E60" i="1"/>
  <c r="AF60" i="1"/>
  <c r="AI60" i="1" s="1"/>
  <c r="E46" i="1"/>
  <c r="E47" i="1" s="1"/>
  <c r="M46" i="1"/>
  <c r="M93" i="1" s="1"/>
  <c r="AA10" i="1"/>
  <c r="AI10" i="1"/>
  <c r="AW10" i="1"/>
  <c r="BW39" i="1"/>
  <c r="BY39" i="1" s="1"/>
  <c r="BY40" i="1" s="1"/>
  <c r="E40" i="1"/>
  <c r="Z29" i="1"/>
  <c r="R29" i="1"/>
  <c r="R93" i="1" s="1"/>
  <c r="AJ16" i="1"/>
  <c r="V16" i="1"/>
  <c r="BK26" i="1"/>
  <c r="BK28" i="1" s="1"/>
  <c r="BK33" i="1" s="1"/>
  <c r="H93" i="2"/>
  <c r="C15" i="3" s="1"/>
  <c r="E49" i="1" l="1"/>
  <c r="G60" i="1"/>
  <c r="G68" i="1" s="1"/>
  <c r="G69" i="1" s="1"/>
  <c r="T93" i="1"/>
  <c r="AW69" i="1"/>
  <c r="E68" i="1"/>
  <c r="E69" i="1" s="1"/>
  <c r="C22" i="3" s="1"/>
  <c r="G21" i="1"/>
  <c r="AI57" i="1"/>
  <c r="AI68" i="1" s="1"/>
  <c r="BK57" i="1"/>
  <c r="BK68" i="1" s="1"/>
  <c r="D89" i="5"/>
  <c r="AI29" i="1"/>
  <c r="AI31" i="1" s="1"/>
  <c r="BY49" i="1"/>
  <c r="BZ40" i="1"/>
  <c r="AG14" i="1"/>
  <c r="AI16" i="1"/>
  <c r="V93" i="1"/>
  <c r="AW16" i="1"/>
  <c r="AW21" i="1" s="1"/>
  <c r="AW33" i="1" s="1"/>
  <c r="AW71" i="1" s="1"/>
  <c r="AW89" i="1" s="1"/>
  <c r="G29" i="1"/>
  <c r="G31" i="1" s="1"/>
  <c r="G46" i="1"/>
  <c r="G47" i="1" s="1"/>
  <c r="G49" i="1" s="1"/>
  <c r="C14" i="3"/>
  <c r="C12" i="3"/>
  <c r="C16" i="3" l="1"/>
  <c r="G33" i="1"/>
  <c r="G71" i="1" s="1"/>
  <c r="G89" i="1" s="1"/>
  <c r="AI69" i="1"/>
  <c r="BY71" i="1"/>
  <c r="BK69" i="1"/>
  <c r="BZ68" i="1"/>
  <c r="BZ31" i="1"/>
  <c r="BZ28" i="1"/>
  <c r="AI14" i="1"/>
  <c r="AI21" i="1" s="1"/>
  <c r="AI33" i="1" s="1"/>
  <c r="BZ69" i="1" l="1"/>
  <c r="BZ33" i="1"/>
  <c r="AI71" i="1"/>
  <c r="AI89" i="1" s="1"/>
  <c r="BZ21" i="1"/>
  <c r="C20" i="3"/>
  <c r="D26" i="3" l="1"/>
  <c r="G5" i="1" l="1"/>
  <c r="E71" i="1" l="1"/>
  <c r="E92" i="1" s="1"/>
  <c r="C21" i="3" l="1"/>
  <c r="C26" i="3" s="1"/>
  <c r="BZ45" i="1"/>
  <c r="BK49" i="1"/>
  <c r="BZ49" i="1" l="1"/>
  <c r="BK71" i="1"/>
  <c r="BZ71" i="1" l="1"/>
  <c r="BK89" i="1"/>
  <c r="BZ89" i="1" s="1"/>
  <c r="AW47" i="1"/>
  <c r="BZ47" i="1"/>
</calcChain>
</file>

<file path=xl/sharedStrings.xml><?xml version="1.0" encoding="utf-8"?>
<sst xmlns="http://schemas.openxmlformats.org/spreadsheetml/2006/main" count="832" uniqueCount="334">
  <si>
    <t>FIVE YEAR BUDGET</t>
  </si>
  <si>
    <t>Total Cost 5 Years US$)</t>
  </si>
  <si>
    <t>PROCUREMENT PLAN INITIAL LOAD INFORMATION  (ONGOING AND/OR LAST PRESENTED)</t>
  </si>
  <si>
    <t>SERVICES/GOODS</t>
  </si>
  <si>
    <t>Executing Agency:</t>
  </si>
  <si>
    <t>Activity:</t>
  </si>
  <si>
    <t>Additional Information:</t>
  </si>
  <si>
    <t>Procurement Method
(Select one of the options):</t>
  </si>
  <si>
    <t>Process Number:</t>
  </si>
  <si>
    <t>Amount
 in US$ :</t>
  </si>
  <si>
    <t>Associated Component:</t>
  </si>
  <si>
    <t>Review Method
(Select one of the options):</t>
  </si>
  <si>
    <t>Dates</t>
  </si>
  <si>
    <t>Comments</t>
  </si>
  <si>
    <t>Estimated Amount,
 in US$ :</t>
  </si>
  <si>
    <t>Estimated Amount,  BID %:</t>
  </si>
  <si>
    <t>Estimated Amount,  Counterpart %:</t>
  </si>
  <si>
    <t>Specific Procurement notice</t>
  </si>
  <si>
    <t>Contract Signature</t>
  </si>
  <si>
    <t>Component 1</t>
  </si>
  <si>
    <t>Component 2</t>
  </si>
  <si>
    <t>Consulting Firms</t>
  </si>
  <si>
    <t>Individual Consultants</t>
  </si>
  <si>
    <t>Estimated Number of Consultants:</t>
  </si>
  <si>
    <t>Estimated Amount,
 in US$:</t>
  </si>
  <si>
    <t>No Objection to TOR's</t>
  </si>
  <si>
    <t>Goods/Works</t>
  </si>
  <si>
    <t>Total</t>
  </si>
  <si>
    <t>1. Procurement Plan Coverage</t>
  </si>
  <si>
    <t>Data</t>
  </si>
  <si>
    <t>From</t>
  </si>
  <si>
    <t>Until</t>
  </si>
  <si>
    <t xml:space="preserve">Procurement Plan Coverage: </t>
  </si>
  <si>
    <t>2. Procurement Plan Details</t>
  </si>
  <si>
    <t>3. Amounts by Investment Category</t>
  </si>
  <si>
    <t>Investment Category</t>
  </si>
  <si>
    <t>Amount Financed by the Bank</t>
  </si>
  <si>
    <t>Total Amount (Including counterpart)</t>
  </si>
  <si>
    <t>4. Components</t>
  </si>
  <si>
    <t>Project Components</t>
  </si>
  <si>
    <t>Lots Quantity output):</t>
  </si>
  <si>
    <t>MNS</t>
  </si>
  <si>
    <t>Ex-ante</t>
  </si>
  <si>
    <t># of units for 5 years</t>
  </si>
  <si>
    <t>Year 1 (annual costs in US$)</t>
  </si>
  <si>
    <t>Year 2 (annual costs in US$)</t>
  </si>
  <si>
    <t>Year 3 (annual costs in US$)</t>
  </si>
  <si>
    <t>Year 4 (annual costs in US$)</t>
  </si>
  <si>
    <t>Year 5 (annual costs in US$)</t>
  </si>
  <si>
    <t>Unit of measure</t>
  </si>
  <si>
    <t>Outputs</t>
  </si>
  <si>
    <t># of units per year (year 1)</t>
  </si>
  <si>
    <t># of units per year (year 2)</t>
  </si>
  <si>
    <t># of units per year (year 3)</t>
  </si>
  <si>
    <t># of units per year (year 4)</t>
  </si>
  <si>
    <t># of units per year (year 5)</t>
  </si>
  <si>
    <t>INDIVIDUAL CONSULTANTS/STAFF</t>
  </si>
  <si>
    <t>Monitoring and Evaluation</t>
  </si>
  <si>
    <t>M&amp;E</t>
  </si>
  <si>
    <t>Programme Management</t>
  </si>
  <si>
    <t>Audit</t>
  </si>
  <si>
    <t xml:space="preserve">         </t>
  </si>
  <si>
    <t>SERVICES/GOODS/INDIVIDUAL CONSULTANTS/STAFF FOR 1) MONITORING AND EVALUATION; 2)TECHNICAL ADVISORY TEAM; and 3) PROGRAM MANAGEMENT</t>
  </si>
  <si>
    <t>Cost per unit</t>
  </si>
  <si>
    <t>TOTAL OF FIVE YEARS (US$)</t>
  </si>
  <si>
    <t>Q1 2018</t>
  </si>
  <si>
    <t>Contingency</t>
  </si>
  <si>
    <t xml:space="preserve">Services/Goods/Individual Consultants/staff for 1)M&amp;E; 2)Technical Advisory Team; and 3) Program Management </t>
  </si>
  <si>
    <t>Provide user training on use of equipment</t>
  </si>
  <si>
    <t>Provide training on use of data for evidence-based policing strategies</t>
  </si>
  <si>
    <t>Surveillance equipment procured</t>
  </si>
  <si>
    <t>Implement e-case management system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</si>
  <si>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</si>
  <si>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</si>
  <si>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</si>
  <si>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</si>
  <si>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</si>
  <si>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</si>
  <si>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</si>
  <si>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</si>
  <si>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</si>
  <si>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</si>
  <si>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</si>
  <si>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</si>
  <si>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 Costs for Five years in US$</t>
  </si>
  <si>
    <t xml:space="preserve">Maintenance and Support (5 years) </t>
  </si>
  <si>
    <t>Total Component 1</t>
  </si>
  <si>
    <t>Procure e-case management system (automating manual processes and other functionalities to improve efficiency and accountability)</t>
  </si>
  <si>
    <t>Design of digital registries</t>
  </si>
  <si>
    <t>Implement registries</t>
  </si>
  <si>
    <t>User training for digital registries</t>
  </si>
  <si>
    <t>Open data initiative</t>
  </si>
  <si>
    <t>Total Component 2</t>
  </si>
  <si>
    <t>Program Total</t>
  </si>
  <si>
    <t>JAMAICA (JA-L1074)</t>
  </si>
  <si>
    <t>At the end of Programme Execution 2022</t>
  </si>
  <si>
    <t xml:space="preserve">COMPONENT 1: Violent crime prevention and management </t>
  </si>
  <si>
    <t>Programme Coordinator</t>
  </si>
  <si>
    <t xml:space="preserve">Procurement Specialist - Manager </t>
  </si>
  <si>
    <t xml:space="preserve">Financial Specialist - Manager </t>
  </si>
  <si>
    <t>Monitoring &amp; Evaluation Specialist</t>
  </si>
  <si>
    <t xml:space="preserve">Project Total </t>
  </si>
  <si>
    <t>Sub-TOTAL Component 2</t>
  </si>
  <si>
    <t>TOTAL Component 1</t>
  </si>
  <si>
    <t xml:space="preserve">TOTAL </t>
  </si>
  <si>
    <t xml:space="preserve">SUB-TOTAL </t>
  </si>
  <si>
    <t>Sep</t>
  </si>
  <si>
    <t>Solution</t>
  </si>
  <si>
    <t>Procure handheld devices for CIB investigators (x 1800)</t>
  </si>
  <si>
    <t xml:space="preserve">Provide user training on use of equipment (application) </t>
  </si>
  <si>
    <t xml:space="preserve">Monitoring Center (1) </t>
  </si>
  <si>
    <t xml:space="preserve">4G LTE CORE &amp; Base Stations </t>
  </si>
  <si>
    <t xml:space="preserve">Building access (5 model location) </t>
  </si>
  <si>
    <t xml:space="preserve">Fleet management, GEONODE and Front End System Integration for Emergency Phone Calls </t>
  </si>
  <si>
    <t>Engraving machine for FLA</t>
  </si>
  <si>
    <t>Ballistic identifier</t>
  </si>
  <si>
    <t>Communications Plan</t>
  </si>
  <si>
    <t>Change Management Plan</t>
  </si>
  <si>
    <t>Assessment test and remedial training for new recruits</t>
  </si>
  <si>
    <t>Assessment test and remedial training for existing members of the Force</t>
  </si>
  <si>
    <t>College hardware (laptops and desktops)</t>
  </si>
  <si>
    <t>VC equipment in divisional HQ, NPCJ, MNS and Commissioners Office</t>
  </si>
  <si>
    <t>Review of curricula to include technology</t>
  </si>
  <si>
    <t>Training on use of digital registries and case management system for existing members of the Force</t>
  </si>
  <si>
    <t>Data analytics training for MNS, JCF/CIB, JCF/CSRP</t>
  </si>
  <si>
    <t>PICA training</t>
  </si>
  <si>
    <t>Technical Specialist TRAINING Consultant for Sub-component 3114 and provide management over all other training components (38 months)</t>
  </si>
  <si>
    <t>Total Component 3</t>
  </si>
  <si>
    <t xml:space="preserve">Administrative &amp; Procurement Officer </t>
  </si>
  <si>
    <t>Finance &amp; Logistics Officer</t>
  </si>
  <si>
    <t>Sub-TOTAL Component 3</t>
  </si>
  <si>
    <t>Training on new protocols for domestic violence for existing members of the Force</t>
  </si>
  <si>
    <t>Project Coordinator Assistant (PCA) &amp; HR Liaison</t>
  </si>
  <si>
    <t xml:space="preserve">Project Execution Unit </t>
  </si>
  <si>
    <t xml:space="preserve">Hardware, Software, Professional Services, Documentation and Configuration Services. </t>
  </si>
  <si>
    <t xml:space="preserve">(Prior options review for DCS) Prison model review  </t>
  </si>
  <si>
    <t>Procure hardware (special monitors, printers, UPS, computers, digital signature pads, scanners), Maintenance, Support and Installation / Implementation, Configuration, among others)</t>
  </si>
  <si>
    <t xml:space="preserve"># of handheld devices </t>
  </si>
  <si>
    <t># of training instrument</t>
  </si>
  <si>
    <t xml:space="preserve"># of consultants </t>
  </si>
  <si>
    <t>Procure handheld devices for CIB investigators (x 1800) with installation and maintenance (replacements)</t>
  </si>
  <si>
    <t>Year 1 - Month 1</t>
  </si>
  <si>
    <t>Year 1 - Month 2</t>
  </si>
  <si>
    <t>Year 1 - Month 3</t>
  </si>
  <si>
    <t>Year 1 - Month 4</t>
  </si>
  <si>
    <t>Year 1 - Month 5</t>
  </si>
  <si>
    <t>Year 1 - Month 6</t>
  </si>
  <si>
    <t>Year 1 - Month 7</t>
  </si>
  <si>
    <t>Year 1 - Month 8</t>
  </si>
  <si>
    <t>Year 1 - Month 9</t>
  </si>
  <si>
    <t>Year 1 - Month 10</t>
  </si>
  <si>
    <t>Year 1 - Month 11</t>
  </si>
  <si>
    <t>Year 1 - Month 12</t>
  </si>
  <si>
    <t>Year 2 - Month 1</t>
  </si>
  <si>
    <t>Year 2 - Month 2</t>
  </si>
  <si>
    <t>Year 2 - Month 3</t>
  </si>
  <si>
    <t>Year 2 - Month 4</t>
  </si>
  <si>
    <t>Year 2 - Month 5</t>
  </si>
  <si>
    <t>Year 2 - Month 6</t>
  </si>
  <si>
    <t>Year 2 - Month 7</t>
  </si>
  <si>
    <t>Year 2 - Month 8</t>
  </si>
  <si>
    <t>Year 2 - Month 9</t>
  </si>
  <si>
    <t>Year 2 - Month 10</t>
  </si>
  <si>
    <t>Year 2 - Month 11</t>
  </si>
  <si>
    <t>Year 2 - Month 12</t>
  </si>
  <si>
    <t xml:space="preserve">September </t>
  </si>
  <si>
    <t>October</t>
  </si>
  <si>
    <t xml:space="preserve">November </t>
  </si>
  <si>
    <t xml:space="preserve">December </t>
  </si>
  <si>
    <t xml:space="preserve">January </t>
  </si>
  <si>
    <t>February</t>
  </si>
  <si>
    <t>March</t>
  </si>
  <si>
    <t>April</t>
  </si>
  <si>
    <t>June</t>
  </si>
  <si>
    <t>July</t>
  </si>
  <si>
    <t>August</t>
  </si>
  <si>
    <t>September</t>
  </si>
  <si>
    <t>November</t>
  </si>
  <si>
    <t>December</t>
  </si>
  <si>
    <t xml:space="preserve">Month #1 </t>
  </si>
  <si>
    <t>Month #2</t>
  </si>
  <si>
    <t>Month #3</t>
  </si>
  <si>
    <t>Month #4</t>
  </si>
  <si>
    <t>Month #5</t>
  </si>
  <si>
    <t>Month #6</t>
  </si>
  <si>
    <t>Month #7</t>
  </si>
  <si>
    <t>Month #8</t>
  </si>
  <si>
    <t>Month #9</t>
  </si>
  <si>
    <t>Month #10</t>
  </si>
  <si>
    <t>Month #11</t>
  </si>
  <si>
    <t>Month #12</t>
  </si>
  <si>
    <t>Month #13</t>
  </si>
  <si>
    <t>Month #14</t>
  </si>
  <si>
    <t>Month #15</t>
  </si>
  <si>
    <t>Month #16</t>
  </si>
  <si>
    <t>Month #17</t>
  </si>
  <si>
    <t>Month #18</t>
  </si>
  <si>
    <t>Retroactive Financing Period</t>
  </si>
  <si>
    <t xml:space="preserve">First 18 Months </t>
  </si>
  <si>
    <t xml:space="preserve">Surveillance equipment </t>
  </si>
  <si>
    <t>DCS Surveillance equipment 
(Cameras - CCTV)</t>
  </si>
  <si>
    <t># of technical specialist consultant for sub-components 1113 (28 months)</t>
  </si>
  <si>
    <t xml:space="preserve"># of monitoring center </t>
  </si>
  <si>
    <t xml:space="preserve"># of hardware &amp; professional services by Lot </t>
  </si>
  <si>
    <t xml:space="preserve"># of dcs surveillance equipment by Lot (implementation and maintenance (replacements) included
</t>
  </si>
  <si>
    <t xml:space="preserve"># of surveillance equipment (implementation and maintenance (replacements) included) </t>
  </si>
  <si>
    <t xml:space="preserve"># of connecting 50 (of 178)  police stations (kma, 45, 11 prisons and parole offices, mobay) by Lot </t>
  </si>
  <si>
    <t xml:space="preserve"># of 4g lte core &amp; base stations by Lot </t>
  </si>
  <si>
    <t xml:space="preserve"># of building access (5 model location) by Lot </t>
  </si>
  <si>
    <t># of open data initiative (professional services) by Lot</t>
  </si>
  <si>
    <t xml:space="preserve"># of procure hardware (special monitors, printers, ups, computers, digital signature pads, scanners), maintenance, support and installation / implementation, configuration, among others) by Lot </t>
  </si>
  <si>
    <t># of enterprise fleet management, system</t>
  </si>
  <si>
    <t xml:space="preserve"># of Enterprise Case Management System by Lot </t>
  </si>
  <si>
    <t xml:space="preserve"># of implementation </t>
  </si>
  <si>
    <t xml:space="preserve"># of Engraving Machine </t>
  </si>
  <si>
    <t xml:space="preserve"># of Ballistic Identifier </t>
  </si>
  <si>
    <t xml:space="preserve"># of Consultants </t>
  </si>
  <si>
    <t xml:space="preserve"># of digital registry </t>
  </si>
  <si>
    <t># of training instruments</t>
  </si>
  <si>
    <t xml:space="preserve"># of maintenance support </t>
  </si>
  <si>
    <t xml:space="preserve"># of Communication Plans by Lot </t>
  </si>
  <si>
    <t xml:space="preserve"># of Change Management Plan by Lot </t>
  </si>
  <si>
    <t># of C</t>
  </si>
  <si>
    <t xml:space="preserve"># of training instruments </t>
  </si>
  <si>
    <t xml:space="preserve"># of hardware by Lot </t>
  </si>
  <si>
    <t xml:space="preserve"># of VC equipment by Lot </t>
  </si>
  <si>
    <t xml:space="preserve"># of offices </t>
  </si>
  <si>
    <t xml:space="preserve"># of individual consultants </t>
  </si>
  <si>
    <t xml:space="preserve">February </t>
  </si>
  <si>
    <t>January</t>
  </si>
  <si>
    <t xml:space="preserve">October </t>
  </si>
  <si>
    <t>Year 3 - Month 1</t>
  </si>
  <si>
    <t>Year 3 - Month 2</t>
  </si>
  <si>
    <t>Year 3 - Month 3</t>
  </si>
  <si>
    <t>Year 3 - Month 4</t>
  </si>
  <si>
    <t>Year 3 - Month 5</t>
  </si>
  <si>
    <t>Year 3 - Month 6</t>
  </si>
  <si>
    <t>Year 3 - Month 7</t>
  </si>
  <si>
    <t>Year 3 - Month 8</t>
  </si>
  <si>
    <t>Year 3 - Month 9</t>
  </si>
  <si>
    <t>Year 3 - Month 10</t>
  </si>
  <si>
    <t>Year 3 - Month 11</t>
  </si>
  <si>
    <t>Year 3 - Month 12</t>
  </si>
  <si>
    <t>Year 4 - Month 1</t>
  </si>
  <si>
    <t>Year 4 - Month 2</t>
  </si>
  <si>
    <t>Year 4 - Month 3</t>
  </si>
  <si>
    <t>Year 4 - Month 4</t>
  </si>
  <si>
    <t>Year 4 - Month 5</t>
  </si>
  <si>
    <t>Year 4 - Month 6</t>
  </si>
  <si>
    <t>Year 4 - Month 7</t>
  </si>
  <si>
    <t>Year 4 - Month 8</t>
  </si>
  <si>
    <t>Year 4 - Month 9</t>
  </si>
  <si>
    <t>Year 4 - Month 10</t>
  </si>
  <si>
    <t>Year 4 - Month 11</t>
  </si>
  <si>
    <t>Year 4 - Month 12</t>
  </si>
  <si>
    <t>Year 5 - Month 1</t>
  </si>
  <si>
    <t>Year 5 - Month 2</t>
  </si>
  <si>
    <t>Year 5 - Month 3</t>
  </si>
  <si>
    <t>Year 5 - Month 4</t>
  </si>
  <si>
    <t>Year 5 - Month 5</t>
  </si>
  <si>
    <t>Year 5 - Month 6</t>
  </si>
  <si>
    <t>Year 5 - Month 7</t>
  </si>
  <si>
    <t>Year 5 - Month 8</t>
  </si>
  <si>
    <t>Year 5 - Month 9</t>
  </si>
  <si>
    <t>Year 5 - Month 10</t>
  </si>
  <si>
    <t>Year 5 - Month 11</t>
  </si>
  <si>
    <t>Year 5 - Month 12</t>
  </si>
  <si>
    <t xml:space="preserve">SECURITY STRENGTHENING PROJECT (SSP) </t>
  </si>
  <si>
    <t>Connecting 45 (of 178)  Police Stations (kma, 45, 11 prisons and parole offices, mobay)</t>
  </si>
  <si>
    <t xml:space="preserve">Component 1. </t>
  </si>
  <si>
    <t xml:space="preserve">Component 2. </t>
  </si>
  <si>
    <t xml:space="preserve">GRAND TOTAL </t>
  </si>
  <si>
    <t>ICB</t>
  </si>
  <si>
    <t>LOT 1</t>
  </si>
  <si>
    <t>LOT 2</t>
  </si>
  <si>
    <t>LOT 3</t>
  </si>
  <si>
    <t>LOT 4</t>
  </si>
  <si>
    <t>LOT 5</t>
  </si>
  <si>
    <t>LOT 6</t>
  </si>
  <si>
    <t>Component 3</t>
  </si>
  <si>
    <t xml:space="preserve">SECURITY STRENGTHENING PROJECT  (SSP) </t>
  </si>
  <si>
    <t>Version (08-2017)</t>
  </si>
  <si>
    <t>Subcomponent 1.2. Equip and connect police stations, prisons, and the National Police College of Jamaica</t>
  </si>
  <si>
    <t>Subcomponent 1.3. Share information with the public through open data</t>
  </si>
  <si>
    <t>Subcomponent 2.2. Design and implementation of digital registries</t>
  </si>
  <si>
    <t>Subcomponent 2.3. Design and implement a data sharing exchange protocol</t>
  </si>
  <si>
    <t>Subcomponent 3.1. Change Management and Communications</t>
  </si>
  <si>
    <t xml:space="preserve">Training on new protocols for domestic violence for existing members of the Force
</t>
  </si>
  <si>
    <t>DCS Surveillance equipment procured (Cameras - CCTV)</t>
  </si>
  <si>
    <t>Technical Specialist Consultant - Georeferencing  (24 months)</t>
  </si>
  <si>
    <t xml:space="preserve">Technical Specialist Consultant - Fleet Management (28 months) </t>
  </si>
  <si>
    <t xml:space="preserve">Technical Specialist Consultant - Surveillance (28 months) </t>
  </si>
  <si>
    <t>Technical Specialist Consultant - Connectivity (36 months)</t>
  </si>
  <si>
    <t xml:space="preserve">Technical Specialist Consultant - Open Data Initiative (11 months) </t>
  </si>
  <si>
    <t xml:space="preserve">Technical Specialist Consultant - Case Management &amp; Digital Registries (60 months) </t>
  </si>
  <si>
    <t>Technical Specialist Consultant - Data Sharing (24 months)</t>
  </si>
  <si>
    <t xml:space="preserve">Technical Specialist Consultant - Change Management &amp; Communications (60 months) </t>
  </si>
  <si>
    <t xml:space="preserve">Technical Specialist Consultant - Assessment Training (30 months) </t>
  </si>
  <si>
    <t xml:space="preserve">Technical Specialist Consultant - NPCJ &amp; VC Equipment (24 months) </t>
  </si>
  <si>
    <t>Subcomponent 2.2. Design and implementation of digital registries)</t>
  </si>
  <si>
    <t xml:space="preserve">Component 1. Violent crime prevention and management (US$12,176,676 million). </t>
  </si>
  <si>
    <t xml:space="preserve">LOT 5 </t>
  </si>
  <si>
    <t>N/A</t>
  </si>
  <si>
    <t>LOT 7</t>
  </si>
  <si>
    <t>LOT 8</t>
  </si>
  <si>
    <t>LOT 9</t>
  </si>
  <si>
    <t>Subcomponent 3.2. Training in collaboration with the National Police College of Jamaica</t>
  </si>
  <si>
    <t>Project Administration and Coordination</t>
  </si>
  <si>
    <t>Audits and M&amp;E</t>
  </si>
  <si>
    <t xml:space="preserve">Sub-Total (before PEU, Contingency &amp; M&amp;E) </t>
  </si>
  <si>
    <t xml:space="preserve">Sub-Total PEU, Contingency &amp; M&amp;E) </t>
  </si>
  <si>
    <t xml:space="preserve">Total Overall Project including PEU, Contingency &amp; M&amp;E) </t>
  </si>
  <si>
    <t>Project Director</t>
  </si>
  <si>
    <t>Design of digital registries, including adaptation to capture data con domestic violence</t>
  </si>
  <si>
    <t>Implement registries and design of protocols to handle domestic violence cases</t>
  </si>
  <si>
    <t xml:space="preserve">Training on new protocols for handeling domestic violence for existing members of the Force
</t>
  </si>
  <si>
    <t>Subcomponent 1.1. Support for the implementation of problem-oriented policing for crime prevention, including hot-spot policing</t>
  </si>
  <si>
    <t xml:space="preserve">Subcomponent 1.1. Support for the implementation of problem-oriented policing for crime prevention, including hot-spot policing </t>
  </si>
  <si>
    <t xml:space="preserve">Component 2 - Improving investigative capabilities for violent crimes (US$1,811,324 million). </t>
  </si>
  <si>
    <t>Component 3 - Change Management &amp; Training (US$3,212,000 million)</t>
  </si>
  <si>
    <t xml:space="preserve">Component 3 - Change Management &amp; Training (US$3,212,000 million).  </t>
  </si>
  <si>
    <t>COMPONENT 2 - Improving investigative capabilities for violent crimes</t>
  </si>
  <si>
    <t>COMPONENT 3: Change Management &amp; Training</t>
  </si>
  <si>
    <t>Subcomponent 2.1. Increase the quality of casefiles</t>
  </si>
  <si>
    <t>NCB</t>
  </si>
  <si>
    <t>SL</t>
  </si>
  <si>
    <t>ISL</t>
  </si>
  <si>
    <t>International competitive bidding</t>
  </si>
  <si>
    <t>National Competitive Bidding</t>
  </si>
  <si>
    <t>Short list consulting services</t>
  </si>
  <si>
    <t>International Short List consulting services</t>
  </si>
  <si>
    <r>
      <t xml:space="preserve">Component 1. Violent crime prevention and management </t>
    </r>
    <r>
      <rPr>
        <sz val="11"/>
        <color indexed="40"/>
        <rFont val="Calibri"/>
        <family val="2"/>
        <scheme val="minor"/>
      </rPr>
      <t>(US$12,176,676 million</t>
    </r>
    <r>
      <rPr>
        <sz val="11"/>
        <color indexed="9"/>
        <rFont val="Calibri"/>
        <family val="2"/>
        <scheme val="minor"/>
      </rPr>
      <t xml:space="preserve">). </t>
    </r>
  </si>
  <si>
    <r>
      <t xml:space="preserve">Component 2 - Improving investigative capabilities for violent crimes </t>
    </r>
    <r>
      <rPr>
        <sz val="11"/>
        <color indexed="40"/>
        <rFont val="Calibri"/>
        <family val="2"/>
        <scheme val="minor"/>
      </rPr>
      <t>(US$1,811,324 million)</t>
    </r>
    <r>
      <rPr>
        <sz val="11"/>
        <color indexed="9"/>
        <rFont val="Calibri"/>
        <family val="2"/>
        <scheme val="minor"/>
      </rPr>
      <t xml:space="preserve">. </t>
    </r>
  </si>
  <si>
    <r>
      <t xml:space="preserve">Component 3 - Change Management &amp; Training </t>
    </r>
    <r>
      <rPr>
        <sz val="11"/>
        <color indexed="40"/>
        <rFont val="Calibri"/>
        <family val="2"/>
        <scheme val="minor"/>
      </rPr>
      <t>(US$3,212,000 million)</t>
    </r>
    <r>
      <rPr>
        <sz val="11"/>
        <color indexed="9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</si>
</sst>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0.000"/>
    <numFmt numFmtId="166" formatCode="[$-409]mmm\-yy;@"/>
    <numFmt numFmtId="167" formatCode="[$USD]\ #,##0.00"/>
    <numFmt numFmtId="168" formatCode="&quot;$&quot;#,##0"/>
    <numFmt numFmtId="169" formatCode="_(&quot;$&quot;* #,##0_);_(&quot;$&quot;* \(#,##0\);_(&quot;$&quot;* &quot;-&quot;??_);_(@_)"/>
    <numFmt numFmtId="170" formatCode="_(* #,##0_);_(* \(#,##0\);_(* &quot;-&quot;??_);_(@_)"/>
    <numFmt numFmtId="171" formatCode="_-* #,##0_-;\-* #,##0_-;_-* &quot;-&quot;??_-;_-@_-"/>
    <numFmt numFmtId="172" formatCode="[$USD]\ #,##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</font>
    <font>
      <sz val="10"/>
      <color indexed="8"/>
      <name val="Calibri"/>
      <family val="2"/>
    </font>
    <font>
      <sz val="11"/>
      <color indexed="4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0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</cellStyleXfs>
  <cellXfs count="382">
    <xf numFmtId="0" fontId="0" fillId="0" borderId="0" xfId="0"/>
    <xf numFmtId="0" fontId="7" fillId="8" borderId="18" xfId="2" applyFont="1" applyFill="1" applyBorder="1" applyAlignment="1">
      <alignment vertical="center" wrapText="1"/>
    </xf>
    <xf numFmtId="0" fontId="9" fillId="5" borderId="19" xfId="2" applyFont="1" applyFill="1" applyBorder="1" applyAlignment="1">
      <alignment vertical="center" wrapText="1"/>
    </xf>
    <xf numFmtId="0" fontId="9" fillId="0" borderId="20" xfId="2" applyFont="1" applyFill="1" applyBorder="1" applyAlignment="1">
      <alignment vertical="center" wrapText="1"/>
    </xf>
    <xf numFmtId="0" fontId="12" fillId="8" borderId="18" xfId="2" applyFont="1" applyFill="1" applyBorder="1" applyAlignment="1">
      <alignment vertical="center" wrapText="1"/>
    </xf>
    <xf numFmtId="0" fontId="5" fillId="7" borderId="22" xfId="2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5" fillId="7" borderId="1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left" vertical="center" wrapText="1"/>
    </xf>
    <xf numFmtId="17" fontId="9" fillId="0" borderId="29" xfId="1" applyNumberFormat="1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horizontal="right" vertical="center" wrapText="1"/>
    </xf>
    <xf numFmtId="167" fontId="5" fillId="7" borderId="1" xfId="1" applyNumberFormat="1" applyFont="1" applyFill="1" applyBorder="1" applyAlignment="1">
      <alignment horizontal="right" vertical="center" wrapText="1"/>
    </xf>
    <xf numFmtId="0" fontId="9" fillId="0" borderId="11" xfId="1" applyFont="1" applyBorder="1" applyAlignment="1" applyProtection="1">
      <alignment horizontal="center" wrapText="1"/>
    </xf>
    <xf numFmtId="0" fontId="6" fillId="7" borderId="1" xfId="2" applyFont="1" applyFill="1" applyBorder="1" applyAlignment="1">
      <alignment horizontal="center" vertical="center" wrapText="1"/>
    </xf>
    <xf numFmtId="0" fontId="6" fillId="7" borderId="12" xfId="2" applyFont="1" applyFill="1" applyBorder="1" applyAlignment="1">
      <alignment horizontal="center" vertical="center" wrapText="1"/>
    </xf>
    <xf numFmtId="0" fontId="5" fillId="7" borderId="24" xfId="2" applyFont="1" applyFill="1" applyBorder="1" applyAlignment="1">
      <alignment horizontal="left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5" fillId="7" borderId="24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166" fontId="10" fillId="4" borderId="0" xfId="2" applyNumberFormat="1" applyFont="1" applyFill="1" applyBorder="1" applyAlignment="1">
      <alignment horizontal="center" vertical="center" wrapText="1"/>
    </xf>
    <xf numFmtId="166" fontId="10" fillId="0" borderId="0" xfId="2" applyNumberFormat="1" applyFont="1" applyFill="1" applyBorder="1" applyAlignment="1">
      <alignment horizontal="center" vertical="center" wrapText="1"/>
    </xf>
    <xf numFmtId="170" fontId="17" fillId="0" borderId="1" xfId="4" applyNumberFormat="1" applyFont="1" applyFill="1" applyBorder="1" applyAlignment="1">
      <alignment vertical="center" wrapText="1"/>
    </xf>
    <xf numFmtId="170" fontId="17" fillId="0" borderId="2" xfId="4" applyNumberFormat="1" applyFont="1" applyFill="1" applyBorder="1" applyAlignment="1">
      <alignment horizontal="left" vertical="center" wrapText="1"/>
    </xf>
    <xf numFmtId="0" fontId="9" fillId="2" borderId="11" xfId="1" applyFont="1" applyFill="1" applyBorder="1" applyAlignment="1" applyProtection="1"/>
    <xf numFmtId="167" fontId="9" fillId="2" borderId="1" xfId="1" applyNumberFormat="1" applyFont="1" applyFill="1" applyBorder="1" applyAlignment="1">
      <alignment horizontal="right" vertical="center" wrapText="1"/>
    </xf>
    <xf numFmtId="0" fontId="9" fillId="2" borderId="11" xfId="1" applyFont="1" applyFill="1" applyBorder="1" applyAlignment="1" applyProtection="1">
      <alignment wrapText="1"/>
    </xf>
    <xf numFmtId="170" fontId="17" fillId="0" borderId="1" xfId="4" applyNumberFormat="1" applyFont="1" applyFill="1" applyBorder="1" applyAlignment="1">
      <alignment horizontal="left" vertical="center" wrapText="1"/>
    </xf>
    <xf numFmtId="170" fontId="17" fillId="0" borderId="2" xfId="4" applyNumberFormat="1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17" fontId="9" fillId="0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0" fontId="16" fillId="0" borderId="0" xfId="0" applyFont="1"/>
    <xf numFmtId="0" fontId="9" fillId="4" borderId="12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166" fontId="9" fillId="0" borderId="13" xfId="2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166" fontId="9" fillId="0" borderId="1" xfId="2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0" fontId="9" fillId="5" borderId="1" xfId="2" applyFont="1" applyFill="1" applyBorder="1" applyAlignment="1">
      <alignment vertical="center" wrapText="1"/>
    </xf>
    <xf numFmtId="170" fontId="9" fillId="0" borderId="12" xfId="2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8" fillId="18" borderId="39" xfId="2" applyFont="1" applyFill="1" applyBorder="1" applyAlignment="1">
      <alignment vertical="center" wrapText="1"/>
    </xf>
    <xf numFmtId="172" fontId="9" fillId="2" borderId="1" xfId="1" applyNumberFormat="1" applyFont="1" applyFill="1" applyBorder="1" applyAlignment="1">
      <alignment horizontal="right" vertical="center" wrapText="1"/>
    </xf>
    <xf numFmtId="172" fontId="5" fillId="7" borderId="1" xfId="1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vertical="top" wrapText="1"/>
    </xf>
    <xf numFmtId="169" fontId="22" fillId="0" borderId="1" xfId="0" applyNumberFormat="1" applyFont="1" applyBorder="1" applyAlignment="1">
      <alignment vertical="top" wrapText="1"/>
    </xf>
    <xf numFmtId="164" fontId="22" fillId="0" borderId="1" xfId="5" applyFont="1" applyFill="1" applyBorder="1" applyAlignment="1">
      <alignment vertical="top" wrapText="1"/>
    </xf>
    <xf numFmtId="168" fontId="22" fillId="0" borderId="1" xfId="0" applyNumberFormat="1" applyFont="1" applyBorder="1" applyAlignment="1">
      <alignment vertical="top" wrapText="1"/>
    </xf>
    <xf numFmtId="168" fontId="22" fillId="9" borderId="1" xfId="0" applyNumberFormat="1" applyFont="1" applyFill="1" applyBorder="1" applyAlignment="1">
      <alignment vertical="top" wrapText="1"/>
    </xf>
    <xf numFmtId="0" fontId="22" fillId="9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 wrapText="1"/>
    </xf>
    <xf numFmtId="44" fontId="9" fillId="4" borderId="1" xfId="3" applyNumberFormat="1" applyFont="1" applyFill="1" applyBorder="1" applyAlignment="1">
      <alignment vertical="top" wrapText="1"/>
    </xf>
    <xf numFmtId="3" fontId="9" fillId="4" borderId="1" xfId="0" applyNumberFormat="1" applyFont="1" applyFill="1" applyBorder="1" applyAlignment="1">
      <alignment vertical="top" wrapText="1"/>
    </xf>
    <xf numFmtId="164" fontId="9" fillId="4" borderId="1" xfId="5" applyFont="1" applyFill="1" applyBorder="1" applyAlignment="1">
      <alignment vertical="top" wrapText="1"/>
    </xf>
    <xf numFmtId="168" fontId="9" fillId="9" borderId="1" xfId="0" applyNumberFormat="1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164" fontId="16" fillId="0" borderId="1" xfId="5" applyFont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44" fontId="13" fillId="3" borderId="1" xfId="0" applyNumberFormat="1" applyFont="1" applyFill="1" applyBorder="1" applyAlignment="1">
      <alignment vertical="top" wrapText="1"/>
    </xf>
    <xf numFmtId="3" fontId="13" fillId="3" borderId="1" xfId="0" applyNumberFormat="1" applyFont="1" applyFill="1" applyBorder="1" applyAlignment="1">
      <alignment vertical="top" wrapText="1"/>
    </xf>
    <xf numFmtId="164" fontId="13" fillId="3" borderId="1" xfId="5" applyFont="1" applyFill="1" applyBorder="1" applyAlignment="1">
      <alignment vertical="top" wrapText="1"/>
    </xf>
    <xf numFmtId="44" fontId="9" fillId="0" borderId="1" xfId="3" applyNumberFormat="1" applyFont="1" applyBorder="1" applyAlignment="1">
      <alignment vertical="top" wrapText="1"/>
    </xf>
    <xf numFmtId="3" fontId="9" fillId="0" borderId="1" xfId="0" applyNumberFormat="1" applyFont="1" applyFill="1" applyBorder="1" applyAlignment="1">
      <alignment vertical="top" wrapText="1"/>
    </xf>
    <xf numFmtId="164" fontId="9" fillId="0" borderId="1" xfId="5" applyFont="1" applyBorder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8" fontId="13" fillId="9" borderId="1" xfId="0" applyNumberFormat="1" applyFont="1" applyFill="1" applyBorder="1" applyAlignment="1">
      <alignment vertical="top" wrapText="1"/>
    </xf>
    <xf numFmtId="171" fontId="9" fillId="4" borderId="1" xfId="5" applyNumberFormat="1" applyFont="1" applyFill="1" applyBorder="1" applyAlignment="1">
      <alignment vertical="top" wrapText="1"/>
    </xf>
    <xf numFmtId="171" fontId="9" fillId="0" borderId="1" xfId="5" applyNumberFormat="1" applyFont="1" applyFill="1" applyBorder="1" applyAlignment="1">
      <alignment vertical="top" wrapText="1"/>
    </xf>
    <xf numFmtId="171" fontId="9" fillId="0" borderId="1" xfId="5" applyNumberFormat="1" applyFont="1" applyBorder="1" applyAlignment="1">
      <alignment vertical="top" wrapText="1"/>
    </xf>
    <xf numFmtId="171" fontId="13" fillId="3" borderId="1" xfId="5" applyNumberFormat="1" applyFont="1" applyFill="1" applyBorder="1" applyAlignment="1">
      <alignment vertical="top" wrapText="1"/>
    </xf>
    <xf numFmtId="164" fontId="9" fillId="0" borderId="1" xfId="5" applyNumberFormat="1" applyFont="1" applyBorder="1" applyAlignment="1">
      <alignment vertical="top" wrapText="1"/>
    </xf>
    <xf numFmtId="0" fontId="7" fillId="8" borderId="1" xfId="2" applyFont="1" applyFill="1" applyBorder="1" applyAlignment="1">
      <alignment vertical="center" wrapText="1"/>
    </xf>
    <xf numFmtId="170" fontId="17" fillId="4" borderId="2" xfId="4" applyNumberFormat="1" applyFont="1" applyFill="1" applyBorder="1" applyAlignment="1">
      <alignment vertical="center" wrapText="1"/>
    </xf>
    <xf numFmtId="170" fontId="17" fillId="0" borderId="2" xfId="4" applyNumberFormat="1" applyFont="1" applyBorder="1" applyAlignment="1">
      <alignment vertical="center" wrapText="1"/>
    </xf>
    <xf numFmtId="170" fontId="17" fillId="0" borderId="3" xfId="4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top" wrapText="1"/>
    </xf>
    <xf numFmtId="168" fontId="16" fillId="0" borderId="1" xfId="0" applyNumberFormat="1" applyFont="1" applyBorder="1" applyAlignment="1">
      <alignment vertical="top" wrapText="1"/>
    </xf>
    <xf numFmtId="165" fontId="23" fillId="4" borderId="1" xfId="0" applyNumberFormat="1" applyFont="1" applyFill="1" applyBorder="1" applyAlignment="1">
      <alignment vertical="top" wrapText="1"/>
    </xf>
    <xf numFmtId="171" fontId="20" fillId="0" borderId="1" xfId="5" applyNumberFormat="1" applyFont="1" applyFill="1" applyBorder="1" applyAlignment="1">
      <alignment vertical="center" wrapText="1"/>
    </xf>
    <xf numFmtId="171" fontId="21" fillId="0" borderId="1" xfId="5" applyNumberFormat="1" applyFont="1" applyFill="1" applyBorder="1" applyAlignment="1">
      <alignment horizontal="left" vertical="center" wrapText="1"/>
    </xf>
    <xf numFmtId="171" fontId="24" fillId="17" borderId="1" xfId="5" applyNumberFormat="1" applyFont="1" applyFill="1" applyBorder="1" applyAlignment="1">
      <alignment vertical="top" wrapText="1"/>
    </xf>
    <xf numFmtId="165" fontId="16" fillId="0" borderId="1" xfId="0" applyNumberFormat="1" applyFont="1" applyBorder="1" applyAlignment="1">
      <alignment vertical="top" wrapText="1"/>
    </xf>
    <xf numFmtId="3" fontId="9" fillId="4" borderId="1" xfId="3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171" fontId="9" fillId="4" borderId="1" xfId="5" applyNumberFormat="1" applyFont="1" applyFill="1" applyBorder="1" applyAlignment="1">
      <alignment horizontal="center" vertical="top" wrapText="1"/>
    </xf>
    <xf numFmtId="171" fontId="13" fillId="3" borderId="1" xfId="5" applyNumberFormat="1" applyFont="1" applyFill="1" applyBorder="1" applyAlignment="1">
      <alignment horizontal="center" vertical="top" wrapText="1"/>
    </xf>
    <xf numFmtId="171" fontId="24" fillId="17" borderId="1" xfId="5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169" fontId="9" fillId="4" borderId="1" xfId="5" applyNumberFormat="1" applyFont="1" applyFill="1" applyBorder="1" applyAlignment="1">
      <alignment vertical="top" wrapText="1"/>
    </xf>
    <xf numFmtId="169" fontId="13" fillId="3" borderId="1" xfId="5" applyNumberFormat="1" applyFont="1" applyFill="1" applyBorder="1" applyAlignment="1">
      <alignment vertical="top" wrapText="1"/>
    </xf>
    <xf numFmtId="169" fontId="9" fillId="0" borderId="1" xfId="5" applyNumberFormat="1" applyFont="1" applyFill="1" applyBorder="1" applyAlignment="1">
      <alignment vertical="top" wrapText="1"/>
    </xf>
    <xf numFmtId="169" fontId="13" fillId="3" borderId="1" xfId="0" applyNumberFormat="1" applyFont="1" applyFill="1" applyBorder="1" applyAlignment="1">
      <alignment vertical="top" wrapText="1"/>
    </xf>
    <xf numFmtId="164" fontId="16" fillId="0" borderId="1" xfId="5" applyNumberFormat="1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169" fontId="9" fillId="4" borderId="1" xfId="3" applyNumberFormat="1" applyFont="1" applyFill="1" applyBorder="1" applyAlignment="1">
      <alignment vertical="top" wrapText="1"/>
    </xf>
    <xf numFmtId="169" fontId="9" fillId="0" borderId="1" xfId="3" applyNumberFormat="1" applyFont="1" applyBorder="1" applyAlignment="1">
      <alignment vertical="top" wrapText="1"/>
    </xf>
    <xf numFmtId="169" fontId="9" fillId="4" borderId="1" xfId="0" applyNumberFormat="1" applyFont="1" applyFill="1" applyBorder="1" applyAlignment="1">
      <alignment vertical="top" wrapText="1"/>
    </xf>
    <xf numFmtId="169" fontId="9" fillId="0" borderId="1" xfId="0" applyNumberFormat="1" applyFont="1" applyBorder="1" applyAlignment="1">
      <alignment vertical="top" wrapText="1"/>
    </xf>
    <xf numFmtId="164" fontId="9" fillId="0" borderId="1" xfId="5" applyFont="1" applyFill="1" applyBorder="1" applyAlignment="1">
      <alignment vertical="top" wrapText="1"/>
    </xf>
    <xf numFmtId="164" fontId="9" fillId="0" borderId="1" xfId="5" applyNumberFormat="1" applyFont="1" applyFill="1" applyBorder="1" applyAlignment="1">
      <alignment vertical="top" wrapText="1"/>
    </xf>
    <xf numFmtId="0" fontId="9" fillId="5" borderId="37" xfId="2" applyFont="1" applyFill="1" applyBorder="1" applyAlignment="1">
      <alignment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7" fontId="9" fillId="0" borderId="14" xfId="2" applyNumberFormat="1" applyFont="1" applyFill="1" applyBorder="1" applyAlignment="1">
      <alignment horizontal="center" vertical="center" wrapText="1"/>
    </xf>
    <xf numFmtId="166" fontId="9" fillId="4" borderId="14" xfId="2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vertical="center" wrapText="1"/>
    </xf>
    <xf numFmtId="170" fontId="17" fillId="0" borderId="5" xfId="4" applyNumberFormat="1" applyFont="1" applyFill="1" applyBorder="1" applyAlignment="1">
      <alignment vertical="center" wrapText="1"/>
    </xf>
    <xf numFmtId="171" fontId="19" fillId="18" borderId="40" xfId="0" applyNumberFormat="1" applyFont="1" applyFill="1" applyBorder="1"/>
    <xf numFmtId="172" fontId="9" fillId="0" borderId="1" xfId="1" applyNumberFormat="1" applyFont="1" applyFill="1" applyBorder="1" applyAlignment="1">
      <alignment horizontal="right" vertical="center" wrapText="1"/>
    </xf>
    <xf numFmtId="0" fontId="22" fillId="0" borderId="6" xfId="0" applyFont="1" applyBorder="1" applyAlignment="1">
      <alignment horizontal="center" vertical="top" wrapText="1"/>
    </xf>
    <xf numFmtId="0" fontId="22" fillId="0" borderId="51" xfId="0" applyFont="1" applyBorder="1" applyAlignment="1">
      <alignment horizontal="center" vertical="top" wrapText="1"/>
    </xf>
    <xf numFmtId="164" fontId="1" fillId="3" borderId="52" xfId="5" applyFont="1" applyFill="1" applyBorder="1" applyAlignment="1">
      <alignment horizontal="left" vertical="top" wrapText="1"/>
    </xf>
    <xf numFmtId="164" fontId="1" fillId="3" borderId="53" xfId="5" applyFont="1" applyFill="1" applyBorder="1" applyAlignment="1">
      <alignment vertical="top" wrapText="1"/>
    </xf>
    <xf numFmtId="171" fontId="18" fillId="4" borderId="1" xfId="5" applyNumberFormat="1" applyFont="1" applyFill="1" applyBorder="1" applyAlignment="1">
      <alignment horizontal="center" vertical="center" wrapText="1"/>
    </xf>
    <xf numFmtId="171" fontId="17" fillId="0" borderId="45" xfId="5" applyNumberFormat="1" applyFont="1" applyBorder="1" applyAlignment="1">
      <alignment vertical="top"/>
    </xf>
    <xf numFmtId="170" fontId="17" fillId="3" borderId="2" xfId="4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top" wrapText="1"/>
    </xf>
    <xf numFmtId="3" fontId="9" fillId="3" borderId="1" xfId="3" applyNumberFormat="1" applyFont="1" applyFill="1" applyBorder="1" applyAlignment="1">
      <alignment horizontal="center" vertical="top" wrapText="1"/>
    </xf>
    <xf numFmtId="169" fontId="9" fillId="3" borderId="1" xfId="0" applyNumberFormat="1" applyFont="1" applyFill="1" applyBorder="1" applyAlignment="1">
      <alignment vertical="top" wrapText="1"/>
    </xf>
    <xf numFmtId="169" fontId="9" fillId="3" borderId="1" xfId="5" applyNumberFormat="1" applyFont="1" applyFill="1" applyBorder="1" applyAlignment="1">
      <alignment vertical="top" wrapText="1"/>
    </xf>
    <xf numFmtId="3" fontId="9" fillId="3" borderId="1" xfId="0" applyNumberFormat="1" applyFont="1" applyFill="1" applyBorder="1" applyAlignment="1">
      <alignment vertical="top" wrapText="1"/>
    </xf>
    <xf numFmtId="164" fontId="9" fillId="3" borderId="1" xfId="5" applyFont="1" applyFill="1" applyBorder="1" applyAlignment="1">
      <alignment vertical="top" wrapText="1"/>
    </xf>
    <xf numFmtId="168" fontId="9" fillId="3" borderId="1" xfId="0" applyNumberFormat="1" applyFont="1" applyFill="1" applyBorder="1" applyAlignment="1">
      <alignment vertical="top" wrapText="1"/>
    </xf>
    <xf numFmtId="169" fontId="22" fillId="9" borderId="1" xfId="0" applyNumberFormat="1" applyFont="1" applyFill="1" applyBorder="1" applyAlignment="1">
      <alignment horizontal="left" vertical="top" wrapText="1"/>
    </xf>
    <xf numFmtId="168" fontId="13" fillId="3" borderId="1" xfId="0" applyNumberFormat="1" applyFont="1" applyFill="1" applyBorder="1" applyAlignment="1">
      <alignment vertical="top" wrapText="1"/>
    </xf>
    <xf numFmtId="171" fontId="22" fillId="9" borderId="1" xfId="0" applyNumberFormat="1" applyFont="1" applyFill="1" applyBorder="1" applyAlignment="1">
      <alignment horizontal="left" vertical="top" wrapText="1"/>
    </xf>
    <xf numFmtId="164" fontId="11" fillId="4" borderId="0" xfId="5" applyFont="1" applyFill="1" applyBorder="1" applyAlignment="1">
      <alignment horizontal="center" vertical="center" wrapText="1"/>
    </xf>
    <xf numFmtId="171" fontId="25" fillId="0" borderId="0" xfId="5" applyNumberFormat="1" applyFont="1" applyFill="1" applyBorder="1" applyAlignment="1">
      <alignment vertical="center"/>
    </xf>
    <xf numFmtId="170" fontId="17" fillId="0" borderId="1" xfId="4" applyNumberFormat="1" applyFont="1" applyFill="1" applyBorder="1" applyAlignment="1">
      <alignment horizontal="left" vertical="center" wrapText="1" indent="2"/>
    </xf>
    <xf numFmtId="171" fontId="17" fillId="0" borderId="1" xfId="5" applyNumberFormat="1" applyFont="1" applyBorder="1" applyAlignment="1">
      <alignment vertical="center"/>
    </xf>
    <xf numFmtId="171" fontId="25" fillId="0" borderId="1" xfId="5" applyNumberFormat="1" applyFont="1" applyBorder="1" applyAlignment="1">
      <alignment horizontal="right" vertical="center"/>
    </xf>
    <xf numFmtId="171" fontId="17" fillId="0" borderId="1" xfId="5" applyNumberFormat="1" applyFont="1" applyFill="1" applyBorder="1" applyAlignment="1">
      <alignment vertical="center"/>
    </xf>
    <xf numFmtId="171" fontId="25" fillId="0" borderId="1" xfId="5" applyNumberFormat="1" applyFont="1" applyFill="1" applyBorder="1" applyAlignment="1">
      <alignment vertical="center"/>
    </xf>
    <xf numFmtId="171" fontId="25" fillId="0" borderId="1" xfId="5" applyNumberFormat="1" applyFont="1" applyBorder="1" applyAlignment="1">
      <alignment vertical="center"/>
    </xf>
    <xf numFmtId="3" fontId="16" fillId="0" borderId="1" xfId="0" applyNumberFormat="1" applyFont="1" applyBorder="1"/>
    <xf numFmtId="170" fontId="17" fillId="4" borderId="1" xfId="4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Fill="1" applyBorder="1" applyAlignment="1">
      <alignment wrapText="1"/>
    </xf>
    <xf numFmtId="170" fontId="17" fillId="0" borderId="1" xfId="4" applyNumberFormat="1" applyFont="1" applyBorder="1" applyAlignment="1">
      <alignment vertical="center" wrapText="1"/>
    </xf>
    <xf numFmtId="3" fontId="9" fillId="4" borderId="1" xfId="0" applyNumberFormat="1" applyFont="1" applyFill="1" applyBorder="1" applyAlignment="1">
      <alignment horizontal="right"/>
    </xf>
    <xf numFmtId="3" fontId="19" fillId="0" borderId="40" xfId="0" applyNumberFormat="1" applyFont="1" applyBorder="1" applyAlignment="1">
      <alignment horizontal="right"/>
    </xf>
    <xf numFmtId="171" fontId="19" fillId="0" borderId="40" xfId="0" applyNumberFormat="1" applyFont="1" applyBorder="1"/>
    <xf numFmtId="171" fontId="0" fillId="0" borderId="0" xfId="5" applyNumberFormat="1" applyFont="1"/>
    <xf numFmtId="3" fontId="18" fillId="4" borderId="1" xfId="0" applyNumberFormat="1" applyFont="1" applyFill="1" applyBorder="1" applyAlignment="1">
      <alignment horizontal="right" vertical="center" wrapText="1"/>
    </xf>
    <xf numFmtId="171" fontId="19" fillId="0" borderId="40" xfId="0" applyNumberFormat="1" applyFont="1" applyBorder="1" applyAlignment="1">
      <alignment horizontal="right"/>
    </xf>
    <xf numFmtId="171" fontId="17" fillId="0" borderId="1" xfId="5" applyNumberFormat="1" applyFont="1" applyBorder="1" applyAlignment="1">
      <alignment horizontal="right" vertical="center"/>
    </xf>
    <xf numFmtId="171" fontId="17" fillId="0" borderId="1" xfId="5" applyNumberFormat="1" applyFont="1" applyFill="1" applyBorder="1" applyAlignment="1">
      <alignment horizontal="right" vertical="center"/>
    </xf>
    <xf numFmtId="171" fontId="9" fillId="18" borderId="1" xfId="5" applyNumberFormat="1" applyFont="1" applyFill="1" applyBorder="1" applyAlignment="1">
      <alignment vertical="top" wrapText="1"/>
    </xf>
    <xf numFmtId="171" fontId="9" fillId="0" borderId="1" xfId="5" applyNumberFormat="1" applyFont="1" applyFill="1" applyBorder="1" applyAlignment="1">
      <alignment horizontal="center" vertical="top" wrapText="1"/>
    </xf>
    <xf numFmtId="171" fontId="13" fillId="0" borderId="1" xfId="5" applyNumberFormat="1" applyFont="1" applyFill="1" applyBorder="1" applyAlignment="1">
      <alignment vertical="top" wrapText="1"/>
    </xf>
    <xf numFmtId="168" fontId="9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171" fontId="13" fillId="18" borderId="1" xfId="5" applyNumberFormat="1" applyFont="1" applyFill="1" applyBorder="1" applyAlignment="1">
      <alignment vertical="top" wrapText="1"/>
    </xf>
    <xf numFmtId="171" fontId="13" fillId="18" borderId="1" xfId="5" applyNumberFormat="1" applyFont="1" applyFill="1" applyBorder="1" applyAlignment="1">
      <alignment horizontal="center" vertical="top" wrapText="1"/>
    </xf>
    <xf numFmtId="171" fontId="21" fillId="18" borderId="1" xfId="5" applyNumberFormat="1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vertical="top" wrapText="1"/>
    </xf>
    <xf numFmtId="171" fontId="26" fillId="18" borderId="1" xfId="5" applyNumberFormat="1" applyFont="1" applyFill="1" applyBorder="1" applyAlignment="1">
      <alignment vertical="center" wrapText="1"/>
    </xf>
    <xf numFmtId="171" fontId="4" fillId="18" borderId="1" xfId="5" applyNumberFormat="1" applyFont="1" applyFill="1" applyBorder="1" applyAlignment="1">
      <alignment vertical="top" wrapText="1"/>
    </xf>
    <xf numFmtId="171" fontId="4" fillId="18" borderId="1" xfId="5" applyNumberFormat="1" applyFont="1" applyFill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171" fontId="4" fillId="18" borderId="2" xfId="5" applyNumberFormat="1" applyFont="1" applyFill="1" applyBorder="1" applyAlignment="1">
      <alignment vertical="top" wrapText="1"/>
    </xf>
    <xf numFmtId="171" fontId="4" fillId="18" borderId="4" xfId="5" applyNumberFormat="1" applyFont="1" applyFill="1" applyBorder="1" applyAlignment="1">
      <alignment vertical="top" wrapText="1"/>
    </xf>
    <xf numFmtId="171" fontId="9" fillId="0" borderId="12" xfId="5" applyNumberFormat="1" applyFont="1" applyFill="1" applyBorder="1" applyAlignment="1">
      <alignment vertical="top" wrapText="1"/>
    </xf>
    <xf numFmtId="171" fontId="9" fillId="0" borderId="21" xfId="5" applyNumberFormat="1" applyFont="1" applyFill="1" applyBorder="1" applyAlignment="1">
      <alignment vertical="top" wrapText="1"/>
    </xf>
    <xf numFmtId="171" fontId="4" fillId="18" borderId="59" xfId="5" applyNumberFormat="1" applyFont="1" applyFill="1" applyBorder="1" applyAlignment="1">
      <alignment vertical="top" wrapText="1"/>
    </xf>
    <xf numFmtId="171" fontId="9" fillId="0" borderId="12" xfId="5" applyNumberFormat="1" applyFont="1" applyBorder="1" applyAlignment="1">
      <alignment vertical="top" wrapText="1"/>
    </xf>
    <xf numFmtId="171" fontId="9" fillId="0" borderId="21" xfId="5" applyNumberFormat="1" applyFont="1" applyBorder="1" applyAlignment="1">
      <alignment vertical="top" wrapText="1"/>
    </xf>
    <xf numFmtId="168" fontId="4" fillId="9" borderId="4" xfId="0" applyNumberFormat="1" applyFont="1" applyFill="1" applyBorder="1" applyAlignment="1">
      <alignment vertical="top" wrapText="1"/>
    </xf>
    <xf numFmtId="170" fontId="15" fillId="3" borderId="2" xfId="4" applyNumberFormat="1" applyFont="1" applyFill="1" applyBorder="1" applyAlignment="1">
      <alignment vertical="center" wrapText="1"/>
    </xf>
    <xf numFmtId="0" fontId="5" fillId="7" borderId="33" xfId="2" applyFont="1" applyFill="1" applyBorder="1" applyAlignment="1">
      <alignment horizontal="left" vertical="center" wrapText="1"/>
    </xf>
    <xf numFmtId="0" fontId="5" fillId="7" borderId="21" xfId="2" applyFont="1" applyFill="1" applyBorder="1" applyAlignment="1">
      <alignment horizontal="left" vertical="center" wrapText="1"/>
    </xf>
    <xf numFmtId="0" fontId="5" fillId="7" borderId="14" xfId="2" applyFont="1" applyFill="1" applyBorder="1" applyAlignment="1">
      <alignment horizontal="left" vertical="center" wrapText="1"/>
    </xf>
    <xf numFmtId="0" fontId="5" fillId="7" borderId="51" xfId="2" applyFont="1" applyFill="1" applyBorder="1" applyAlignment="1">
      <alignment horizontal="left" vertical="center" wrapText="1"/>
    </xf>
    <xf numFmtId="0" fontId="5" fillId="7" borderId="26" xfId="2" applyFont="1" applyFill="1" applyBorder="1" applyAlignment="1">
      <alignment horizontal="left" vertical="center" wrapText="1"/>
    </xf>
    <xf numFmtId="0" fontId="5" fillId="7" borderId="48" xfId="2" applyFont="1" applyFill="1" applyBorder="1" applyAlignment="1">
      <alignment horizontal="left" vertical="center" wrapText="1"/>
    </xf>
    <xf numFmtId="0" fontId="5" fillId="7" borderId="32" xfId="2" applyFont="1" applyFill="1" applyBorder="1" applyAlignment="1">
      <alignment horizontal="left" vertical="center" wrapText="1"/>
    </xf>
    <xf numFmtId="0" fontId="28" fillId="0" borderId="0" xfId="0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wrapText="1"/>
    </xf>
    <xf numFmtId="171" fontId="28" fillId="0" borderId="42" xfId="5" applyNumberFormat="1" applyFont="1" applyBorder="1" applyAlignment="1"/>
    <xf numFmtId="0" fontId="28" fillId="0" borderId="0" xfId="0" applyFont="1" applyBorder="1" applyAlignment="1">
      <alignment wrapText="1"/>
    </xf>
    <xf numFmtId="171" fontId="28" fillId="0" borderId="44" xfId="5" applyNumberFormat="1" applyFont="1" applyBorder="1" applyAlignment="1"/>
    <xf numFmtId="0" fontId="28" fillId="19" borderId="4" xfId="0" applyFont="1" applyFill="1" applyBorder="1" applyAlignment="1"/>
    <xf numFmtId="0" fontId="28" fillId="19" borderId="1" xfId="0" applyFont="1" applyFill="1" applyBorder="1" applyAlignment="1"/>
    <xf numFmtId="0" fontId="28" fillId="19" borderId="13" xfId="0" applyFont="1" applyFill="1" applyBorder="1" applyAlignment="1"/>
    <xf numFmtId="0" fontId="31" fillId="6" borderId="4" xfId="0" applyFont="1" applyFill="1" applyBorder="1"/>
    <xf numFmtId="0" fontId="31" fillId="6" borderId="1" xfId="0" applyFont="1" applyFill="1" applyBorder="1"/>
    <xf numFmtId="0" fontId="32" fillId="11" borderId="2" xfId="4" applyFont="1" applyFill="1" applyBorder="1" applyAlignment="1">
      <alignment horizontal="left"/>
    </xf>
    <xf numFmtId="0" fontId="32" fillId="11" borderId="3" xfId="4" applyFont="1" applyFill="1" applyBorder="1" applyAlignment="1">
      <alignment horizontal="center"/>
    </xf>
    <xf numFmtId="0" fontId="32" fillId="11" borderId="3" xfId="4" applyFont="1" applyFill="1" applyBorder="1" applyAlignment="1">
      <alignment horizontal="left" wrapText="1"/>
    </xf>
    <xf numFmtId="171" fontId="33" fillId="11" borderId="45" xfId="5" applyNumberFormat="1" applyFont="1" applyFill="1" applyBorder="1" applyAlignment="1">
      <alignment vertical="center"/>
    </xf>
    <xf numFmtId="0" fontId="28" fillId="0" borderId="4" xfId="0" applyFont="1" applyBorder="1"/>
    <xf numFmtId="0" fontId="28" fillId="0" borderId="1" xfId="0" applyFont="1" applyBorder="1"/>
    <xf numFmtId="0" fontId="28" fillId="0" borderId="13" xfId="0" applyFont="1" applyBorder="1"/>
    <xf numFmtId="0" fontId="32" fillId="12" borderId="3" xfId="4" applyFont="1" applyFill="1" applyBorder="1" applyAlignment="1">
      <alignment horizontal="left"/>
    </xf>
    <xf numFmtId="0" fontId="32" fillId="12" borderId="3" xfId="4" applyFont="1" applyFill="1" applyBorder="1" applyAlignment="1">
      <alignment horizontal="center"/>
    </xf>
    <xf numFmtId="0" fontId="32" fillId="12" borderId="3" xfId="4" applyFont="1" applyFill="1" applyBorder="1" applyAlignment="1">
      <alignment horizontal="left" wrapText="1"/>
    </xf>
    <xf numFmtId="171" fontId="32" fillId="12" borderId="45" xfId="5" applyNumberFormat="1" applyFont="1" applyFill="1" applyBorder="1" applyAlignment="1">
      <alignment horizontal="center" wrapText="1"/>
    </xf>
    <xf numFmtId="170" fontId="33" fillId="0" borderId="4" xfId="4" applyNumberFormat="1" applyFont="1" applyBorder="1" applyAlignment="1">
      <alignment vertical="center"/>
    </xf>
    <xf numFmtId="170" fontId="33" fillId="0" borderId="1" xfId="4" applyNumberFormat="1" applyFont="1" applyBorder="1" applyAlignment="1">
      <alignment vertical="center"/>
    </xf>
    <xf numFmtId="170" fontId="33" fillId="0" borderId="13" xfId="4" applyNumberFormat="1" applyFont="1" applyBorder="1" applyAlignment="1">
      <alignment vertical="center"/>
    </xf>
    <xf numFmtId="0" fontId="28" fillId="0" borderId="4" xfId="0" applyFont="1" applyFill="1" applyBorder="1"/>
    <xf numFmtId="0" fontId="28" fillId="0" borderId="1" xfId="0" applyFont="1" applyFill="1" applyBorder="1"/>
    <xf numFmtId="0" fontId="28" fillId="0" borderId="0" xfId="0" applyFont="1" applyFill="1"/>
    <xf numFmtId="0" fontId="36" fillId="13" borderId="3" xfId="4" applyFont="1" applyFill="1" applyBorder="1" applyAlignment="1">
      <alignment horizontal="left"/>
    </xf>
    <xf numFmtId="0" fontId="32" fillId="13" borderId="3" xfId="4" applyFont="1" applyFill="1" applyBorder="1" applyAlignment="1">
      <alignment horizontal="center"/>
    </xf>
    <xf numFmtId="0" fontId="36" fillId="13" borderId="3" xfId="4" applyFont="1" applyFill="1" applyBorder="1" applyAlignment="1">
      <alignment horizontal="left" wrapText="1"/>
    </xf>
    <xf numFmtId="171" fontId="36" fillId="13" borderId="44" xfId="5" applyNumberFormat="1" applyFont="1" applyFill="1" applyBorder="1" applyAlignment="1">
      <alignment horizontal="center"/>
    </xf>
    <xf numFmtId="3" fontId="28" fillId="0" borderId="4" xfId="0" applyNumberFormat="1" applyFont="1" applyBorder="1"/>
    <xf numFmtId="0" fontId="28" fillId="20" borderId="1" xfId="0" applyFont="1" applyFill="1" applyBorder="1"/>
    <xf numFmtId="0" fontId="28" fillId="0" borderId="37" xfId="4" applyFont="1" applyBorder="1" applyAlignment="1">
      <alignment vertical="center"/>
    </xf>
    <xf numFmtId="0" fontId="29" fillId="0" borderId="1" xfId="4" applyFont="1" applyFill="1" applyBorder="1" applyAlignment="1">
      <alignment horizontal="center" vertical="center"/>
    </xf>
    <xf numFmtId="170" fontId="33" fillId="0" borderId="2" xfId="4" applyNumberFormat="1" applyFont="1" applyFill="1" applyBorder="1" applyAlignment="1">
      <alignment vertical="center" wrapText="1"/>
    </xf>
    <xf numFmtId="171" fontId="33" fillId="0" borderId="45" xfId="5" applyNumberFormat="1" applyFont="1" applyBorder="1" applyAlignment="1">
      <alignment vertical="center"/>
    </xf>
    <xf numFmtId="0" fontId="32" fillId="13" borderId="26" xfId="4" applyFont="1" applyFill="1" applyBorder="1" applyAlignment="1">
      <alignment horizontal="center"/>
    </xf>
    <xf numFmtId="0" fontId="36" fillId="13" borderId="26" xfId="4" applyFont="1" applyFill="1" applyBorder="1" applyAlignment="1">
      <alignment horizontal="center" wrapText="1"/>
    </xf>
    <xf numFmtId="170" fontId="33" fillId="0" borderId="4" xfId="4" applyNumberFormat="1" applyFont="1" applyBorder="1" applyAlignment="1">
      <alignment horizontal="right" vertical="center"/>
    </xf>
    <xf numFmtId="170" fontId="33" fillId="0" borderId="1" xfId="4" applyNumberFormat="1" applyFont="1" applyBorder="1" applyAlignment="1">
      <alignment horizontal="right" vertical="center"/>
    </xf>
    <xf numFmtId="170" fontId="33" fillId="0" borderId="13" xfId="4" applyNumberFormat="1" applyFont="1" applyBorder="1" applyAlignment="1">
      <alignment horizontal="right" vertical="center"/>
    </xf>
    <xf numFmtId="0" fontId="28" fillId="20" borderId="4" xfId="0" applyFont="1" applyFill="1" applyBorder="1"/>
    <xf numFmtId="0" fontId="28" fillId="0" borderId="37" xfId="4" applyFont="1" applyFill="1" applyBorder="1" applyAlignment="1">
      <alignment vertical="center"/>
    </xf>
    <xf numFmtId="0" fontId="36" fillId="13" borderId="3" xfId="4" applyFont="1" applyFill="1" applyBorder="1" applyAlignment="1">
      <alignment horizontal="center" wrapText="1"/>
    </xf>
    <xf numFmtId="3" fontId="28" fillId="20" borderId="4" xfId="0" applyNumberFormat="1" applyFont="1" applyFill="1" applyBorder="1"/>
    <xf numFmtId="0" fontId="29" fillId="0" borderId="1" xfId="4" applyFont="1" applyBorder="1" applyAlignment="1">
      <alignment horizontal="center" vertical="center"/>
    </xf>
    <xf numFmtId="171" fontId="33" fillId="0" borderId="45" xfId="5" applyNumberFormat="1" applyFont="1" applyFill="1" applyBorder="1" applyAlignment="1">
      <alignment vertical="center"/>
    </xf>
    <xf numFmtId="171" fontId="36" fillId="13" borderId="45" xfId="5" applyNumberFormat="1" applyFont="1" applyFill="1" applyBorder="1" applyAlignment="1">
      <alignment horizontal="center"/>
    </xf>
    <xf numFmtId="171" fontId="32" fillId="12" borderId="45" xfId="5" applyNumberFormat="1" applyFont="1" applyFill="1" applyBorder="1" applyAlignment="1">
      <alignment horizontal="left"/>
    </xf>
    <xf numFmtId="171" fontId="36" fillId="13" borderId="46" xfId="5" applyNumberFormat="1" applyFont="1" applyFill="1" applyBorder="1" applyAlignment="1">
      <alignment horizontal="center"/>
    </xf>
    <xf numFmtId="164" fontId="28" fillId="0" borderId="4" xfId="0" applyNumberFormat="1" applyFont="1" applyFill="1" applyBorder="1"/>
    <xf numFmtId="170" fontId="33" fillId="0" borderId="37" xfId="4" applyNumberFormat="1" applyFont="1" applyFill="1" applyBorder="1" applyAlignment="1">
      <alignment vertical="center"/>
    </xf>
    <xf numFmtId="0" fontId="28" fillId="0" borderId="2" xfId="0" applyFont="1" applyBorder="1" applyAlignment="1">
      <alignment wrapText="1"/>
    </xf>
    <xf numFmtId="3" fontId="28" fillId="0" borderId="45" xfId="0" applyNumberFormat="1" applyFont="1" applyBorder="1"/>
    <xf numFmtId="0" fontId="28" fillId="0" borderId="2" xfId="0" applyFont="1" applyBorder="1"/>
    <xf numFmtId="170" fontId="33" fillId="0" borderId="0" xfId="4" applyNumberFormat="1" applyFont="1" applyFill="1" applyBorder="1" applyAlignment="1">
      <alignment vertical="center"/>
    </xf>
    <xf numFmtId="0" fontId="28" fillId="0" borderId="2" xfId="0" applyFont="1" applyFill="1" applyBorder="1"/>
    <xf numFmtId="171" fontId="36" fillId="13" borderId="47" xfId="5" applyNumberFormat="1" applyFont="1" applyFill="1" applyBorder="1" applyAlignment="1">
      <alignment horizontal="center" wrapText="1"/>
    </xf>
    <xf numFmtId="0" fontId="28" fillId="0" borderId="0" xfId="0" applyFont="1" applyAlignment="1"/>
    <xf numFmtId="170" fontId="33" fillId="0" borderId="2" xfId="4" applyNumberFormat="1" applyFont="1" applyBorder="1" applyAlignment="1">
      <alignment vertical="center" wrapText="1"/>
    </xf>
    <xf numFmtId="0" fontId="28" fillId="0" borderId="0" xfId="4" applyFont="1" applyFill="1" applyBorder="1" applyAlignment="1">
      <alignment vertical="center"/>
    </xf>
    <xf numFmtId="0" fontId="28" fillId="0" borderId="4" xfId="0" applyFont="1" applyBorder="1" applyAlignment="1"/>
    <xf numFmtId="171" fontId="36" fillId="13" borderId="45" xfId="5" applyNumberFormat="1" applyFont="1" applyFill="1" applyBorder="1" applyAlignment="1">
      <alignment wrapText="1"/>
    </xf>
    <xf numFmtId="164" fontId="33" fillId="0" borderId="4" xfId="4" applyNumberFormat="1" applyFont="1" applyBorder="1" applyAlignment="1">
      <alignment horizontal="center" vertical="center"/>
    </xf>
    <xf numFmtId="170" fontId="33" fillId="0" borderId="1" xfId="4" applyNumberFormat="1" applyFont="1" applyFill="1" applyBorder="1" applyAlignment="1">
      <alignment vertical="center"/>
    </xf>
    <xf numFmtId="0" fontId="29" fillId="4" borderId="1" xfId="4" applyFont="1" applyFill="1" applyBorder="1" applyAlignment="1">
      <alignment horizontal="center" vertical="center"/>
    </xf>
    <xf numFmtId="3" fontId="28" fillId="4" borderId="45" xfId="0" applyNumberFormat="1" applyFont="1" applyFill="1" applyBorder="1"/>
    <xf numFmtId="0" fontId="29" fillId="21" borderId="1" xfId="4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wrapText="1"/>
    </xf>
    <xf numFmtId="0" fontId="28" fillId="0" borderId="48" xfId="0" applyFont="1" applyFill="1" applyBorder="1"/>
    <xf numFmtId="0" fontId="28" fillId="0" borderId="21" xfId="0" applyFont="1" applyFill="1" applyBorder="1"/>
    <xf numFmtId="171" fontId="28" fillId="0" borderId="4" xfId="0" applyNumberFormat="1" applyFont="1" applyFill="1" applyBorder="1"/>
    <xf numFmtId="0" fontId="28" fillId="0" borderId="0" xfId="0" applyFont="1" applyFill="1" applyBorder="1"/>
    <xf numFmtId="0" fontId="32" fillId="13" borderId="3" xfId="4" applyFont="1" applyFill="1" applyBorder="1" applyAlignment="1">
      <alignment horizontal="center" vertical="top"/>
    </xf>
    <xf numFmtId="3" fontId="28" fillId="14" borderId="4" xfId="0" applyNumberFormat="1" applyFont="1" applyFill="1" applyBorder="1"/>
    <xf numFmtId="3" fontId="28" fillId="14" borderId="1" xfId="0" applyNumberFormat="1" applyFont="1" applyFill="1" applyBorder="1"/>
    <xf numFmtId="3" fontId="28" fillId="14" borderId="13" xfId="0" applyNumberFormat="1" applyFont="1" applyFill="1" applyBorder="1"/>
    <xf numFmtId="0" fontId="28" fillId="14" borderId="1" xfId="0" applyFont="1" applyFill="1" applyBorder="1"/>
    <xf numFmtId="0" fontId="28" fillId="0" borderId="0" xfId="0" applyFont="1" applyBorder="1"/>
    <xf numFmtId="170" fontId="33" fillId="0" borderId="37" xfId="4" applyNumberFormat="1" applyFont="1" applyBorder="1" applyAlignment="1">
      <alignment vertical="center"/>
    </xf>
    <xf numFmtId="170" fontId="33" fillId="0" borderId="2" xfId="4" applyNumberFormat="1" applyFont="1" applyFill="1" applyBorder="1" applyAlignment="1">
      <alignment horizontal="left" vertical="center" wrapText="1"/>
    </xf>
    <xf numFmtId="171" fontId="28" fillId="0" borderId="45" xfId="5" applyNumberFormat="1" applyFont="1" applyBorder="1" applyAlignment="1"/>
    <xf numFmtId="164" fontId="33" fillId="0" borderId="4" xfId="4" applyNumberFormat="1" applyFont="1" applyBorder="1" applyAlignment="1">
      <alignment horizontal="right" vertical="center"/>
    </xf>
    <xf numFmtId="0" fontId="28" fillId="0" borderId="55" xfId="0" applyFont="1" applyFill="1" applyBorder="1"/>
    <xf numFmtId="0" fontId="28" fillId="14" borderId="13" xfId="0" applyFont="1" applyFill="1" applyBorder="1"/>
    <xf numFmtId="0" fontId="28" fillId="14" borderId="4" xfId="0" applyFont="1" applyFill="1" applyBorder="1"/>
    <xf numFmtId="171" fontId="36" fillId="13" borderId="45" xfId="5" applyNumberFormat="1" applyFont="1" applyFill="1" applyBorder="1" applyAlignment="1">
      <alignment horizontal="right"/>
    </xf>
    <xf numFmtId="170" fontId="33" fillId="0" borderId="54" xfId="4" applyNumberFormat="1" applyFont="1" applyBorder="1" applyAlignment="1">
      <alignment horizontal="right" vertical="center"/>
    </xf>
    <xf numFmtId="170" fontId="33" fillId="0" borderId="29" xfId="4" applyNumberFormat="1" applyFont="1" applyBorder="1" applyAlignment="1">
      <alignment horizontal="right" vertical="center"/>
    </xf>
    <xf numFmtId="170" fontId="33" fillId="0" borderId="50" xfId="4" applyNumberFormat="1" applyFont="1" applyBorder="1" applyAlignment="1">
      <alignment horizontal="right" vertical="center"/>
    </xf>
    <xf numFmtId="0" fontId="29" fillId="15" borderId="3" xfId="0" applyFont="1" applyFill="1" applyBorder="1" applyAlignment="1">
      <alignment horizontal="center"/>
    </xf>
    <xf numFmtId="164" fontId="28" fillId="0" borderId="0" xfId="0" applyNumberFormat="1" applyFont="1" applyAlignment="1">
      <alignment wrapText="1"/>
    </xf>
    <xf numFmtId="164" fontId="28" fillId="0" borderId="0" xfId="5" applyNumberFormat="1" applyFont="1" applyAlignment="1"/>
    <xf numFmtId="3" fontId="28" fillId="0" borderId="0" xfId="0" applyNumberFormat="1" applyFont="1" applyAlignment="1"/>
    <xf numFmtId="171" fontId="28" fillId="0" borderId="0" xfId="5" applyNumberFormat="1" applyFont="1" applyAlignment="1"/>
    <xf numFmtId="164" fontId="28" fillId="0" borderId="0" xfId="5" applyFont="1" applyAlignment="1">
      <alignment wrapText="1"/>
    </xf>
    <xf numFmtId="0" fontId="30" fillId="10" borderId="38" xfId="0" applyFont="1" applyFill="1" applyBorder="1" applyAlignment="1">
      <alignment horizontal="center"/>
    </xf>
    <xf numFmtId="0" fontId="30" fillId="10" borderId="0" xfId="0" applyFont="1" applyFill="1" applyBorder="1" applyAlignment="1">
      <alignment horizontal="center"/>
    </xf>
    <xf numFmtId="0" fontId="30" fillId="10" borderId="43" xfId="0" applyFont="1" applyFill="1" applyBorder="1" applyAlignment="1">
      <alignment horizontal="center"/>
    </xf>
    <xf numFmtId="0" fontId="30" fillId="10" borderId="34" xfId="0" applyFont="1" applyFill="1" applyBorder="1" applyAlignment="1">
      <alignment horizontal="center"/>
    </xf>
    <xf numFmtId="0" fontId="30" fillId="10" borderId="35" xfId="0" applyFont="1" applyFill="1" applyBorder="1" applyAlignment="1">
      <alignment horizontal="center"/>
    </xf>
    <xf numFmtId="0" fontId="30" fillId="10" borderId="36" xfId="0" applyFont="1" applyFill="1" applyBorder="1" applyAlignment="1">
      <alignment horizontal="center"/>
    </xf>
    <xf numFmtId="0" fontId="36" fillId="6" borderId="0" xfId="4" applyFont="1" applyFill="1" applyBorder="1" applyAlignment="1">
      <alignment horizontal="left" vertical="top"/>
    </xf>
    <xf numFmtId="0" fontId="36" fillId="6" borderId="26" xfId="4" applyFont="1" applyFill="1" applyBorder="1" applyAlignment="1">
      <alignment horizontal="left" vertical="top"/>
    </xf>
    <xf numFmtId="171" fontId="36" fillId="6" borderId="46" xfId="5" applyNumberFormat="1" applyFont="1" applyFill="1" applyBorder="1" applyAlignment="1">
      <alignment horizontal="left" vertical="top"/>
    </xf>
    <xf numFmtId="171" fontId="36" fillId="6" borderId="44" xfId="5" applyNumberFormat="1" applyFont="1" applyFill="1" applyBorder="1" applyAlignment="1">
      <alignment horizontal="left" vertical="top"/>
    </xf>
    <xf numFmtId="171" fontId="36" fillId="6" borderId="47" xfId="5" applyNumberFormat="1" applyFont="1" applyFill="1" applyBorder="1" applyAlignment="1">
      <alignment horizontal="left" vertical="top"/>
    </xf>
    <xf numFmtId="0" fontId="36" fillId="13" borderId="7" xfId="4" applyFont="1" applyFill="1" applyBorder="1" applyAlignment="1">
      <alignment horizontal="left" wrapText="1"/>
    </xf>
    <xf numFmtId="0" fontId="36" fillId="13" borderId="3" xfId="4" applyFont="1" applyFill="1" applyBorder="1" applyAlignment="1">
      <alignment horizontal="left" wrapText="1"/>
    </xf>
    <xf numFmtId="0" fontId="36" fillId="13" borderId="26" xfId="4" applyFont="1" applyFill="1" applyBorder="1" applyAlignment="1">
      <alignment horizontal="left" wrapText="1"/>
    </xf>
    <xf numFmtId="0" fontId="36" fillId="6" borderId="1" xfId="4" applyFont="1" applyFill="1" applyBorder="1" applyAlignment="1">
      <alignment horizontal="left" vertical="top"/>
    </xf>
    <xf numFmtId="0" fontId="36" fillId="6" borderId="2" xfId="4" applyFont="1" applyFill="1" applyBorder="1" applyAlignment="1">
      <alignment horizontal="left" vertical="top"/>
    </xf>
    <xf numFmtId="171" fontId="36" fillId="6" borderId="45" xfId="5" applyNumberFormat="1" applyFont="1" applyFill="1" applyBorder="1" applyAlignment="1">
      <alignment horizontal="left" vertical="top"/>
    </xf>
    <xf numFmtId="171" fontId="36" fillId="19" borderId="46" xfId="5" applyNumberFormat="1" applyFont="1" applyFill="1" applyBorder="1" applyAlignment="1">
      <alignment horizontal="right" vertical="top"/>
    </xf>
    <xf numFmtId="171" fontId="36" fillId="19" borderId="44" xfId="5" applyNumberFormat="1" applyFont="1" applyFill="1" applyBorder="1" applyAlignment="1">
      <alignment horizontal="right" vertical="top"/>
    </xf>
    <xf numFmtId="171" fontId="36" fillId="19" borderId="49" xfId="5" applyNumberFormat="1" applyFont="1" applyFill="1" applyBorder="1" applyAlignment="1">
      <alignment horizontal="right" vertical="top"/>
    </xf>
    <xf numFmtId="170" fontId="33" fillId="0" borderId="3" xfId="4" applyNumberFormat="1" applyFont="1" applyFill="1" applyBorder="1" applyAlignment="1">
      <alignment horizontal="center" vertical="center"/>
    </xf>
    <xf numFmtId="0" fontId="24" fillId="24" borderId="2" xfId="0" applyFont="1" applyFill="1" applyBorder="1" applyAlignment="1">
      <alignment horizontal="left" vertical="top" wrapText="1"/>
    </xf>
    <xf numFmtId="0" fontId="24" fillId="24" borderId="3" xfId="0" applyFont="1" applyFill="1" applyBorder="1" applyAlignment="1">
      <alignment horizontal="left" vertical="top" wrapText="1"/>
    </xf>
    <xf numFmtId="0" fontId="24" fillId="25" borderId="2" xfId="0" applyFont="1" applyFill="1" applyBorder="1" applyAlignment="1">
      <alignment horizontal="left" vertical="top" wrapText="1"/>
    </xf>
    <xf numFmtId="0" fontId="24" fillId="25" borderId="3" xfId="0" applyFont="1" applyFill="1" applyBorder="1" applyAlignment="1">
      <alignment horizontal="left" vertical="top" wrapText="1"/>
    </xf>
    <xf numFmtId="0" fontId="24" fillId="25" borderId="4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171" fontId="24" fillId="16" borderId="1" xfId="5" applyNumberFormat="1" applyFont="1" applyFill="1" applyBorder="1" applyAlignment="1">
      <alignment horizontal="left" vertical="top" wrapText="1"/>
    </xf>
    <xf numFmtId="0" fontId="22" fillId="22" borderId="2" xfId="0" applyFont="1" applyFill="1" applyBorder="1" applyAlignment="1">
      <alignment horizontal="center" vertical="top" wrapText="1"/>
    </xf>
    <xf numFmtId="0" fontId="22" fillId="22" borderId="3" xfId="0" applyFont="1" applyFill="1" applyBorder="1" applyAlignment="1">
      <alignment horizontal="center" vertical="top" wrapText="1"/>
    </xf>
    <xf numFmtId="0" fontId="22" fillId="22" borderId="4" xfId="0" applyFont="1" applyFill="1" applyBorder="1" applyAlignment="1">
      <alignment horizontal="center" vertical="top" wrapText="1"/>
    </xf>
    <xf numFmtId="0" fontId="22" fillId="21" borderId="2" xfId="0" applyFont="1" applyFill="1" applyBorder="1" applyAlignment="1">
      <alignment horizontal="center" vertical="top" wrapText="1"/>
    </xf>
    <xf numFmtId="0" fontId="22" fillId="21" borderId="3" xfId="0" applyFont="1" applyFill="1" applyBorder="1" applyAlignment="1">
      <alignment horizontal="center" vertical="top" wrapText="1"/>
    </xf>
    <xf numFmtId="0" fontId="22" fillId="21" borderId="4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0" fontId="22" fillId="14" borderId="3" xfId="0" applyFont="1" applyFill="1" applyBorder="1" applyAlignment="1">
      <alignment horizontal="center" vertical="top" wrapText="1"/>
    </xf>
    <xf numFmtId="0" fontId="22" fillId="23" borderId="3" xfId="0" applyFont="1" applyFill="1" applyBorder="1" applyAlignment="1">
      <alignment horizontal="center" vertical="top" wrapText="1"/>
    </xf>
    <xf numFmtId="0" fontId="22" fillId="23" borderId="4" xfId="0" applyFont="1" applyFill="1" applyBorder="1" applyAlignment="1">
      <alignment horizontal="center" vertical="top" wrapText="1"/>
    </xf>
    <xf numFmtId="0" fontId="12" fillId="8" borderId="17" xfId="2" applyFont="1" applyFill="1" applyBorder="1" applyAlignment="1">
      <alignment horizontal="left" vertical="center" wrapText="1"/>
    </xf>
    <xf numFmtId="0" fontId="12" fillId="8" borderId="3" xfId="2" applyFont="1" applyFill="1" applyBorder="1" applyAlignment="1">
      <alignment horizontal="left" vertical="center" wrapText="1"/>
    </xf>
    <xf numFmtId="0" fontId="7" fillId="8" borderId="1" xfId="2" applyFont="1" applyFill="1" applyBorder="1" applyAlignment="1">
      <alignment horizontal="left" vertical="center" wrapText="1"/>
    </xf>
    <xf numFmtId="0" fontId="7" fillId="8" borderId="15" xfId="2" applyFont="1" applyFill="1" applyBorder="1" applyAlignment="1">
      <alignment horizontal="left" vertical="center" wrapText="1"/>
    </xf>
    <xf numFmtId="0" fontId="7" fillId="8" borderId="7" xfId="2" applyFont="1" applyFill="1" applyBorder="1" applyAlignment="1">
      <alignment horizontal="left" vertical="center" wrapText="1"/>
    </xf>
    <xf numFmtId="0" fontId="7" fillId="8" borderId="16" xfId="2" applyFont="1" applyFill="1" applyBorder="1" applyAlignment="1">
      <alignment horizontal="left" vertical="center" wrapText="1"/>
    </xf>
    <xf numFmtId="0" fontId="7" fillId="8" borderId="17" xfId="2" applyFont="1" applyFill="1" applyBorder="1" applyAlignment="1">
      <alignment horizontal="left" vertical="center" wrapText="1"/>
    </xf>
    <xf numFmtId="0" fontId="7" fillId="8" borderId="3" xfId="2" applyFont="1" applyFill="1" applyBorder="1" applyAlignment="1">
      <alignment horizontal="left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6" fillId="7" borderId="12" xfId="2" applyFont="1" applyFill="1" applyBorder="1" applyAlignment="1">
      <alignment horizontal="center" vertical="center" wrapText="1"/>
    </xf>
    <xf numFmtId="0" fontId="6" fillId="7" borderId="21" xfId="2" applyFont="1" applyFill="1" applyBorder="1" applyAlignment="1">
      <alignment horizontal="center" vertical="center" wrapText="1"/>
    </xf>
    <xf numFmtId="0" fontId="7" fillId="8" borderId="56" xfId="2" applyFont="1" applyFill="1" applyBorder="1" applyAlignment="1">
      <alignment horizontal="left" vertical="center" wrapText="1"/>
    </xf>
    <xf numFmtId="0" fontId="7" fillId="8" borderId="57" xfId="2" applyFont="1" applyFill="1" applyBorder="1" applyAlignment="1">
      <alignment horizontal="left" vertical="center" wrapText="1"/>
    </xf>
    <xf numFmtId="0" fontId="7" fillId="8" borderId="58" xfId="2" applyFont="1" applyFill="1" applyBorder="1" applyAlignment="1">
      <alignment horizontal="left" vertical="center" wrapText="1"/>
    </xf>
    <xf numFmtId="0" fontId="5" fillId="7" borderId="23" xfId="2" applyFont="1" applyFill="1" applyBorder="1" applyAlignment="1">
      <alignment horizontal="left" vertical="center" wrapText="1"/>
    </xf>
    <xf numFmtId="0" fontId="5" fillId="7" borderId="24" xfId="2" applyFont="1" applyFill="1" applyBorder="1" applyAlignment="1">
      <alignment horizontal="left" vertical="center" wrapText="1"/>
    </xf>
    <xf numFmtId="0" fontId="6" fillId="7" borderId="2" xfId="2" applyFont="1" applyFill="1" applyBorder="1" applyAlignment="1">
      <alignment horizontal="center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7" borderId="4" xfId="2" applyFont="1" applyFill="1" applyBorder="1" applyAlignment="1">
      <alignment horizontal="center" vertical="center"/>
    </xf>
    <xf numFmtId="0" fontId="6" fillId="7" borderId="13" xfId="2" applyFont="1" applyFill="1" applyBorder="1" applyAlignment="1">
      <alignment horizontal="center" vertical="center" wrapText="1"/>
    </xf>
    <xf numFmtId="0" fontId="6" fillId="7" borderId="11" xfId="2" applyFont="1" applyFill="1" applyBorder="1" applyAlignment="1">
      <alignment horizontal="center" vertical="center" wrapText="1"/>
    </xf>
    <xf numFmtId="0" fontId="6" fillId="7" borderId="20" xfId="2" applyFont="1" applyFill="1" applyBorder="1" applyAlignment="1">
      <alignment horizontal="center" vertical="center" wrapText="1"/>
    </xf>
    <xf numFmtId="0" fontId="6" fillId="7" borderId="32" xfId="2" applyFont="1" applyFill="1" applyBorder="1" applyAlignment="1">
      <alignment horizontal="center" vertical="center" wrapText="1"/>
    </xf>
    <xf numFmtId="0" fontId="6" fillId="7" borderId="4" xfId="2" applyFont="1" applyFill="1" applyBorder="1" applyAlignment="1">
      <alignment horizontal="center" vertical="center" wrapText="1"/>
    </xf>
    <xf numFmtId="0" fontId="7" fillId="8" borderId="18" xfId="2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5" fillId="7" borderId="8" xfId="2" applyFont="1" applyFill="1" applyBorder="1" applyAlignment="1">
      <alignment horizontal="left" vertical="center" wrapText="1"/>
    </xf>
    <xf numFmtId="0" fontId="5" fillId="7" borderId="9" xfId="2" applyFont="1" applyFill="1" applyBorder="1" applyAlignment="1">
      <alignment horizontal="left" vertical="center" wrapText="1"/>
    </xf>
    <xf numFmtId="0" fontId="5" fillId="7" borderId="10" xfId="2" applyFont="1" applyFill="1" applyBorder="1" applyAlignment="1">
      <alignment horizontal="left" vertical="center" wrapText="1"/>
    </xf>
    <xf numFmtId="0" fontId="6" fillId="7" borderId="14" xfId="2" applyFont="1" applyFill="1" applyBorder="1" applyAlignment="1">
      <alignment horizontal="center" vertical="center" wrapText="1"/>
    </xf>
    <xf numFmtId="0" fontId="6" fillId="14" borderId="12" xfId="2" applyFont="1" applyFill="1" applyBorder="1" applyAlignment="1">
      <alignment horizontal="center" vertical="center" wrapText="1"/>
    </xf>
    <xf numFmtId="0" fontId="6" fillId="14" borderId="14" xfId="2" applyFont="1" applyFill="1" applyBorder="1" applyAlignment="1">
      <alignment horizontal="center" vertical="center" wrapText="1"/>
    </xf>
    <xf numFmtId="0" fontId="6" fillId="7" borderId="19" xfId="2" applyFont="1" applyFill="1" applyBorder="1" applyAlignment="1">
      <alignment horizontal="center" vertical="center" wrapText="1"/>
    </xf>
    <xf numFmtId="0" fontId="6" fillId="7" borderId="33" xfId="2" applyFont="1" applyFill="1" applyBorder="1" applyAlignment="1">
      <alignment horizontal="center" vertical="center" wrapText="1"/>
    </xf>
    <xf numFmtId="0" fontId="6" fillId="7" borderId="3" xfId="2" applyFont="1" applyFill="1" applyBorder="1" applyAlignment="1">
      <alignment horizontal="center" vertical="center" wrapText="1"/>
    </xf>
    <xf numFmtId="0" fontId="5" fillId="7" borderId="8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0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7" borderId="25" xfId="1" applyFont="1" applyFill="1" applyBorder="1" applyAlignment="1">
      <alignment horizontal="center" vertical="center" wrapText="1"/>
    </xf>
    <xf numFmtId="0" fontId="5" fillId="7" borderId="26" xfId="1" applyFont="1" applyFill="1" applyBorder="1" applyAlignment="1">
      <alignment horizontal="center" vertical="center" wrapText="1"/>
    </xf>
    <xf numFmtId="0" fontId="5" fillId="7" borderId="27" xfId="1" applyFont="1" applyFill="1" applyBorder="1" applyAlignment="1">
      <alignment horizontal="center" vertical="center" wrapText="1"/>
    </xf>
    <xf numFmtId="0" fontId="5" fillId="7" borderId="23" xfId="1" applyFont="1" applyFill="1" applyBorder="1" applyAlignment="1">
      <alignment horizontal="center" vertical="center" wrapText="1"/>
    </xf>
    <xf numFmtId="0" fontId="5" fillId="7" borderId="24" xfId="1" applyFont="1" applyFill="1" applyBorder="1" applyAlignment="1">
      <alignment horizontal="center" vertical="center" wrapText="1"/>
    </xf>
    <xf numFmtId="0" fontId="5" fillId="7" borderId="22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</cellXfs>
  <cellStyles count="6">
    <cellStyle name="Comma" xfId="5" builtinId="3"/>
    <cellStyle name="Currency" xfId="3" builtinId="4"/>
    <cellStyle name="Normal" xfId="0" builtinId="0"/>
    <cellStyle name="Normal 2" xfId="4" xr:uid="{00000000-0005-0000-0000-000003000000}"/>
    <cellStyle name="Normal 2 3" xfId="2" xr:uid="{00000000-0005-0000-0000-000004000000}"/>
    <cellStyle name="Normal 3" xfId="1" xr:uid="{00000000-0005-0000-0000-000005000000}"/>
  </cellStyles>
  <dxfs count="0"/>
  <tableStyles count="0" defaultTableStyle="TableStyleMedium9"/>
  <colors>
    <mruColors>
      <color rgb="FFFF3300"/>
      <color rgb="FFFF3399"/>
      <color rgb="FF00CC00"/>
      <color rgb="FFFF0066"/>
      <color rgb="FFFF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66"/>
  </sheetPr>
  <dimension ref="A1:BX103"/>
  <sheetViews>
    <sheetView zoomScaleNormal="100" workbookViewId="0">
      <pane xSplit="9" ySplit="4" topLeftCell="J5" activePane="bottomRight" state="frozen"/>
      <selection pane="topRight" activeCell="K1" sqref="K1"/>
      <selection pane="bottomLeft" activeCell="A5" sqref="A5"/>
      <selection pane="bottomRight" activeCell="D89" sqref="D89:D93"/>
    </sheetView>
  </sheetViews>
  <sheetFormatPr defaultColWidth="11.42578125" defaultRowHeight="12.75" outlineLevelRow="1" x14ac:dyDescent="0.2"/>
  <cols>
    <col min="1" max="1" width="1.42578125" style="196" customWidth="1"/>
    <col min="2" max="2" width="5.28515625" style="197" bestFit="1" customWidth="1"/>
    <col min="3" max="3" width="85.7109375" style="198" customWidth="1"/>
    <col min="4" max="4" width="20.7109375" style="292" customWidth="1"/>
    <col min="5" max="9" width="4" style="256" customWidth="1"/>
    <col min="10" max="10" width="3.85546875" style="196" bestFit="1" customWidth="1"/>
    <col min="11" max="69" width="3.28515625" style="196" customWidth="1"/>
    <col min="70" max="261" width="11.42578125" style="196"/>
    <col min="262" max="262" width="1.42578125" style="196" customWidth="1"/>
    <col min="263" max="263" width="5.28515625" style="196" bestFit="1" customWidth="1"/>
    <col min="264" max="264" width="109.140625" style="196" bestFit="1" customWidth="1"/>
    <col min="265" max="265" width="20.7109375" style="196" customWidth="1"/>
    <col min="266" max="325" width="3.28515625" style="196" customWidth="1"/>
    <col min="326" max="517" width="11.42578125" style="196"/>
    <col min="518" max="518" width="1.42578125" style="196" customWidth="1"/>
    <col min="519" max="519" width="5.28515625" style="196" bestFit="1" customWidth="1"/>
    <col min="520" max="520" width="109.140625" style="196" bestFit="1" customWidth="1"/>
    <col min="521" max="521" width="20.7109375" style="196" customWidth="1"/>
    <col min="522" max="581" width="3.28515625" style="196" customWidth="1"/>
    <col min="582" max="773" width="11.42578125" style="196"/>
    <col min="774" max="774" width="1.42578125" style="196" customWidth="1"/>
    <col min="775" max="775" width="5.28515625" style="196" bestFit="1" customWidth="1"/>
    <col min="776" max="776" width="109.140625" style="196" bestFit="1" customWidth="1"/>
    <col min="777" max="777" width="20.7109375" style="196" customWidth="1"/>
    <col min="778" max="837" width="3.28515625" style="196" customWidth="1"/>
    <col min="838" max="1029" width="11.42578125" style="196"/>
    <col min="1030" max="1030" width="1.42578125" style="196" customWidth="1"/>
    <col min="1031" max="1031" width="5.28515625" style="196" bestFit="1" customWidth="1"/>
    <col min="1032" max="1032" width="109.140625" style="196" bestFit="1" customWidth="1"/>
    <col min="1033" max="1033" width="20.7109375" style="196" customWidth="1"/>
    <col min="1034" max="1093" width="3.28515625" style="196" customWidth="1"/>
    <col min="1094" max="1285" width="11.42578125" style="196"/>
    <col min="1286" max="1286" width="1.42578125" style="196" customWidth="1"/>
    <col min="1287" max="1287" width="5.28515625" style="196" bestFit="1" customWidth="1"/>
    <col min="1288" max="1288" width="109.140625" style="196" bestFit="1" customWidth="1"/>
    <col min="1289" max="1289" width="20.7109375" style="196" customWidth="1"/>
    <col min="1290" max="1349" width="3.28515625" style="196" customWidth="1"/>
    <col min="1350" max="1541" width="11.42578125" style="196"/>
    <col min="1542" max="1542" width="1.42578125" style="196" customWidth="1"/>
    <col min="1543" max="1543" width="5.28515625" style="196" bestFit="1" customWidth="1"/>
    <col min="1544" max="1544" width="109.140625" style="196" bestFit="1" customWidth="1"/>
    <col min="1545" max="1545" width="20.7109375" style="196" customWidth="1"/>
    <col min="1546" max="1605" width="3.28515625" style="196" customWidth="1"/>
    <col min="1606" max="1797" width="11.42578125" style="196"/>
    <col min="1798" max="1798" width="1.42578125" style="196" customWidth="1"/>
    <col min="1799" max="1799" width="5.28515625" style="196" bestFit="1" customWidth="1"/>
    <col min="1800" max="1800" width="109.140625" style="196" bestFit="1" customWidth="1"/>
    <col min="1801" max="1801" width="20.7109375" style="196" customWidth="1"/>
    <col min="1802" max="1861" width="3.28515625" style="196" customWidth="1"/>
    <col min="1862" max="2053" width="11.42578125" style="196"/>
    <col min="2054" max="2054" width="1.42578125" style="196" customWidth="1"/>
    <col min="2055" max="2055" width="5.28515625" style="196" bestFit="1" customWidth="1"/>
    <col min="2056" max="2056" width="109.140625" style="196" bestFit="1" customWidth="1"/>
    <col min="2057" max="2057" width="20.7109375" style="196" customWidth="1"/>
    <col min="2058" max="2117" width="3.28515625" style="196" customWidth="1"/>
    <col min="2118" max="2309" width="11.42578125" style="196"/>
    <col min="2310" max="2310" width="1.42578125" style="196" customWidth="1"/>
    <col min="2311" max="2311" width="5.28515625" style="196" bestFit="1" customWidth="1"/>
    <col min="2312" max="2312" width="109.140625" style="196" bestFit="1" customWidth="1"/>
    <col min="2313" max="2313" width="20.7109375" style="196" customWidth="1"/>
    <col min="2314" max="2373" width="3.28515625" style="196" customWidth="1"/>
    <col min="2374" max="2565" width="11.42578125" style="196"/>
    <col min="2566" max="2566" width="1.42578125" style="196" customWidth="1"/>
    <col min="2567" max="2567" width="5.28515625" style="196" bestFit="1" customWidth="1"/>
    <col min="2568" max="2568" width="109.140625" style="196" bestFit="1" customWidth="1"/>
    <col min="2569" max="2569" width="20.7109375" style="196" customWidth="1"/>
    <col min="2570" max="2629" width="3.28515625" style="196" customWidth="1"/>
    <col min="2630" max="2821" width="11.42578125" style="196"/>
    <col min="2822" max="2822" width="1.42578125" style="196" customWidth="1"/>
    <col min="2823" max="2823" width="5.28515625" style="196" bestFit="1" customWidth="1"/>
    <col min="2824" max="2824" width="109.140625" style="196" bestFit="1" customWidth="1"/>
    <col min="2825" max="2825" width="20.7109375" style="196" customWidth="1"/>
    <col min="2826" max="2885" width="3.28515625" style="196" customWidth="1"/>
    <col min="2886" max="3077" width="11.42578125" style="196"/>
    <col min="3078" max="3078" width="1.42578125" style="196" customWidth="1"/>
    <col min="3079" max="3079" width="5.28515625" style="196" bestFit="1" customWidth="1"/>
    <col min="3080" max="3080" width="109.140625" style="196" bestFit="1" customWidth="1"/>
    <col min="3081" max="3081" width="20.7109375" style="196" customWidth="1"/>
    <col min="3082" max="3141" width="3.28515625" style="196" customWidth="1"/>
    <col min="3142" max="3333" width="11.42578125" style="196"/>
    <col min="3334" max="3334" width="1.42578125" style="196" customWidth="1"/>
    <col min="3335" max="3335" width="5.28515625" style="196" bestFit="1" customWidth="1"/>
    <col min="3336" max="3336" width="109.140625" style="196" bestFit="1" customWidth="1"/>
    <col min="3337" max="3337" width="20.7109375" style="196" customWidth="1"/>
    <col min="3338" max="3397" width="3.28515625" style="196" customWidth="1"/>
    <col min="3398" max="3589" width="11.42578125" style="196"/>
    <col min="3590" max="3590" width="1.42578125" style="196" customWidth="1"/>
    <col min="3591" max="3591" width="5.28515625" style="196" bestFit="1" customWidth="1"/>
    <col min="3592" max="3592" width="109.140625" style="196" bestFit="1" customWidth="1"/>
    <col min="3593" max="3593" width="20.7109375" style="196" customWidth="1"/>
    <col min="3594" max="3653" width="3.28515625" style="196" customWidth="1"/>
    <col min="3654" max="3845" width="11.42578125" style="196"/>
    <col min="3846" max="3846" width="1.42578125" style="196" customWidth="1"/>
    <col min="3847" max="3847" width="5.28515625" style="196" bestFit="1" customWidth="1"/>
    <col min="3848" max="3848" width="109.140625" style="196" bestFit="1" customWidth="1"/>
    <col min="3849" max="3849" width="20.7109375" style="196" customWidth="1"/>
    <col min="3850" max="3909" width="3.28515625" style="196" customWidth="1"/>
    <col min="3910" max="4101" width="11.42578125" style="196"/>
    <col min="4102" max="4102" width="1.42578125" style="196" customWidth="1"/>
    <col min="4103" max="4103" width="5.28515625" style="196" bestFit="1" customWidth="1"/>
    <col min="4104" max="4104" width="109.140625" style="196" bestFit="1" customWidth="1"/>
    <col min="4105" max="4105" width="20.7109375" style="196" customWidth="1"/>
    <col min="4106" max="4165" width="3.28515625" style="196" customWidth="1"/>
    <col min="4166" max="4357" width="11.42578125" style="196"/>
    <col min="4358" max="4358" width="1.42578125" style="196" customWidth="1"/>
    <col min="4359" max="4359" width="5.28515625" style="196" bestFit="1" customWidth="1"/>
    <col min="4360" max="4360" width="109.140625" style="196" bestFit="1" customWidth="1"/>
    <col min="4361" max="4361" width="20.7109375" style="196" customWidth="1"/>
    <col min="4362" max="4421" width="3.28515625" style="196" customWidth="1"/>
    <col min="4422" max="4613" width="11.42578125" style="196"/>
    <col min="4614" max="4614" width="1.42578125" style="196" customWidth="1"/>
    <col min="4615" max="4615" width="5.28515625" style="196" bestFit="1" customWidth="1"/>
    <col min="4616" max="4616" width="109.140625" style="196" bestFit="1" customWidth="1"/>
    <col min="4617" max="4617" width="20.7109375" style="196" customWidth="1"/>
    <col min="4618" max="4677" width="3.28515625" style="196" customWidth="1"/>
    <col min="4678" max="4869" width="11.42578125" style="196"/>
    <col min="4870" max="4870" width="1.42578125" style="196" customWidth="1"/>
    <col min="4871" max="4871" width="5.28515625" style="196" bestFit="1" customWidth="1"/>
    <col min="4872" max="4872" width="109.140625" style="196" bestFit="1" customWidth="1"/>
    <col min="4873" max="4873" width="20.7109375" style="196" customWidth="1"/>
    <col min="4874" max="4933" width="3.28515625" style="196" customWidth="1"/>
    <col min="4934" max="5125" width="11.42578125" style="196"/>
    <col min="5126" max="5126" width="1.42578125" style="196" customWidth="1"/>
    <col min="5127" max="5127" width="5.28515625" style="196" bestFit="1" customWidth="1"/>
    <col min="5128" max="5128" width="109.140625" style="196" bestFit="1" customWidth="1"/>
    <col min="5129" max="5129" width="20.7109375" style="196" customWidth="1"/>
    <col min="5130" max="5189" width="3.28515625" style="196" customWidth="1"/>
    <col min="5190" max="5381" width="11.42578125" style="196"/>
    <col min="5382" max="5382" width="1.42578125" style="196" customWidth="1"/>
    <col min="5383" max="5383" width="5.28515625" style="196" bestFit="1" customWidth="1"/>
    <col min="5384" max="5384" width="109.140625" style="196" bestFit="1" customWidth="1"/>
    <col min="5385" max="5385" width="20.7109375" style="196" customWidth="1"/>
    <col min="5386" max="5445" width="3.28515625" style="196" customWidth="1"/>
    <col min="5446" max="5637" width="11.42578125" style="196"/>
    <col min="5638" max="5638" width="1.42578125" style="196" customWidth="1"/>
    <col min="5639" max="5639" width="5.28515625" style="196" bestFit="1" customWidth="1"/>
    <col min="5640" max="5640" width="109.140625" style="196" bestFit="1" customWidth="1"/>
    <col min="5641" max="5641" width="20.7109375" style="196" customWidth="1"/>
    <col min="5642" max="5701" width="3.28515625" style="196" customWidth="1"/>
    <col min="5702" max="5893" width="11.42578125" style="196"/>
    <col min="5894" max="5894" width="1.42578125" style="196" customWidth="1"/>
    <col min="5895" max="5895" width="5.28515625" style="196" bestFit="1" customWidth="1"/>
    <col min="5896" max="5896" width="109.140625" style="196" bestFit="1" customWidth="1"/>
    <col min="5897" max="5897" width="20.7109375" style="196" customWidth="1"/>
    <col min="5898" max="5957" width="3.28515625" style="196" customWidth="1"/>
    <col min="5958" max="6149" width="11.42578125" style="196"/>
    <col min="6150" max="6150" width="1.42578125" style="196" customWidth="1"/>
    <col min="6151" max="6151" width="5.28515625" style="196" bestFit="1" customWidth="1"/>
    <col min="6152" max="6152" width="109.140625" style="196" bestFit="1" customWidth="1"/>
    <col min="6153" max="6153" width="20.7109375" style="196" customWidth="1"/>
    <col min="6154" max="6213" width="3.28515625" style="196" customWidth="1"/>
    <col min="6214" max="6405" width="11.42578125" style="196"/>
    <col min="6406" max="6406" width="1.42578125" style="196" customWidth="1"/>
    <col min="6407" max="6407" width="5.28515625" style="196" bestFit="1" customWidth="1"/>
    <col min="6408" max="6408" width="109.140625" style="196" bestFit="1" customWidth="1"/>
    <col min="6409" max="6409" width="20.7109375" style="196" customWidth="1"/>
    <col min="6410" max="6469" width="3.28515625" style="196" customWidth="1"/>
    <col min="6470" max="6661" width="11.42578125" style="196"/>
    <col min="6662" max="6662" width="1.42578125" style="196" customWidth="1"/>
    <col min="6663" max="6663" width="5.28515625" style="196" bestFit="1" customWidth="1"/>
    <col min="6664" max="6664" width="109.140625" style="196" bestFit="1" customWidth="1"/>
    <col min="6665" max="6665" width="20.7109375" style="196" customWidth="1"/>
    <col min="6666" max="6725" width="3.28515625" style="196" customWidth="1"/>
    <col min="6726" max="6917" width="11.42578125" style="196"/>
    <col min="6918" max="6918" width="1.42578125" style="196" customWidth="1"/>
    <col min="6919" max="6919" width="5.28515625" style="196" bestFit="1" customWidth="1"/>
    <col min="6920" max="6920" width="109.140625" style="196" bestFit="1" customWidth="1"/>
    <col min="6921" max="6921" width="20.7109375" style="196" customWidth="1"/>
    <col min="6922" max="6981" width="3.28515625" style="196" customWidth="1"/>
    <col min="6982" max="7173" width="11.42578125" style="196"/>
    <col min="7174" max="7174" width="1.42578125" style="196" customWidth="1"/>
    <col min="7175" max="7175" width="5.28515625" style="196" bestFit="1" customWidth="1"/>
    <col min="7176" max="7176" width="109.140625" style="196" bestFit="1" customWidth="1"/>
    <col min="7177" max="7177" width="20.7109375" style="196" customWidth="1"/>
    <col min="7178" max="7237" width="3.28515625" style="196" customWidth="1"/>
    <col min="7238" max="7429" width="11.42578125" style="196"/>
    <col min="7430" max="7430" width="1.42578125" style="196" customWidth="1"/>
    <col min="7431" max="7431" width="5.28515625" style="196" bestFit="1" customWidth="1"/>
    <col min="7432" max="7432" width="109.140625" style="196" bestFit="1" customWidth="1"/>
    <col min="7433" max="7433" width="20.7109375" style="196" customWidth="1"/>
    <col min="7434" max="7493" width="3.28515625" style="196" customWidth="1"/>
    <col min="7494" max="7685" width="11.42578125" style="196"/>
    <col min="7686" max="7686" width="1.42578125" style="196" customWidth="1"/>
    <col min="7687" max="7687" width="5.28515625" style="196" bestFit="1" customWidth="1"/>
    <col min="7688" max="7688" width="109.140625" style="196" bestFit="1" customWidth="1"/>
    <col min="7689" max="7689" width="20.7109375" style="196" customWidth="1"/>
    <col min="7690" max="7749" width="3.28515625" style="196" customWidth="1"/>
    <col min="7750" max="7941" width="11.42578125" style="196"/>
    <col min="7942" max="7942" width="1.42578125" style="196" customWidth="1"/>
    <col min="7943" max="7943" width="5.28515625" style="196" bestFit="1" customWidth="1"/>
    <col min="7944" max="7944" width="109.140625" style="196" bestFit="1" customWidth="1"/>
    <col min="7945" max="7945" width="20.7109375" style="196" customWidth="1"/>
    <col min="7946" max="8005" width="3.28515625" style="196" customWidth="1"/>
    <col min="8006" max="8197" width="11.42578125" style="196"/>
    <col min="8198" max="8198" width="1.42578125" style="196" customWidth="1"/>
    <col min="8199" max="8199" width="5.28515625" style="196" bestFit="1" customWidth="1"/>
    <col min="8200" max="8200" width="109.140625" style="196" bestFit="1" customWidth="1"/>
    <col min="8201" max="8201" width="20.7109375" style="196" customWidth="1"/>
    <col min="8202" max="8261" width="3.28515625" style="196" customWidth="1"/>
    <col min="8262" max="8453" width="11.42578125" style="196"/>
    <col min="8454" max="8454" width="1.42578125" style="196" customWidth="1"/>
    <col min="8455" max="8455" width="5.28515625" style="196" bestFit="1" customWidth="1"/>
    <col min="8456" max="8456" width="109.140625" style="196" bestFit="1" customWidth="1"/>
    <col min="8457" max="8457" width="20.7109375" style="196" customWidth="1"/>
    <col min="8458" max="8517" width="3.28515625" style="196" customWidth="1"/>
    <col min="8518" max="8709" width="11.42578125" style="196"/>
    <col min="8710" max="8710" width="1.42578125" style="196" customWidth="1"/>
    <col min="8711" max="8711" width="5.28515625" style="196" bestFit="1" customWidth="1"/>
    <col min="8712" max="8712" width="109.140625" style="196" bestFit="1" customWidth="1"/>
    <col min="8713" max="8713" width="20.7109375" style="196" customWidth="1"/>
    <col min="8714" max="8773" width="3.28515625" style="196" customWidth="1"/>
    <col min="8774" max="8965" width="11.42578125" style="196"/>
    <col min="8966" max="8966" width="1.42578125" style="196" customWidth="1"/>
    <col min="8967" max="8967" width="5.28515625" style="196" bestFit="1" customWidth="1"/>
    <col min="8968" max="8968" width="109.140625" style="196" bestFit="1" customWidth="1"/>
    <col min="8969" max="8969" width="20.7109375" style="196" customWidth="1"/>
    <col min="8970" max="9029" width="3.28515625" style="196" customWidth="1"/>
    <col min="9030" max="9221" width="11.42578125" style="196"/>
    <col min="9222" max="9222" width="1.42578125" style="196" customWidth="1"/>
    <col min="9223" max="9223" width="5.28515625" style="196" bestFit="1" customWidth="1"/>
    <col min="9224" max="9224" width="109.140625" style="196" bestFit="1" customWidth="1"/>
    <col min="9225" max="9225" width="20.7109375" style="196" customWidth="1"/>
    <col min="9226" max="9285" width="3.28515625" style="196" customWidth="1"/>
    <col min="9286" max="9477" width="11.42578125" style="196"/>
    <col min="9478" max="9478" width="1.42578125" style="196" customWidth="1"/>
    <col min="9479" max="9479" width="5.28515625" style="196" bestFit="1" customWidth="1"/>
    <col min="9480" max="9480" width="109.140625" style="196" bestFit="1" customWidth="1"/>
    <col min="9481" max="9481" width="20.7109375" style="196" customWidth="1"/>
    <col min="9482" max="9541" width="3.28515625" style="196" customWidth="1"/>
    <col min="9542" max="9733" width="11.42578125" style="196"/>
    <col min="9734" max="9734" width="1.42578125" style="196" customWidth="1"/>
    <col min="9735" max="9735" width="5.28515625" style="196" bestFit="1" customWidth="1"/>
    <col min="9736" max="9736" width="109.140625" style="196" bestFit="1" customWidth="1"/>
    <col min="9737" max="9737" width="20.7109375" style="196" customWidth="1"/>
    <col min="9738" max="9797" width="3.28515625" style="196" customWidth="1"/>
    <col min="9798" max="9989" width="11.42578125" style="196"/>
    <col min="9990" max="9990" width="1.42578125" style="196" customWidth="1"/>
    <col min="9991" max="9991" width="5.28515625" style="196" bestFit="1" customWidth="1"/>
    <col min="9992" max="9992" width="109.140625" style="196" bestFit="1" customWidth="1"/>
    <col min="9993" max="9993" width="20.7109375" style="196" customWidth="1"/>
    <col min="9994" max="10053" width="3.28515625" style="196" customWidth="1"/>
    <col min="10054" max="10245" width="11.42578125" style="196"/>
    <col min="10246" max="10246" width="1.42578125" style="196" customWidth="1"/>
    <col min="10247" max="10247" width="5.28515625" style="196" bestFit="1" customWidth="1"/>
    <col min="10248" max="10248" width="109.140625" style="196" bestFit="1" customWidth="1"/>
    <col min="10249" max="10249" width="20.7109375" style="196" customWidth="1"/>
    <col min="10250" max="10309" width="3.28515625" style="196" customWidth="1"/>
    <col min="10310" max="10501" width="11.42578125" style="196"/>
    <col min="10502" max="10502" width="1.42578125" style="196" customWidth="1"/>
    <col min="10503" max="10503" width="5.28515625" style="196" bestFit="1" customWidth="1"/>
    <col min="10504" max="10504" width="109.140625" style="196" bestFit="1" customWidth="1"/>
    <col min="10505" max="10505" width="20.7109375" style="196" customWidth="1"/>
    <col min="10506" max="10565" width="3.28515625" style="196" customWidth="1"/>
    <col min="10566" max="10757" width="11.42578125" style="196"/>
    <col min="10758" max="10758" width="1.42578125" style="196" customWidth="1"/>
    <col min="10759" max="10759" width="5.28515625" style="196" bestFit="1" customWidth="1"/>
    <col min="10760" max="10760" width="109.140625" style="196" bestFit="1" customWidth="1"/>
    <col min="10761" max="10761" width="20.7109375" style="196" customWidth="1"/>
    <col min="10762" max="10821" width="3.28515625" style="196" customWidth="1"/>
    <col min="10822" max="11013" width="11.42578125" style="196"/>
    <col min="11014" max="11014" width="1.42578125" style="196" customWidth="1"/>
    <col min="11015" max="11015" width="5.28515625" style="196" bestFit="1" customWidth="1"/>
    <col min="11016" max="11016" width="109.140625" style="196" bestFit="1" customWidth="1"/>
    <col min="11017" max="11017" width="20.7109375" style="196" customWidth="1"/>
    <col min="11018" max="11077" width="3.28515625" style="196" customWidth="1"/>
    <col min="11078" max="11269" width="11.42578125" style="196"/>
    <col min="11270" max="11270" width="1.42578125" style="196" customWidth="1"/>
    <col min="11271" max="11271" width="5.28515625" style="196" bestFit="1" customWidth="1"/>
    <col min="11272" max="11272" width="109.140625" style="196" bestFit="1" customWidth="1"/>
    <col min="11273" max="11273" width="20.7109375" style="196" customWidth="1"/>
    <col min="11274" max="11333" width="3.28515625" style="196" customWidth="1"/>
    <col min="11334" max="11525" width="11.42578125" style="196"/>
    <col min="11526" max="11526" width="1.42578125" style="196" customWidth="1"/>
    <col min="11527" max="11527" width="5.28515625" style="196" bestFit="1" customWidth="1"/>
    <col min="11528" max="11528" width="109.140625" style="196" bestFit="1" customWidth="1"/>
    <col min="11529" max="11529" width="20.7109375" style="196" customWidth="1"/>
    <col min="11530" max="11589" width="3.28515625" style="196" customWidth="1"/>
    <col min="11590" max="11781" width="11.42578125" style="196"/>
    <col min="11782" max="11782" width="1.42578125" style="196" customWidth="1"/>
    <col min="11783" max="11783" width="5.28515625" style="196" bestFit="1" customWidth="1"/>
    <col min="11784" max="11784" width="109.140625" style="196" bestFit="1" customWidth="1"/>
    <col min="11785" max="11785" width="20.7109375" style="196" customWidth="1"/>
    <col min="11786" max="11845" width="3.28515625" style="196" customWidth="1"/>
    <col min="11846" max="12037" width="11.42578125" style="196"/>
    <col min="12038" max="12038" width="1.42578125" style="196" customWidth="1"/>
    <col min="12039" max="12039" width="5.28515625" style="196" bestFit="1" customWidth="1"/>
    <col min="12040" max="12040" width="109.140625" style="196" bestFit="1" customWidth="1"/>
    <col min="12041" max="12041" width="20.7109375" style="196" customWidth="1"/>
    <col min="12042" max="12101" width="3.28515625" style="196" customWidth="1"/>
    <col min="12102" max="12293" width="11.42578125" style="196"/>
    <col min="12294" max="12294" width="1.42578125" style="196" customWidth="1"/>
    <col min="12295" max="12295" width="5.28515625" style="196" bestFit="1" customWidth="1"/>
    <col min="12296" max="12296" width="109.140625" style="196" bestFit="1" customWidth="1"/>
    <col min="12297" max="12297" width="20.7109375" style="196" customWidth="1"/>
    <col min="12298" max="12357" width="3.28515625" style="196" customWidth="1"/>
    <col min="12358" max="12549" width="11.42578125" style="196"/>
    <col min="12550" max="12550" width="1.42578125" style="196" customWidth="1"/>
    <col min="12551" max="12551" width="5.28515625" style="196" bestFit="1" customWidth="1"/>
    <col min="12552" max="12552" width="109.140625" style="196" bestFit="1" customWidth="1"/>
    <col min="12553" max="12553" width="20.7109375" style="196" customWidth="1"/>
    <col min="12554" max="12613" width="3.28515625" style="196" customWidth="1"/>
    <col min="12614" max="12805" width="11.42578125" style="196"/>
    <col min="12806" max="12806" width="1.42578125" style="196" customWidth="1"/>
    <col min="12807" max="12807" width="5.28515625" style="196" bestFit="1" customWidth="1"/>
    <col min="12808" max="12808" width="109.140625" style="196" bestFit="1" customWidth="1"/>
    <col min="12809" max="12809" width="20.7109375" style="196" customWidth="1"/>
    <col min="12810" max="12869" width="3.28515625" style="196" customWidth="1"/>
    <col min="12870" max="13061" width="11.42578125" style="196"/>
    <col min="13062" max="13062" width="1.42578125" style="196" customWidth="1"/>
    <col min="13063" max="13063" width="5.28515625" style="196" bestFit="1" customWidth="1"/>
    <col min="13064" max="13064" width="109.140625" style="196" bestFit="1" customWidth="1"/>
    <col min="13065" max="13065" width="20.7109375" style="196" customWidth="1"/>
    <col min="13066" max="13125" width="3.28515625" style="196" customWidth="1"/>
    <col min="13126" max="13317" width="11.42578125" style="196"/>
    <col min="13318" max="13318" width="1.42578125" style="196" customWidth="1"/>
    <col min="13319" max="13319" width="5.28515625" style="196" bestFit="1" customWidth="1"/>
    <col min="13320" max="13320" width="109.140625" style="196" bestFit="1" customWidth="1"/>
    <col min="13321" max="13321" width="20.7109375" style="196" customWidth="1"/>
    <col min="13322" max="13381" width="3.28515625" style="196" customWidth="1"/>
    <col min="13382" max="13573" width="11.42578125" style="196"/>
    <col min="13574" max="13574" width="1.42578125" style="196" customWidth="1"/>
    <col min="13575" max="13575" width="5.28515625" style="196" bestFit="1" customWidth="1"/>
    <col min="13576" max="13576" width="109.140625" style="196" bestFit="1" customWidth="1"/>
    <col min="13577" max="13577" width="20.7109375" style="196" customWidth="1"/>
    <col min="13578" max="13637" width="3.28515625" style="196" customWidth="1"/>
    <col min="13638" max="13829" width="11.42578125" style="196"/>
    <col min="13830" max="13830" width="1.42578125" style="196" customWidth="1"/>
    <col min="13831" max="13831" width="5.28515625" style="196" bestFit="1" customWidth="1"/>
    <col min="13832" max="13832" width="109.140625" style="196" bestFit="1" customWidth="1"/>
    <col min="13833" max="13833" width="20.7109375" style="196" customWidth="1"/>
    <col min="13834" max="13893" width="3.28515625" style="196" customWidth="1"/>
    <col min="13894" max="14085" width="11.42578125" style="196"/>
    <col min="14086" max="14086" width="1.42578125" style="196" customWidth="1"/>
    <col min="14087" max="14087" width="5.28515625" style="196" bestFit="1" customWidth="1"/>
    <col min="14088" max="14088" width="109.140625" style="196" bestFit="1" customWidth="1"/>
    <col min="14089" max="14089" width="20.7109375" style="196" customWidth="1"/>
    <col min="14090" max="14149" width="3.28515625" style="196" customWidth="1"/>
    <col min="14150" max="14341" width="11.42578125" style="196"/>
    <col min="14342" max="14342" width="1.42578125" style="196" customWidth="1"/>
    <col min="14343" max="14343" width="5.28515625" style="196" bestFit="1" customWidth="1"/>
    <col min="14344" max="14344" width="109.140625" style="196" bestFit="1" customWidth="1"/>
    <col min="14345" max="14345" width="20.7109375" style="196" customWidth="1"/>
    <col min="14346" max="14405" width="3.28515625" style="196" customWidth="1"/>
    <col min="14406" max="14597" width="11.42578125" style="196"/>
    <col min="14598" max="14598" width="1.42578125" style="196" customWidth="1"/>
    <col min="14599" max="14599" width="5.28515625" style="196" bestFit="1" customWidth="1"/>
    <col min="14600" max="14600" width="109.140625" style="196" bestFit="1" customWidth="1"/>
    <col min="14601" max="14601" width="20.7109375" style="196" customWidth="1"/>
    <col min="14602" max="14661" width="3.28515625" style="196" customWidth="1"/>
    <col min="14662" max="14853" width="11.42578125" style="196"/>
    <col min="14854" max="14854" width="1.42578125" style="196" customWidth="1"/>
    <col min="14855" max="14855" width="5.28515625" style="196" bestFit="1" customWidth="1"/>
    <col min="14856" max="14856" width="109.140625" style="196" bestFit="1" customWidth="1"/>
    <col min="14857" max="14857" width="20.7109375" style="196" customWidth="1"/>
    <col min="14858" max="14917" width="3.28515625" style="196" customWidth="1"/>
    <col min="14918" max="15109" width="11.42578125" style="196"/>
    <col min="15110" max="15110" width="1.42578125" style="196" customWidth="1"/>
    <col min="15111" max="15111" width="5.28515625" style="196" bestFit="1" customWidth="1"/>
    <col min="15112" max="15112" width="109.140625" style="196" bestFit="1" customWidth="1"/>
    <col min="15113" max="15113" width="20.7109375" style="196" customWidth="1"/>
    <col min="15114" max="15173" width="3.28515625" style="196" customWidth="1"/>
    <col min="15174" max="15365" width="11.42578125" style="196"/>
    <col min="15366" max="15366" width="1.42578125" style="196" customWidth="1"/>
    <col min="15367" max="15367" width="5.28515625" style="196" bestFit="1" customWidth="1"/>
    <col min="15368" max="15368" width="109.140625" style="196" bestFit="1" customWidth="1"/>
    <col min="15369" max="15369" width="20.7109375" style="196" customWidth="1"/>
    <col min="15370" max="15429" width="3.28515625" style="196" customWidth="1"/>
    <col min="15430" max="15621" width="11.42578125" style="196"/>
    <col min="15622" max="15622" width="1.42578125" style="196" customWidth="1"/>
    <col min="15623" max="15623" width="5.28515625" style="196" bestFit="1" customWidth="1"/>
    <col min="15624" max="15624" width="109.140625" style="196" bestFit="1" customWidth="1"/>
    <col min="15625" max="15625" width="20.7109375" style="196" customWidth="1"/>
    <col min="15626" max="15685" width="3.28515625" style="196" customWidth="1"/>
    <col min="15686" max="15877" width="11.42578125" style="196"/>
    <col min="15878" max="15878" width="1.42578125" style="196" customWidth="1"/>
    <col min="15879" max="15879" width="5.28515625" style="196" bestFit="1" customWidth="1"/>
    <col min="15880" max="15880" width="109.140625" style="196" bestFit="1" customWidth="1"/>
    <col min="15881" max="15881" width="20.7109375" style="196" customWidth="1"/>
    <col min="15882" max="15941" width="3.28515625" style="196" customWidth="1"/>
    <col min="15942" max="16133" width="11.42578125" style="196"/>
    <col min="16134" max="16134" width="1.42578125" style="196" customWidth="1"/>
    <col min="16135" max="16135" width="5.28515625" style="196" bestFit="1" customWidth="1"/>
    <col min="16136" max="16136" width="109.140625" style="196" bestFit="1" customWidth="1"/>
    <col min="16137" max="16137" width="20.7109375" style="196" customWidth="1"/>
    <col min="16138" max="16197" width="3.28515625" style="196" customWidth="1"/>
    <col min="16198" max="16384" width="11.42578125" style="196"/>
  </cols>
  <sheetData>
    <row r="1" spans="1:71" ht="15.75" customHeight="1" x14ac:dyDescent="0.2">
      <c r="D1" s="199"/>
      <c r="E1" s="296">
        <v>2017</v>
      </c>
      <c r="F1" s="297"/>
      <c r="G1" s="297"/>
      <c r="H1" s="297"/>
      <c r="I1" s="298"/>
      <c r="J1" s="296">
        <v>2018</v>
      </c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8"/>
      <c r="V1" s="299">
        <v>2019</v>
      </c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8"/>
      <c r="AH1" s="299">
        <v>2020</v>
      </c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8"/>
      <c r="AT1" s="299">
        <v>2021</v>
      </c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8"/>
      <c r="BF1" s="294">
        <v>2022</v>
      </c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</row>
    <row r="2" spans="1:71" x14ac:dyDescent="0.2">
      <c r="C2" s="200"/>
      <c r="D2" s="201"/>
      <c r="E2" s="202" t="s">
        <v>79</v>
      </c>
      <c r="F2" s="203" t="s">
        <v>106</v>
      </c>
      <c r="G2" s="203" t="s">
        <v>81</v>
      </c>
      <c r="H2" s="203" t="s">
        <v>82</v>
      </c>
      <c r="I2" s="204" t="s">
        <v>83</v>
      </c>
      <c r="J2" s="205" t="s">
        <v>72</v>
      </c>
      <c r="K2" s="206" t="s">
        <v>73</v>
      </c>
      <c r="L2" s="206" t="s">
        <v>74</v>
      </c>
      <c r="M2" s="206" t="s">
        <v>75</v>
      </c>
      <c r="N2" s="206" t="s">
        <v>76</v>
      </c>
      <c r="O2" s="206" t="s">
        <v>77</v>
      </c>
      <c r="P2" s="206" t="s">
        <v>78</v>
      </c>
      <c r="Q2" s="206" t="s">
        <v>79</v>
      </c>
      <c r="R2" s="206" t="s">
        <v>80</v>
      </c>
      <c r="S2" s="206" t="s">
        <v>81</v>
      </c>
      <c r="T2" s="206" t="s">
        <v>82</v>
      </c>
      <c r="U2" s="206" t="s">
        <v>83</v>
      </c>
      <c r="V2" s="206" t="s">
        <v>72</v>
      </c>
      <c r="W2" s="206" t="s">
        <v>73</v>
      </c>
      <c r="X2" s="206" t="s">
        <v>74</v>
      </c>
      <c r="Y2" s="206" t="s">
        <v>75</v>
      </c>
      <c r="Z2" s="206" t="s">
        <v>76</v>
      </c>
      <c r="AA2" s="206" t="s">
        <v>77</v>
      </c>
      <c r="AB2" s="206" t="s">
        <v>78</v>
      </c>
      <c r="AC2" s="206" t="s">
        <v>79</v>
      </c>
      <c r="AD2" s="206" t="s">
        <v>80</v>
      </c>
      <c r="AE2" s="206" t="s">
        <v>81</v>
      </c>
      <c r="AF2" s="206" t="s">
        <v>82</v>
      </c>
      <c r="AG2" s="206" t="s">
        <v>83</v>
      </c>
      <c r="AH2" s="206" t="s">
        <v>72</v>
      </c>
      <c r="AI2" s="206" t="s">
        <v>73</v>
      </c>
      <c r="AJ2" s="206" t="s">
        <v>74</v>
      </c>
      <c r="AK2" s="206" t="s">
        <v>75</v>
      </c>
      <c r="AL2" s="206" t="s">
        <v>76</v>
      </c>
      <c r="AM2" s="206" t="s">
        <v>77</v>
      </c>
      <c r="AN2" s="206" t="s">
        <v>78</v>
      </c>
      <c r="AO2" s="206" t="s">
        <v>79</v>
      </c>
      <c r="AP2" s="206" t="s">
        <v>80</v>
      </c>
      <c r="AQ2" s="206" t="s">
        <v>81</v>
      </c>
      <c r="AR2" s="206" t="s">
        <v>82</v>
      </c>
      <c r="AS2" s="206" t="s">
        <v>83</v>
      </c>
      <c r="AT2" s="206" t="s">
        <v>72</v>
      </c>
      <c r="AU2" s="206" t="s">
        <v>73</v>
      </c>
      <c r="AV2" s="206" t="s">
        <v>74</v>
      </c>
      <c r="AW2" s="206" t="s">
        <v>75</v>
      </c>
      <c r="AX2" s="206" t="s">
        <v>76</v>
      </c>
      <c r="AY2" s="206" t="s">
        <v>77</v>
      </c>
      <c r="AZ2" s="206" t="s">
        <v>78</v>
      </c>
      <c r="BA2" s="206" t="s">
        <v>79</v>
      </c>
      <c r="BB2" s="206" t="s">
        <v>80</v>
      </c>
      <c r="BC2" s="206" t="s">
        <v>81</v>
      </c>
      <c r="BD2" s="206" t="s">
        <v>82</v>
      </c>
      <c r="BE2" s="206" t="s">
        <v>83</v>
      </c>
      <c r="BF2" s="206" t="s">
        <v>72</v>
      </c>
      <c r="BG2" s="206" t="s">
        <v>73</v>
      </c>
      <c r="BH2" s="206" t="s">
        <v>74</v>
      </c>
      <c r="BI2" s="206" t="s">
        <v>75</v>
      </c>
      <c r="BJ2" s="206" t="s">
        <v>76</v>
      </c>
      <c r="BK2" s="206" t="s">
        <v>77</v>
      </c>
      <c r="BL2" s="206" t="s">
        <v>78</v>
      </c>
      <c r="BM2" s="206" t="s">
        <v>79</v>
      </c>
      <c r="BN2" s="206" t="s">
        <v>80</v>
      </c>
      <c r="BO2" s="206" t="s">
        <v>81</v>
      </c>
      <c r="BP2" s="206" t="s">
        <v>82</v>
      </c>
      <c r="BQ2" s="206" t="s">
        <v>83</v>
      </c>
    </row>
    <row r="3" spans="1:71" x14ac:dyDescent="0.2">
      <c r="A3" s="207" t="s">
        <v>107</v>
      </c>
      <c r="B3" s="208"/>
      <c r="C3" s="209"/>
      <c r="D3" s="210"/>
      <c r="E3" s="211"/>
      <c r="F3" s="212"/>
      <c r="G3" s="212"/>
      <c r="H3" s="212"/>
      <c r="I3" s="213"/>
      <c r="J3" s="211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</row>
    <row r="4" spans="1:71" ht="15" customHeight="1" x14ac:dyDescent="0.25">
      <c r="A4" s="214" t="s">
        <v>331</v>
      </c>
      <c r="B4" s="215"/>
      <c r="C4" s="216"/>
      <c r="D4" s="217" t="s">
        <v>84</v>
      </c>
      <c r="E4" s="218"/>
      <c r="F4" s="219"/>
      <c r="G4" s="219"/>
      <c r="H4" s="219"/>
      <c r="I4" s="220"/>
      <c r="J4" s="221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3"/>
      <c r="BS4" s="223"/>
    </row>
    <row r="5" spans="1:71" ht="12.75" customHeight="1" x14ac:dyDescent="0.2">
      <c r="A5" s="224" t="s">
        <v>316</v>
      </c>
      <c r="B5" s="225"/>
      <c r="C5" s="226"/>
      <c r="D5" s="227">
        <f>D6+D7+D8+D9+D10+D11+D12+D13+D14+D15+D16</f>
        <v>7486062</v>
      </c>
      <c r="E5" s="218"/>
      <c r="F5" s="219"/>
      <c r="G5" s="219"/>
      <c r="H5" s="219"/>
      <c r="I5" s="220"/>
      <c r="J5" s="228"/>
      <c r="K5" s="212"/>
      <c r="L5" s="21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</row>
    <row r="6" spans="1:71" outlineLevel="1" x14ac:dyDescent="0.2">
      <c r="A6" s="230"/>
      <c r="B6" s="231"/>
      <c r="C6" s="232" t="s">
        <v>108</v>
      </c>
      <c r="D6" s="233">
        <f>(400*1800)*1.5</f>
        <v>1080000</v>
      </c>
      <c r="E6" s="218"/>
      <c r="F6" s="219"/>
      <c r="G6" s="219"/>
      <c r="H6" s="219"/>
      <c r="I6" s="220"/>
      <c r="J6" s="221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1"/>
      <c r="BS6" s="222"/>
    </row>
    <row r="7" spans="1:71" outlineLevel="1" x14ac:dyDescent="0.2">
      <c r="A7" s="230"/>
      <c r="B7" s="231"/>
      <c r="C7" s="232" t="s">
        <v>109</v>
      </c>
      <c r="D7" s="233">
        <f>1507*20</f>
        <v>30140</v>
      </c>
      <c r="E7" s="218"/>
      <c r="F7" s="219"/>
      <c r="G7" s="219"/>
      <c r="H7" s="219"/>
      <c r="I7" s="220"/>
      <c r="J7" s="221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1"/>
      <c r="BS7" s="222"/>
    </row>
    <row r="8" spans="1:71" outlineLevel="1" x14ac:dyDescent="0.2">
      <c r="A8" s="230"/>
      <c r="B8" s="231">
        <v>1</v>
      </c>
      <c r="C8" s="232" t="s">
        <v>289</v>
      </c>
      <c r="D8" s="233">
        <v>120000</v>
      </c>
      <c r="E8" s="218"/>
      <c r="F8" s="219"/>
      <c r="G8" s="219"/>
      <c r="H8" s="219"/>
      <c r="I8" s="220"/>
      <c r="J8" s="221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1"/>
      <c r="BS8" s="222"/>
    </row>
    <row r="9" spans="1:71" outlineLevel="1" x14ac:dyDescent="0.2">
      <c r="A9" s="230"/>
      <c r="B9" s="231"/>
      <c r="C9" s="232" t="s">
        <v>113</v>
      </c>
      <c r="D9" s="233">
        <v>3000000</v>
      </c>
      <c r="E9" s="218"/>
      <c r="F9" s="219"/>
      <c r="G9" s="219"/>
      <c r="H9" s="219"/>
      <c r="I9" s="220"/>
      <c r="J9" s="221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1"/>
      <c r="BS9" s="222"/>
    </row>
    <row r="10" spans="1:71" outlineLevel="1" x14ac:dyDescent="0.2">
      <c r="A10" s="230"/>
      <c r="B10" s="231">
        <v>2</v>
      </c>
      <c r="C10" s="232" t="s">
        <v>290</v>
      </c>
      <c r="D10" s="233">
        <v>170000</v>
      </c>
      <c r="E10" s="218"/>
      <c r="F10" s="219"/>
      <c r="G10" s="219"/>
      <c r="H10" s="219"/>
      <c r="I10" s="220"/>
      <c r="J10" s="221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1"/>
      <c r="BS10" s="222"/>
    </row>
    <row r="11" spans="1:71" outlineLevel="1" x14ac:dyDescent="0.2">
      <c r="A11" s="230"/>
      <c r="B11" s="231"/>
      <c r="C11" s="232" t="s">
        <v>70</v>
      </c>
      <c r="D11" s="233">
        <v>1372922</v>
      </c>
      <c r="E11" s="218"/>
      <c r="F11" s="219"/>
      <c r="G11" s="219"/>
      <c r="H11" s="219"/>
      <c r="I11" s="220"/>
      <c r="J11" s="221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1"/>
      <c r="BS11" s="222"/>
    </row>
    <row r="12" spans="1:71" outlineLevel="1" x14ac:dyDescent="0.2">
      <c r="A12" s="230"/>
      <c r="B12" s="231"/>
      <c r="C12" s="232" t="s">
        <v>288</v>
      </c>
      <c r="D12" s="233">
        <v>407000</v>
      </c>
      <c r="E12" s="218"/>
      <c r="F12" s="219"/>
      <c r="G12" s="219"/>
      <c r="H12" s="219"/>
      <c r="I12" s="220"/>
      <c r="J12" s="221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1"/>
      <c r="BS12" s="222"/>
    </row>
    <row r="13" spans="1:71" outlineLevel="1" x14ac:dyDescent="0.2">
      <c r="A13" s="230"/>
      <c r="B13" s="231"/>
      <c r="C13" s="232" t="s">
        <v>110</v>
      </c>
      <c r="D13" s="233">
        <v>500000</v>
      </c>
      <c r="E13" s="218"/>
      <c r="F13" s="219"/>
      <c r="G13" s="219"/>
      <c r="H13" s="219"/>
      <c r="I13" s="220"/>
      <c r="J13" s="221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1"/>
      <c r="BS13" s="222"/>
    </row>
    <row r="14" spans="1:71" outlineLevel="1" x14ac:dyDescent="0.2">
      <c r="A14" s="230"/>
      <c r="B14" s="231"/>
      <c r="C14" s="232" t="s">
        <v>134</v>
      </c>
      <c r="D14" s="233">
        <v>590600</v>
      </c>
      <c r="E14" s="218"/>
      <c r="F14" s="219"/>
      <c r="G14" s="219"/>
      <c r="H14" s="219"/>
      <c r="I14" s="220"/>
      <c r="J14" s="221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1"/>
      <c r="BS14" s="222"/>
    </row>
    <row r="15" spans="1:71" outlineLevel="1" x14ac:dyDescent="0.2">
      <c r="A15" s="230"/>
      <c r="B15" s="231"/>
      <c r="C15" s="232" t="s">
        <v>68</v>
      </c>
      <c r="D15" s="233">
        <v>45400</v>
      </c>
      <c r="E15" s="218"/>
      <c r="F15" s="219"/>
      <c r="G15" s="219"/>
      <c r="H15" s="219"/>
      <c r="I15" s="220"/>
      <c r="J15" s="221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1"/>
      <c r="BS15" s="222"/>
    </row>
    <row r="16" spans="1:71" outlineLevel="1" x14ac:dyDescent="0.2">
      <c r="A16" s="230"/>
      <c r="B16" s="231">
        <v>3</v>
      </c>
      <c r="C16" s="232" t="s">
        <v>291</v>
      </c>
      <c r="D16" s="233">
        <v>170000</v>
      </c>
      <c r="E16" s="218"/>
      <c r="F16" s="219"/>
      <c r="G16" s="219"/>
      <c r="H16" s="219"/>
      <c r="I16" s="220"/>
      <c r="J16" s="221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1"/>
      <c r="BS16" s="222"/>
    </row>
    <row r="17" spans="1:71" x14ac:dyDescent="0.2">
      <c r="A17" s="224" t="s">
        <v>282</v>
      </c>
      <c r="B17" s="234"/>
      <c r="C17" s="235"/>
      <c r="D17" s="227">
        <f>SUM(D18:D23)</f>
        <v>4300000</v>
      </c>
      <c r="E17" s="236"/>
      <c r="F17" s="237"/>
      <c r="G17" s="237"/>
      <c r="H17" s="237"/>
      <c r="I17" s="238"/>
      <c r="J17" s="23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1"/>
      <c r="BS17" s="222"/>
    </row>
    <row r="18" spans="1:71" outlineLevel="1" x14ac:dyDescent="0.2">
      <c r="A18" s="240"/>
      <c r="B18" s="231"/>
      <c r="C18" s="232" t="s">
        <v>268</v>
      </c>
      <c r="D18" s="233">
        <v>2000000</v>
      </c>
      <c r="E18" s="236"/>
      <c r="F18" s="237"/>
      <c r="G18" s="237"/>
      <c r="H18" s="237"/>
      <c r="I18" s="238"/>
      <c r="J18" s="221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1"/>
      <c r="BS18" s="222"/>
    </row>
    <row r="19" spans="1:71" outlineLevel="1" x14ac:dyDescent="0.2">
      <c r="A19" s="240"/>
      <c r="B19" s="231"/>
      <c r="C19" s="232" t="s">
        <v>111</v>
      </c>
      <c r="D19" s="233">
        <v>600000</v>
      </c>
      <c r="E19" s="236"/>
      <c r="F19" s="237"/>
      <c r="G19" s="237"/>
      <c r="H19" s="237"/>
      <c r="I19" s="238"/>
      <c r="J19" s="221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1"/>
      <c r="BS19" s="222"/>
    </row>
    <row r="20" spans="1:71" outlineLevel="1" x14ac:dyDescent="0.2">
      <c r="A20" s="240"/>
      <c r="B20" s="231"/>
      <c r="C20" s="232" t="s">
        <v>112</v>
      </c>
      <c r="D20" s="233">
        <v>250000</v>
      </c>
      <c r="E20" s="236"/>
      <c r="F20" s="237"/>
      <c r="G20" s="237"/>
      <c r="H20" s="237"/>
      <c r="I20" s="238"/>
      <c r="J20" s="221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1"/>
      <c r="BS20" s="222"/>
    </row>
    <row r="21" spans="1:71" outlineLevel="1" x14ac:dyDescent="0.2">
      <c r="A21" s="240"/>
      <c r="B21" s="231"/>
      <c r="C21" s="232" t="s">
        <v>135</v>
      </c>
      <c r="D21" s="233">
        <v>60000</v>
      </c>
      <c r="E21" s="236"/>
      <c r="F21" s="237"/>
      <c r="G21" s="237"/>
      <c r="H21" s="237"/>
      <c r="I21" s="238"/>
      <c r="J21" s="221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1"/>
      <c r="BS21" s="222"/>
    </row>
    <row r="22" spans="1:71" ht="25.5" outlineLevel="1" x14ac:dyDescent="0.2">
      <c r="A22" s="240"/>
      <c r="B22" s="231"/>
      <c r="C22" s="232" t="s">
        <v>136</v>
      </c>
      <c r="D22" s="233">
        <v>1200000</v>
      </c>
      <c r="E22" s="236"/>
      <c r="F22" s="237"/>
      <c r="G22" s="237"/>
      <c r="H22" s="237"/>
      <c r="I22" s="238"/>
      <c r="J22" s="221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1"/>
      <c r="BS22" s="222"/>
    </row>
    <row r="23" spans="1:71" outlineLevel="1" x14ac:dyDescent="0.2">
      <c r="A23" s="240"/>
      <c r="B23" s="231">
        <v>4</v>
      </c>
      <c r="C23" s="232" t="s">
        <v>292</v>
      </c>
      <c r="D23" s="233">
        <v>190000</v>
      </c>
      <c r="E23" s="236"/>
      <c r="F23" s="237"/>
      <c r="G23" s="237"/>
      <c r="H23" s="237"/>
      <c r="I23" s="238"/>
      <c r="J23" s="221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1"/>
      <c r="BS23" s="222"/>
    </row>
    <row r="24" spans="1:71" x14ac:dyDescent="0.2">
      <c r="A24" s="224" t="s">
        <v>283</v>
      </c>
      <c r="B24" s="225"/>
      <c r="C24" s="241"/>
      <c r="D24" s="227">
        <f>D25+D26</f>
        <v>390614</v>
      </c>
      <c r="E24" s="236"/>
      <c r="F24" s="237"/>
      <c r="G24" s="237"/>
      <c r="H24" s="237"/>
      <c r="I24" s="238"/>
      <c r="J24" s="222"/>
      <c r="K24" s="222"/>
      <c r="L24" s="222"/>
      <c r="M24" s="222"/>
      <c r="N24" s="222"/>
      <c r="O24" s="222"/>
      <c r="P24" s="222"/>
      <c r="Q24" s="222"/>
      <c r="R24" s="242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1"/>
      <c r="BS24" s="222"/>
    </row>
    <row r="25" spans="1:71" outlineLevel="1" x14ac:dyDescent="0.2">
      <c r="A25" s="240"/>
      <c r="B25" s="243"/>
      <c r="C25" s="232" t="s">
        <v>91</v>
      </c>
      <c r="D25" s="244">
        <v>336296</v>
      </c>
      <c r="E25" s="236"/>
      <c r="F25" s="237"/>
      <c r="G25" s="237"/>
      <c r="H25" s="237"/>
      <c r="I25" s="238"/>
      <c r="J25" s="221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1"/>
      <c r="BS25" s="222"/>
    </row>
    <row r="26" spans="1:71" outlineLevel="1" x14ac:dyDescent="0.2">
      <c r="A26" s="240"/>
      <c r="B26" s="231">
        <v>5</v>
      </c>
      <c r="C26" s="232" t="s">
        <v>293</v>
      </c>
      <c r="D26" s="244">
        <v>54318</v>
      </c>
      <c r="E26" s="236"/>
      <c r="F26" s="237"/>
      <c r="G26" s="237"/>
      <c r="H26" s="237"/>
      <c r="I26" s="238"/>
      <c r="J26" s="221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1"/>
      <c r="BS26" s="222"/>
    </row>
    <row r="27" spans="1:71" x14ac:dyDescent="0.2">
      <c r="A27" s="224"/>
      <c r="B27" s="225"/>
      <c r="C27" s="241"/>
      <c r="D27" s="245"/>
      <c r="E27" s="236"/>
      <c r="F27" s="237"/>
      <c r="G27" s="237"/>
      <c r="H27" s="237"/>
      <c r="I27" s="238"/>
      <c r="J27" s="221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1"/>
      <c r="BS27" s="222"/>
    </row>
    <row r="28" spans="1:71" ht="3" customHeight="1" x14ac:dyDescent="0.2">
      <c r="A28" s="300" t="s">
        <v>86</v>
      </c>
      <c r="B28" s="300"/>
      <c r="C28" s="300"/>
      <c r="D28" s="302">
        <f>D24+D17+D5</f>
        <v>12176676</v>
      </c>
      <c r="E28" s="236"/>
      <c r="F28" s="237"/>
      <c r="G28" s="237"/>
      <c r="H28" s="237"/>
      <c r="I28" s="238"/>
      <c r="J28" s="221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1"/>
      <c r="BS28" s="222"/>
    </row>
    <row r="29" spans="1:71" ht="3" customHeight="1" x14ac:dyDescent="0.2">
      <c r="A29" s="300"/>
      <c r="B29" s="300"/>
      <c r="C29" s="300"/>
      <c r="D29" s="303"/>
      <c r="E29" s="236"/>
      <c r="F29" s="237"/>
      <c r="G29" s="237"/>
      <c r="H29" s="237"/>
      <c r="I29" s="238"/>
      <c r="J29" s="221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1"/>
      <c r="BS29" s="222"/>
    </row>
    <row r="30" spans="1:71" ht="3" customHeight="1" x14ac:dyDescent="0.2">
      <c r="A30" s="300"/>
      <c r="B30" s="300"/>
      <c r="C30" s="300"/>
      <c r="D30" s="303"/>
      <c r="E30" s="236"/>
      <c r="F30" s="237"/>
      <c r="G30" s="237"/>
      <c r="H30" s="237"/>
      <c r="I30" s="238"/>
      <c r="J30" s="221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1"/>
      <c r="BS30" s="222"/>
    </row>
    <row r="31" spans="1:71" ht="3" customHeight="1" x14ac:dyDescent="0.2">
      <c r="A31" s="300"/>
      <c r="B31" s="300"/>
      <c r="C31" s="300"/>
      <c r="D31" s="303"/>
      <c r="E31" s="236"/>
      <c r="F31" s="237"/>
      <c r="G31" s="237"/>
      <c r="H31" s="237"/>
      <c r="I31" s="238"/>
      <c r="J31" s="221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1"/>
      <c r="BS31" s="222"/>
    </row>
    <row r="32" spans="1:71" ht="14.25" customHeight="1" x14ac:dyDescent="0.2">
      <c r="A32" s="301"/>
      <c r="B32" s="301"/>
      <c r="C32" s="301"/>
      <c r="D32" s="304"/>
      <c r="E32" s="236"/>
      <c r="F32" s="237"/>
      <c r="G32" s="237"/>
      <c r="H32" s="237"/>
      <c r="I32" s="238"/>
      <c r="J32" s="221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1"/>
      <c r="BS32" s="222"/>
    </row>
    <row r="33" spans="1:71" ht="15" x14ac:dyDescent="0.25">
      <c r="A33" s="214" t="s">
        <v>332</v>
      </c>
      <c r="B33" s="215"/>
      <c r="C33" s="216"/>
      <c r="D33" s="246"/>
      <c r="E33" s="236"/>
      <c r="F33" s="237"/>
      <c r="G33" s="237"/>
      <c r="H33" s="237"/>
      <c r="I33" s="238"/>
      <c r="J33" s="221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1"/>
      <c r="BS33" s="222"/>
    </row>
    <row r="34" spans="1:71" ht="12.75" customHeight="1" x14ac:dyDescent="0.2">
      <c r="A34" s="305" t="s">
        <v>323</v>
      </c>
      <c r="B34" s="305"/>
      <c r="C34" s="305"/>
      <c r="D34" s="247">
        <f>D35+D36+D37+D38+D39</f>
        <v>1510000</v>
      </c>
      <c r="E34" s="236"/>
      <c r="F34" s="237"/>
      <c r="G34" s="237"/>
      <c r="H34" s="237"/>
      <c r="I34" s="238"/>
      <c r="J34" s="248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2"/>
      <c r="BN34" s="222"/>
      <c r="BO34" s="222"/>
      <c r="BP34" s="222"/>
      <c r="BQ34" s="222"/>
      <c r="BR34" s="222"/>
      <c r="BS34" s="222"/>
    </row>
    <row r="35" spans="1:71" ht="25.5" outlineLevel="1" x14ac:dyDescent="0.2">
      <c r="A35" s="249"/>
      <c r="B35" s="231"/>
      <c r="C35" s="250" t="s">
        <v>87</v>
      </c>
      <c r="D35" s="251">
        <v>500000</v>
      </c>
      <c r="E35" s="236"/>
      <c r="F35" s="237"/>
      <c r="G35" s="237"/>
      <c r="H35" s="237"/>
      <c r="I35" s="238"/>
      <c r="J35" s="221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1"/>
      <c r="BS35" s="222"/>
    </row>
    <row r="36" spans="1:71" outlineLevel="1" x14ac:dyDescent="0.2">
      <c r="A36" s="249"/>
      <c r="B36" s="231"/>
      <c r="C36" s="252" t="s">
        <v>71</v>
      </c>
      <c r="D36" s="251">
        <v>250000</v>
      </c>
      <c r="E36" s="236"/>
      <c r="F36" s="237"/>
      <c r="G36" s="237"/>
      <c r="H36" s="237"/>
      <c r="I36" s="238"/>
      <c r="J36" s="221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1"/>
      <c r="BS36" s="222"/>
    </row>
    <row r="37" spans="1:71" outlineLevel="1" x14ac:dyDescent="0.2">
      <c r="A37" s="249"/>
      <c r="B37" s="231"/>
      <c r="C37" s="252" t="s">
        <v>114</v>
      </c>
      <c r="D37" s="251">
        <v>50000</v>
      </c>
      <c r="E37" s="236"/>
      <c r="F37" s="237"/>
      <c r="G37" s="237"/>
      <c r="H37" s="237"/>
      <c r="I37" s="238"/>
      <c r="J37" s="221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1"/>
      <c r="BS37" s="222"/>
    </row>
    <row r="38" spans="1:71" outlineLevel="1" x14ac:dyDescent="0.2">
      <c r="A38" s="249"/>
      <c r="B38" s="231"/>
      <c r="C38" s="252" t="s">
        <v>115</v>
      </c>
      <c r="D38" s="251">
        <v>350000</v>
      </c>
      <c r="E38" s="236"/>
      <c r="F38" s="237"/>
      <c r="G38" s="237"/>
      <c r="H38" s="237"/>
      <c r="I38" s="238"/>
      <c r="J38" s="221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1"/>
      <c r="BS38" s="222"/>
    </row>
    <row r="39" spans="1:71" outlineLevel="1" x14ac:dyDescent="0.2">
      <c r="A39" s="253"/>
      <c r="B39" s="231"/>
      <c r="C39" s="254" t="s">
        <v>294</v>
      </c>
      <c r="D39" s="251">
        <v>360000</v>
      </c>
      <c r="E39" s="236"/>
      <c r="F39" s="237"/>
      <c r="G39" s="237"/>
      <c r="H39" s="237"/>
      <c r="I39" s="238"/>
      <c r="J39" s="221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1"/>
      <c r="BS39" s="222"/>
    </row>
    <row r="40" spans="1:71" ht="12" customHeight="1" x14ac:dyDescent="0.2">
      <c r="A40" s="305" t="s">
        <v>284</v>
      </c>
      <c r="B40" s="305"/>
      <c r="C40" s="305"/>
      <c r="D40" s="247">
        <f>SUM(D41:D44)</f>
        <v>181324</v>
      </c>
      <c r="E40" s="236"/>
      <c r="F40" s="237"/>
      <c r="G40" s="237"/>
      <c r="H40" s="237"/>
      <c r="I40" s="238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1"/>
      <c r="BS40" s="222"/>
    </row>
    <row r="41" spans="1:71" outlineLevel="1" x14ac:dyDescent="0.2">
      <c r="A41" s="249"/>
      <c r="B41" s="231"/>
      <c r="C41" s="252" t="s">
        <v>313</v>
      </c>
      <c r="D41" s="233">
        <v>74981</v>
      </c>
      <c r="E41" s="236"/>
      <c r="F41" s="237"/>
      <c r="G41" s="237"/>
      <c r="H41" s="237"/>
      <c r="I41" s="238"/>
      <c r="J41" s="221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1"/>
      <c r="BS41" s="222"/>
    </row>
    <row r="42" spans="1:71" outlineLevel="1" x14ac:dyDescent="0.2">
      <c r="A42" s="249"/>
      <c r="B42" s="243"/>
      <c r="C42" s="252" t="s">
        <v>314</v>
      </c>
      <c r="D42" s="244">
        <v>29000</v>
      </c>
      <c r="E42" s="236"/>
      <c r="F42" s="237"/>
      <c r="G42" s="237"/>
      <c r="H42" s="237"/>
      <c r="I42" s="238"/>
      <c r="J42" s="221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1"/>
      <c r="BS42" s="222"/>
    </row>
    <row r="43" spans="1:71" outlineLevel="1" x14ac:dyDescent="0.2">
      <c r="A43" s="249"/>
      <c r="B43" s="243"/>
      <c r="C43" s="252" t="s">
        <v>90</v>
      </c>
      <c r="D43" s="233">
        <v>52343</v>
      </c>
      <c r="E43" s="236"/>
      <c r="F43" s="237"/>
      <c r="G43" s="237"/>
      <c r="H43" s="237"/>
      <c r="I43" s="238"/>
      <c r="J43" s="221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1"/>
      <c r="BS43" s="222"/>
    </row>
    <row r="44" spans="1:71" outlineLevel="1" x14ac:dyDescent="0.2">
      <c r="A44" s="253"/>
      <c r="B44" s="243"/>
      <c r="C44" s="254" t="s">
        <v>85</v>
      </c>
      <c r="D44" s="233">
        <v>25000</v>
      </c>
      <c r="E44" s="236"/>
      <c r="F44" s="237"/>
      <c r="G44" s="237"/>
      <c r="H44" s="237"/>
      <c r="I44" s="238"/>
      <c r="J44" s="221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1"/>
      <c r="BS44" s="222"/>
    </row>
    <row r="45" spans="1:71" ht="12" customHeight="1" x14ac:dyDescent="0.2">
      <c r="A45" s="305" t="s">
        <v>285</v>
      </c>
      <c r="B45" s="305"/>
      <c r="C45" s="305"/>
      <c r="D45" s="247">
        <f>SUM(D46:D46)</f>
        <v>120000</v>
      </c>
      <c r="E45" s="236"/>
      <c r="F45" s="237"/>
      <c r="G45" s="237"/>
      <c r="H45" s="237"/>
      <c r="I45" s="238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1"/>
      <c r="BS45" s="222"/>
    </row>
    <row r="46" spans="1:71" outlineLevel="1" x14ac:dyDescent="0.2">
      <c r="A46" s="249"/>
      <c r="B46" s="231">
        <v>7</v>
      </c>
      <c r="C46" s="252" t="s">
        <v>295</v>
      </c>
      <c r="D46" s="233">
        <v>120000</v>
      </c>
      <c r="E46" s="236"/>
      <c r="F46" s="237"/>
      <c r="G46" s="237"/>
      <c r="H46" s="237"/>
      <c r="I46" s="238"/>
      <c r="J46" s="221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1"/>
      <c r="BS46" s="222"/>
    </row>
    <row r="47" spans="1:71" x14ac:dyDescent="0.2">
      <c r="A47" s="300" t="s">
        <v>92</v>
      </c>
      <c r="B47" s="300"/>
      <c r="C47" s="300"/>
      <c r="D47" s="303">
        <f>D34+D40+D45</f>
        <v>1811324</v>
      </c>
      <c r="E47" s="236"/>
      <c r="F47" s="237"/>
      <c r="G47" s="237"/>
      <c r="H47" s="237"/>
      <c r="I47" s="238"/>
      <c r="J47" s="221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1"/>
      <c r="BS47" s="222"/>
    </row>
    <row r="48" spans="1:71" ht="3" customHeight="1" x14ac:dyDescent="0.2">
      <c r="A48" s="300"/>
      <c r="B48" s="300"/>
      <c r="C48" s="300"/>
      <c r="D48" s="303"/>
      <c r="E48" s="236"/>
      <c r="F48" s="237"/>
      <c r="G48" s="237"/>
      <c r="H48" s="237"/>
      <c r="I48" s="238"/>
      <c r="J48" s="221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1"/>
      <c r="BS48" s="222"/>
    </row>
    <row r="49" spans="1:71" ht="3" customHeight="1" x14ac:dyDescent="0.2">
      <c r="A49" s="300"/>
      <c r="B49" s="300"/>
      <c r="C49" s="300"/>
      <c r="D49" s="303"/>
      <c r="E49" s="236"/>
      <c r="F49" s="237"/>
      <c r="G49" s="237"/>
      <c r="H49" s="237"/>
      <c r="I49" s="238"/>
      <c r="J49" s="221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1"/>
      <c r="BS49" s="222"/>
    </row>
    <row r="50" spans="1:71" ht="3" customHeight="1" x14ac:dyDescent="0.2">
      <c r="A50" s="300"/>
      <c r="B50" s="300"/>
      <c r="C50" s="300"/>
      <c r="D50" s="303"/>
      <c r="E50" s="236"/>
      <c r="F50" s="237"/>
      <c r="G50" s="237"/>
      <c r="H50" s="237"/>
      <c r="I50" s="238"/>
      <c r="J50" s="221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1"/>
      <c r="BS50" s="222"/>
    </row>
    <row r="51" spans="1:71" ht="3" customHeight="1" x14ac:dyDescent="0.2">
      <c r="A51" s="301"/>
      <c r="B51" s="301"/>
      <c r="C51" s="301"/>
      <c r="D51" s="304"/>
      <c r="E51" s="236"/>
      <c r="F51" s="237"/>
      <c r="G51" s="237"/>
      <c r="H51" s="237"/>
      <c r="I51" s="238"/>
      <c r="J51" s="221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1"/>
      <c r="BS51" s="222"/>
    </row>
    <row r="52" spans="1:71" ht="15" x14ac:dyDescent="0.25">
      <c r="A52" s="214" t="s">
        <v>333</v>
      </c>
      <c r="B52" s="215"/>
      <c r="C52" s="216"/>
      <c r="D52" s="246"/>
      <c r="E52" s="236"/>
      <c r="F52" s="237"/>
      <c r="G52" s="237"/>
      <c r="H52" s="237"/>
      <c r="I52" s="238"/>
      <c r="J52" s="221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1"/>
      <c r="BS52" s="222"/>
    </row>
    <row r="53" spans="1:71" x14ac:dyDescent="0.2">
      <c r="A53" s="224" t="s">
        <v>286</v>
      </c>
      <c r="B53" s="234"/>
      <c r="C53" s="235"/>
      <c r="D53" s="255">
        <f>SUM(D54:D56)</f>
        <v>1200000</v>
      </c>
      <c r="E53" s="236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R53" s="221"/>
      <c r="BS53" s="222"/>
    </row>
    <row r="54" spans="1:71" outlineLevel="1" x14ac:dyDescent="0.2">
      <c r="A54" s="240"/>
      <c r="B54" s="243"/>
      <c r="C54" s="257" t="s">
        <v>116</v>
      </c>
      <c r="D54" s="233">
        <v>500000</v>
      </c>
      <c r="E54" s="236"/>
      <c r="F54" s="237"/>
      <c r="G54" s="237"/>
      <c r="H54" s="237"/>
      <c r="I54" s="238"/>
      <c r="J54" s="221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1"/>
      <c r="BS54" s="222"/>
    </row>
    <row r="55" spans="1:71" outlineLevel="1" x14ac:dyDescent="0.2">
      <c r="A55" s="240"/>
      <c r="B55" s="243"/>
      <c r="C55" s="257" t="s">
        <v>117</v>
      </c>
      <c r="D55" s="233">
        <v>400000</v>
      </c>
      <c r="E55" s="236"/>
      <c r="F55" s="237"/>
      <c r="G55" s="237"/>
      <c r="H55" s="237"/>
      <c r="I55" s="238"/>
      <c r="J55" s="221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1"/>
      <c r="BS55" s="222"/>
    </row>
    <row r="56" spans="1:71" outlineLevel="1" x14ac:dyDescent="0.2">
      <c r="A56" s="258"/>
      <c r="B56" s="231">
        <v>8</v>
      </c>
      <c r="C56" s="232" t="s">
        <v>296</v>
      </c>
      <c r="D56" s="233">
        <v>300000</v>
      </c>
      <c r="E56" s="259"/>
      <c r="F56" s="237"/>
      <c r="G56" s="237"/>
      <c r="H56" s="237"/>
      <c r="I56" s="238"/>
      <c r="J56" s="221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2"/>
      <c r="BR56" s="221"/>
      <c r="BS56" s="222"/>
    </row>
    <row r="57" spans="1:71" x14ac:dyDescent="0.2">
      <c r="A57" s="306" t="s">
        <v>306</v>
      </c>
      <c r="B57" s="307"/>
      <c r="C57" s="307"/>
      <c r="D57" s="260">
        <f>D58+D59+D60+D61+D62+D63+D64+D65+D66+D67+D68+D69+D70</f>
        <v>2012000</v>
      </c>
      <c r="E57" s="261"/>
      <c r="F57" s="237"/>
      <c r="G57" s="237"/>
      <c r="H57" s="222"/>
      <c r="I57" s="238"/>
      <c r="J57" s="222"/>
      <c r="K57" s="222"/>
      <c r="L57" s="222"/>
      <c r="M57" s="222"/>
      <c r="N57" s="222"/>
      <c r="O57" s="222"/>
      <c r="P57" s="222"/>
      <c r="Q57" s="222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1"/>
      <c r="BS57" s="222"/>
    </row>
    <row r="58" spans="1:71" outlineLevel="1" x14ac:dyDescent="0.2">
      <c r="A58" s="262"/>
      <c r="B58" s="263"/>
      <c r="C58" s="252" t="s">
        <v>118</v>
      </c>
      <c r="D58" s="264">
        <v>20000</v>
      </c>
      <c r="E58" s="236"/>
      <c r="F58" s="237"/>
      <c r="G58" s="237"/>
      <c r="H58" s="237"/>
      <c r="I58" s="238"/>
      <c r="J58" s="221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1"/>
      <c r="BS58" s="222"/>
    </row>
    <row r="59" spans="1:71" outlineLevel="1" x14ac:dyDescent="0.2">
      <c r="A59" s="262"/>
      <c r="B59" s="263"/>
      <c r="C59" s="252" t="s">
        <v>119</v>
      </c>
      <c r="D59" s="264">
        <v>120000</v>
      </c>
      <c r="E59" s="236"/>
      <c r="F59" s="237"/>
      <c r="G59" s="237"/>
      <c r="H59" s="237"/>
      <c r="I59" s="238"/>
      <c r="J59" s="221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1"/>
      <c r="BS59" s="222"/>
    </row>
    <row r="60" spans="1:71" outlineLevel="1" x14ac:dyDescent="0.2">
      <c r="A60" s="262"/>
      <c r="B60" s="263">
        <v>9</v>
      </c>
      <c r="C60" s="252" t="s">
        <v>297</v>
      </c>
      <c r="D60" s="264">
        <v>147000</v>
      </c>
      <c r="E60" s="236"/>
      <c r="F60" s="237"/>
      <c r="G60" s="237"/>
      <c r="H60" s="237"/>
      <c r="I60" s="238"/>
      <c r="J60" s="221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1"/>
      <c r="BS60" s="222"/>
    </row>
    <row r="61" spans="1:71" outlineLevel="1" x14ac:dyDescent="0.2">
      <c r="A61" s="262"/>
      <c r="B61" s="263"/>
      <c r="C61" s="252" t="s">
        <v>120</v>
      </c>
      <c r="D61" s="264">
        <v>95000</v>
      </c>
      <c r="E61" s="236"/>
      <c r="F61" s="237"/>
      <c r="G61" s="237"/>
      <c r="H61" s="237"/>
      <c r="I61" s="238"/>
      <c r="J61" s="221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1"/>
      <c r="BS61" s="222"/>
    </row>
    <row r="62" spans="1:71" outlineLevel="1" x14ac:dyDescent="0.2">
      <c r="A62" s="262"/>
      <c r="B62" s="263"/>
      <c r="C62" s="252" t="s">
        <v>121</v>
      </c>
      <c r="D62" s="264">
        <v>50000</v>
      </c>
      <c r="E62" s="236"/>
      <c r="F62" s="237"/>
      <c r="G62" s="237"/>
      <c r="H62" s="237"/>
      <c r="I62" s="238"/>
      <c r="J62" s="221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1"/>
      <c r="BS62" s="222"/>
    </row>
    <row r="63" spans="1:71" outlineLevel="1" x14ac:dyDescent="0.2">
      <c r="A63" s="262"/>
      <c r="B63" s="263"/>
      <c r="C63" s="252" t="s">
        <v>298</v>
      </c>
      <c r="D63" s="264">
        <v>120000</v>
      </c>
      <c r="E63" s="236"/>
      <c r="F63" s="237"/>
      <c r="G63" s="237"/>
      <c r="H63" s="237"/>
      <c r="I63" s="238"/>
      <c r="J63" s="221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1"/>
      <c r="BS63" s="222"/>
    </row>
    <row r="64" spans="1:71" outlineLevel="1" x14ac:dyDescent="0.2">
      <c r="A64" s="262"/>
      <c r="B64" s="263"/>
      <c r="C64" s="252" t="s">
        <v>122</v>
      </c>
      <c r="D64" s="264">
        <v>180000</v>
      </c>
      <c r="E64" s="236"/>
      <c r="F64" s="237"/>
      <c r="G64" s="237"/>
      <c r="H64" s="237"/>
      <c r="I64" s="238"/>
      <c r="J64" s="221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1"/>
      <c r="BS64" s="222"/>
    </row>
    <row r="65" spans="1:74" outlineLevel="1" x14ac:dyDescent="0.2">
      <c r="A65" s="262"/>
      <c r="B65" s="263"/>
      <c r="C65" s="250" t="s">
        <v>123</v>
      </c>
      <c r="D65" s="264">
        <v>80000</v>
      </c>
      <c r="E65" s="236"/>
      <c r="F65" s="237"/>
      <c r="G65" s="237"/>
      <c r="H65" s="237"/>
      <c r="I65" s="238"/>
      <c r="J65" s="221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1"/>
      <c r="BS65" s="222"/>
    </row>
    <row r="66" spans="1:74" outlineLevel="1" x14ac:dyDescent="0.2">
      <c r="A66" s="262"/>
      <c r="B66" s="265"/>
      <c r="C66" s="252" t="s">
        <v>124</v>
      </c>
      <c r="D66" s="251">
        <v>500000</v>
      </c>
      <c r="E66" s="236"/>
      <c r="F66" s="237"/>
      <c r="G66" s="237"/>
      <c r="H66" s="237"/>
      <c r="I66" s="238"/>
      <c r="J66" s="221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1"/>
      <c r="BS66" s="222"/>
    </row>
    <row r="67" spans="1:74" outlineLevel="1" x14ac:dyDescent="0.2">
      <c r="A67" s="262"/>
      <c r="B67" s="265"/>
      <c r="C67" s="252" t="s">
        <v>125</v>
      </c>
      <c r="D67" s="251">
        <v>200000</v>
      </c>
      <c r="E67" s="236"/>
      <c r="F67" s="237"/>
      <c r="G67" s="237"/>
      <c r="H67" s="237"/>
      <c r="I67" s="238"/>
      <c r="J67" s="221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1"/>
      <c r="BS67" s="222"/>
    </row>
    <row r="68" spans="1:74" outlineLevel="1" x14ac:dyDescent="0.2">
      <c r="A68" s="262"/>
      <c r="B68" s="265"/>
      <c r="C68" s="252" t="s">
        <v>69</v>
      </c>
      <c r="D68" s="251">
        <v>90000</v>
      </c>
      <c r="E68" s="236"/>
      <c r="F68" s="237"/>
      <c r="G68" s="237"/>
      <c r="H68" s="237"/>
      <c r="I68" s="238"/>
      <c r="J68" s="221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1"/>
      <c r="BS68" s="222"/>
    </row>
    <row r="69" spans="1:74" ht="25.5" outlineLevel="1" x14ac:dyDescent="0.2">
      <c r="A69" s="262"/>
      <c r="B69" s="263"/>
      <c r="C69" s="266" t="s">
        <v>315</v>
      </c>
      <c r="D69" s="264">
        <v>200000</v>
      </c>
      <c r="E69" s="236"/>
      <c r="F69" s="237"/>
      <c r="G69" s="237"/>
      <c r="H69" s="237"/>
      <c r="I69" s="238"/>
      <c r="J69" s="221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1"/>
      <c r="BS69" s="222"/>
    </row>
    <row r="70" spans="1:74" ht="25.5" outlineLevel="1" x14ac:dyDescent="0.2">
      <c r="A70" s="262"/>
      <c r="B70" s="263">
        <v>11</v>
      </c>
      <c r="C70" s="266" t="s">
        <v>126</v>
      </c>
      <c r="D70" s="264">
        <v>210000</v>
      </c>
      <c r="E70" s="259"/>
      <c r="F70" s="237"/>
      <c r="G70" s="237"/>
      <c r="H70" s="237"/>
      <c r="I70" s="238"/>
      <c r="J70" s="221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1"/>
      <c r="BS70" s="222"/>
    </row>
    <row r="71" spans="1:74" x14ac:dyDescent="0.2">
      <c r="A71" s="308" t="s">
        <v>127</v>
      </c>
      <c r="B71" s="308"/>
      <c r="C71" s="309"/>
      <c r="D71" s="310">
        <f>D53+D57</f>
        <v>3212000</v>
      </c>
      <c r="E71" s="236"/>
      <c r="F71" s="237"/>
      <c r="G71" s="237"/>
      <c r="H71" s="237"/>
      <c r="I71" s="238"/>
      <c r="J71" s="221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67"/>
      <c r="BS71" s="268"/>
    </row>
    <row r="72" spans="1:74" ht="3" customHeight="1" x14ac:dyDescent="0.2">
      <c r="A72" s="308"/>
      <c r="B72" s="308"/>
      <c r="C72" s="309"/>
      <c r="D72" s="310"/>
      <c r="E72" s="236"/>
      <c r="F72" s="237"/>
      <c r="G72" s="237"/>
      <c r="H72" s="237"/>
      <c r="I72" s="238"/>
      <c r="J72" s="221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1"/>
      <c r="BS72" s="222"/>
    </row>
    <row r="73" spans="1:74" ht="3" customHeight="1" x14ac:dyDescent="0.2">
      <c r="A73" s="308"/>
      <c r="B73" s="308"/>
      <c r="C73" s="309"/>
      <c r="D73" s="310"/>
      <c r="E73" s="236"/>
      <c r="F73" s="237"/>
      <c r="G73" s="237"/>
      <c r="H73" s="237"/>
      <c r="I73" s="238"/>
      <c r="J73" s="221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1"/>
      <c r="BS73" s="222"/>
    </row>
    <row r="74" spans="1:74" ht="3" customHeight="1" x14ac:dyDescent="0.2">
      <c r="A74" s="308"/>
      <c r="B74" s="308"/>
      <c r="C74" s="309"/>
      <c r="D74" s="310"/>
      <c r="E74" s="236"/>
      <c r="F74" s="237"/>
      <c r="G74" s="237"/>
      <c r="H74" s="237"/>
      <c r="I74" s="238"/>
      <c r="J74" s="221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222"/>
      <c r="BN74" s="222"/>
      <c r="BO74" s="222"/>
      <c r="BP74" s="222"/>
      <c r="BQ74" s="222"/>
      <c r="BR74" s="221"/>
      <c r="BS74" s="222"/>
    </row>
    <row r="75" spans="1:74" ht="3" customHeight="1" x14ac:dyDescent="0.2">
      <c r="A75" s="308"/>
      <c r="B75" s="308"/>
      <c r="C75" s="309"/>
      <c r="D75" s="310"/>
      <c r="E75" s="236"/>
      <c r="F75" s="237"/>
      <c r="G75" s="237"/>
      <c r="H75" s="237"/>
      <c r="I75" s="238"/>
      <c r="J75" s="221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222"/>
      <c r="BR75" s="221"/>
      <c r="BS75" s="222"/>
    </row>
    <row r="76" spans="1:74" outlineLevel="1" x14ac:dyDescent="0.2">
      <c r="A76" s="314"/>
      <c r="B76" s="314"/>
      <c r="C76" s="314"/>
      <c r="D76" s="244"/>
      <c r="E76" s="236"/>
      <c r="F76" s="237"/>
      <c r="G76" s="237"/>
      <c r="H76" s="237"/>
      <c r="I76" s="238"/>
      <c r="J76" s="269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1"/>
      <c r="BS76" s="222"/>
      <c r="BT76" s="270"/>
      <c r="BU76" s="270"/>
    </row>
    <row r="77" spans="1:74" ht="18" customHeight="1" x14ac:dyDescent="0.2">
      <c r="A77" s="224" t="s">
        <v>307</v>
      </c>
      <c r="B77" s="271"/>
      <c r="C77" s="241"/>
      <c r="D77" s="245">
        <f>D79+D80+D81+D82+D83+D84+D85+D86+D78</f>
        <v>2000000.1742049686</v>
      </c>
      <c r="E77" s="272"/>
      <c r="F77" s="273"/>
      <c r="G77" s="273"/>
      <c r="H77" s="273"/>
      <c r="I77" s="274"/>
      <c r="J77" s="272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5"/>
      <c r="AO77" s="275"/>
      <c r="AP77" s="275"/>
      <c r="AQ77" s="275"/>
      <c r="AR77" s="275"/>
      <c r="AS77" s="275"/>
      <c r="AT77" s="275"/>
      <c r="AU77" s="275"/>
      <c r="AV77" s="275"/>
      <c r="AW77" s="275"/>
      <c r="AX77" s="275"/>
      <c r="AY77" s="275"/>
      <c r="AZ77" s="275"/>
      <c r="BA77" s="275"/>
      <c r="BB77" s="275"/>
      <c r="BC77" s="275"/>
      <c r="BD77" s="275"/>
      <c r="BE77" s="275"/>
      <c r="BF77" s="275"/>
      <c r="BG77" s="275"/>
      <c r="BH77" s="275"/>
      <c r="BI77" s="275"/>
      <c r="BJ77" s="275"/>
      <c r="BK77" s="275"/>
      <c r="BL77" s="275"/>
      <c r="BM77" s="275"/>
      <c r="BN77" s="275"/>
      <c r="BO77" s="275"/>
      <c r="BP77" s="275"/>
      <c r="BQ77" s="275"/>
      <c r="BR77" s="221"/>
      <c r="BS77" s="222"/>
      <c r="BT77" s="270"/>
      <c r="BU77" s="270"/>
      <c r="BV77" s="276"/>
    </row>
    <row r="78" spans="1:74" outlineLevel="1" x14ac:dyDescent="0.2">
      <c r="A78" s="277"/>
      <c r="B78" s="231"/>
      <c r="C78" s="278" t="s">
        <v>133</v>
      </c>
      <c r="D78" s="279">
        <v>207438</v>
      </c>
      <c r="E78" s="236"/>
      <c r="F78" s="237"/>
      <c r="G78" s="237"/>
      <c r="H78" s="237"/>
      <c r="I78" s="238"/>
      <c r="J78" s="221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  <c r="BJ78" s="222"/>
      <c r="BK78" s="222"/>
      <c r="BL78" s="222"/>
      <c r="BM78" s="222"/>
      <c r="BN78" s="222"/>
      <c r="BO78" s="222"/>
      <c r="BP78" s="222"/>
      <c r="BQ78" s="222"/>
      <c r="BR78" s="221"/>
      <c r="BS78" s="222"/>
      <c r="BT78" s="270"/>
      <c r="BU78" s="270"/>
      <c r="BV78" s="276"/>
    </row>
    <row r="79" spans="1:74" outlineLevel="1" x14ac:dyDescent="0.2">
      <c r="A79" s="249"/>
      <c r="B79" s="231">
        <v>1</v>
      </c>
      <c r="C79" s="278" t="s">
        <v>312</v>
      </c>
      <c r="D79" s="244">
        <v>407751.93798449612</v>
      </c>
      <c r="E79" s="236"/>
      <c r="F79" s="237"/>
      <c r="G79" s="237"/>
      <c r="H79" s="237"/>
      <c r="I79" s="238"/>
      <c r="J79" s="248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2"/>
      <c r="BI79" s="222"/>
      <c r="BJ79" s="222"/>
      <c r="BK79" s="222"/>
      <c r="BL79" s="222"/>
      <c r="BM79" s="222"/>
      <c r="BN79" s="222"/>
      <c r="BO79" s="222"/>
      <c r="BP79" s="222"/>
      <c r="BQ79" s="222"/>
      <c r="BR79" s="221"/>
      <c r="BS79" s="222"/>
      <c r="BT79" s="270"/>
      <c r="BU79" s="270"/>
      <c r="BV79" s="276"/>
    </row>
    <row r="80" spans="1:74" outlineLevel="1" x14ac:dyDescent="0.2">
      <c r="A80" s="249"/>
      <c r="B80" s="231">
        <v>2</v>
      </c>
      <c r="C80" s="278" t="s">
        <v>98</v>
      </c>
      <c r="D80" s="244">
        <v>276000</v>
      </c>
      <c r="E80" s="236"/>
      <c r="F80" s="237"/>
      <c r="G80" s="237"/>
      <c r="H80" s="237"/>
      <c r="I80" s="238"/>
      <c r="J80" s="248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  <c r="BJ80" s="222"/>
      <c r="BK80" s="222"/>
      <c r="BL80" s="222"/>
      <c r="BM80" s="222"/>
      <c r="BN80" s="222"/>
      <c r="BO80" s="222"/>
      <c r="BP80" s="222"/>
      <c r="BQ80" s="222"/>
      <c r="BR80" s="221"/>
      <c r="BS80" s="222"/>
      <c r="BT80" s="270"/>
      <c r="BU80" s="270"/>
      <c r="BV80" s="276"/>
    </row>
    <row r="81" spans="1:76" outlineLevel="1" x14ac:dyDescent="0.2">
      <c r="A81" s="249"/>
      <c r="B81" s="231">
        <v>3</v>
      </c>
      <c r="C81" s="278" t="s">
        <v>99</v>
      </c>
      <c r="D81" s="244">
        <f>314961-261</f>
        <v>314700</v>
      </c>
      <c r="E81" s="236"/>
      <c r="F81" s="237"/>
      <c r="G81" s="237"/>
      <c r="H81" s="237"/>
      <c r="I81" s="238"/>
      <c r="J81" s="248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  <c r="BJ81" s="222"/>
      <c r="BK81" s="222"/>
      <c r="BL81" s="222"/>
      <c r="BM81" s="222"/>
      <c r="BN81" s="222"/>
      <c r="BO81" s="222"/>
      <c r="BP81" s="222"/>
      <c r="BQ81" s="222"/>
      <c r="BR81" s="221"/>
      <c r="BS81" s="222"/>
      <c r="BT81" s="270"/>
      <c r="BU81" s="270"/>
      <c r="BV81" s="276"/>
    </row>
    <row r="82" spans="1:76" outlineLevel="1" x14ac:dyDescent="0.2">
      <c r="A82" s="249"/>
      <c r="B82" s="231">
        <v>4</v>
      </c>
      <c r="C82" s="278" t="s">
        <v>100</v>
      </c>
      <c r="D82" s="244">
        <v>276000</v>
      </c>
      <c r="E82" s="236"/>
      <c r="F82" s="237"/>
      <c r="G82" s="237"/>
      <c r="H82" s="237"/>
      <c r="I82" s="238"/>
      <c r="J82" s="248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1"/>
      <c r="BS82" s="222"/>
      <c r="BT82" s="270"/>
      <c r="BU82" s="270"/>
      <c r="BV82" s="276"/>
    </row>
    <row r="83" spans="1:76" outlineLevel="1" x14ac:dyDescent="0.2">
      <c r="A83" s="249"/>
      <c r="B83" s="231">
        <v>5</v>
      </c>
      <c r="C83" s="278" t="s">
        <v>128</v>
      </c>
      <c r="D83" s="244">
        <v>170000</v>
      </c>
      <c r="E83" s="280"/>
      <c r="F83" s="237"/>
      <c r="G83" s="237"/>
      <c r="H83" s="237"/>
      <c r="I83" s="238"/>
      <c r="J83" s="248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  <c r="BJ83" s="222"/>
      <c r="BK83" s="222"/>
      <c r="BL83" s="222"/>
      <c r="BM83" s="222"/>
      <c r="BN83" s="222"/>
      <c r="BO83" s="222"/>
      <c r="BP83" s="222"/>
      <c r="BQ83" s="222"/>
      <c r="BR83" s="221"/>
      <c r="BS83" s="222"/>
      <c r="BT83" s="270"/>
      <c r="BU83" s="270"/>
      <c r="BV83" s="276"/>
    </row>
    <row r="84" spans="1:76" outlineLevel="1" x14ac:dyDescent="0.2">
      <c r="A84" s="249"/>
      <c r="B84" s="231">
        <v>6</v>
      </c>
      <c r="C84" s="278" t="s">
        <v>129</v>
      </c>
      <c r="D84" s="244">
        <v>170000</v>
      </c>
      <c r="E84" s="280"/>
      <c r="F84" s="237"/>
      <c r="G84" s="237"/>
      <c r="H84" s="237"/>
      <c r="I84" s="238"/>
      <c r="J84" s="248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1"/>
      <c r="BS84" s="222"/>
      <c r="BT84" s="270"/>
      <c r="BU84" s="270"/>
      <c r="BV84" s="276"/>
    </row>
    <row r="85" spans="1:76" outlineLevel="1" x14ac:dyDescent="0.2">
      <c r="A85" s="249"/>
      <c r="B85" s="231">
        <v>7</v>
      </c>
      <c r="C85" s="278" t="s">
        <v>132</v>
      </c>
      <c r="D85" s="244">
        <f>(250000*12/127)*5</f>
        <v>118110.23622047243</v>
      </c>
      <c r="E85" s="280"/>
      <c r="F85" s="237"/>
      <c r="G85" s="237"/>
      <c r="H85" s="237"/>
      <c r="I85" s="238"/>
      <c r="J85" s="248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1"/>
      <c r="BS85" s="222"/>
      <c r="BT85" s="270"/>
      <c r="BU85" s="270"/>
      <c r="BV85" s="276"/>
    </row>
    <row r="86" spans="1:76" outlineLevel="1" x14ac:dyDescent="0.2">
      <c r="A86" s="249"/>
      <c r="B86" s="243"/>
      <c r="C86" s="278" t="s">
        <v>60</v>
      </c>
      <c r="D86" s="244">
        <v>60000</v>
      </c>
      <c r="E86" s="236"/>
      <c r="F86" s="237"/>
      <c r="G86" s="237"/>
      <c r="H86" s="237"/>
      <c r="I86" s="238"/>
      <c r="J86" s="248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  <c r="BJ86" s="222"/>
      <c r="BK86" s="222"/>
      <c r="BL86" s="222"/>
      <c r="BM86" s="222"/>
      <c r="BN86" s="222"/>
      <c r="BO86" s="222"/>
      <c r="BP86" s="222"/>
      <c r="BQ86" s="222"/>
      <c r="BR86" s="281"/>
      <c r="BS86" s="222"/>
      <c r="BT86" s="270"/>
      <c r="BU86" s="270"/>
      <c r="BV86" s="276"/>
    </row>
    <row r="87" spans="1:76" ht="12" customHeight="1" x14ac:dyDescent="0.2">
      <c r="A87" s="224" t="s">
        <v>308</v>
      </c>
      <c r="B87" s="225"/>
      <c r="C87" s="241"/>
      <c r="D87" s="227">
        <v>300000</v>
      </c>
      <c r="E87" s="221"/>
      <c r="F87" s="222"/>
      <c r="G87" s="237"/>
      <c r="H87" s="237"/>
      <c r="I87" s="238"/>
      <c r="J87" s="248"/>
      <c r="K87" s="222"/>
      <c r="L87" s="222"/>
      <c r="M87" s="222"/>
      <c r="N87" s="222"/>
      <c r="O87" s="275"/>
      <c r="P87" s="282"/>
      <c r="Q87" s="283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  <c r="AQ87" s="275"/>
      <c r="AR87" s="275"/>
      <c r="AS87" s="275"/>
      <c r="AT87" s="275"/>
      <c r="AU87" s="275"/>
      <c r="AV87" s="275"/>
      <c r="AW87" s="275"/>
      <c r="AX87" s="275"/>
      <c r="AY87" s="275"/>
      <c r="AZ87" s="275"/>
      <c r="BA87" s="275"/>
      <c r="BB87" s="275"/>
      <c r="BC87" s="275"/>
      <c r="BD87" s="275"/>
      <c r="BE87" s="275"/>
      <c r="BF87" s="275"/>
      <c r="BG87" s="275"/>
      <c r="BH87" s="275"/>
      <c r="BI87" s="275"/>
      <c r="BJ87" s="275"/>
      <c r="BK87" s="275"/>
      <c r="BL87" s="275"/>
      <c r="BM87" s="275"/>
      <c r="BN87" s="275"/>
      <c r="BO87" s="275"/>
      <c r="BP87" s="275"/>
      <c r="BQ87" s="275"/>
      <c r="BR87" s="281"/>
      <c r="BS87" s="222"/>
      <c r="BT87" s="270"/>
      <c r="BU87" s="270"/>
      <c r="BV87" s="270"/>
      <c r="BW87" s="270"/>
      <c r="BX87" s="270"/>
    </row>
    <row r="88" spans="1:76" x14ac:dyDescent="0.2">
      <c r="A88" s="224" t="s">
        <v>66</v>
      </c>
      <c r="B88" s="225"/>
      <c r="C88" s="241"/>
      <c r="D88" s="284">
        <v>500000</v>
      </c>
      <c r="E88" s="236"/>
      <c r="F88" s="237"/>
      <c r="G88" s="237"/>
      <c r="H88" s="237"/>
      <c r="I88" s="238"/>
      <c r="J88" s="248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81"/>
      <c r="BS88" s="222"/>
    </row>
    <row r="89" spans="1:76" ht="3" customHeight="1" x14ac:dyDescent="0.2">
      <c r="A89" s="300" t="s">
        <v>93</v>
      </c>
      <c r="B89" s="300"/>
      <c r="C89" s="300"/>
      <c r="D89" s="311">
        <f>D88+D77+D87+D71+D47+D28</f>
        <v>20000000.174204968</v>
      </c>
      <c r="E89" s="236"/>
      <c r="F89" s="237"/>
      <c r="G89" s="237"/>
      <c r="H89" s="237"/>
      <c r="I89" s="238"/>
      <c r="J89" s="221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2"/>
      <c r="BR89" s="221"/>
      <c r="BS89" s="222"/>
    </row>
    <row r="90" spans="1:76" ht="3" customHeight="1" x14ac:dyDescent="0.2">
      <c r="A90" s="300"/>
      <c r="B90" s="300"/>
      <c r="C90" s="300"/>
      <c r="D90" s="312"/>
      <c r="E90" s="236"/>
      <c r="F90" s="237"/>
      <c r="G90" s="237"/>
      <c r="H90" s="237"/>
      <c r="I90" s="238"/>
      <c r="J90" s="221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  <c r="BJ90" s="222"/>
      <c r="BK90" s="222"/>
      <c r="BL90" s="222"/>
      <c r="BM90" s="222"/>
      <c r="BN90" s="222"/>
      <c r="BO90" s="222"/>
      <c r="BP90" s="222"/>
      <c r="BQ90" s="222"/>
      <c r="BR90" s="221"/>
      <c r="BS90" s="222"/>
    </row>
    <row r="91" spans="1:76" ht="3" customHeight="1" x14ac:dyDescent="0.2">
      <c r="A91" s="300"/>
      <c r="B91" s="300"/>
      <c r="C91" s="300"/>
      <c r="D91" s="312"/>
      <c r="E91" s="236"/>
      <c r="F91" s="237"/>
      <c r="G91" s="237"/>
      <c r="H91" s="237"/>
      <c r="I91" s="238"/>
      <c r="J91" s="221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  <c r="BJ91" s="222"/>
      <c r="BK91" s="222"/>
      <c r="BL91" s="222"/>
      <c r="BM91" s="222"/>
      <c r="BN91" s="222"/>
      <c r="BO91" s="222"/>
      <c r="BP91" s="222"/>
      <c r="BQ91" s="222"/>
      <c r="BR91" s="221"/>
      <c r="BS91" s="222"/>
    </row>
    <row r="92" spans="1:76" ht="3" customHeight="1" x14ac:dyDescent="0.2">
      <c r="A92" s="300"/>
      <c r="B92" s="300"/>
      <c r="C92" s="300"/>
      <c r="D92" s="312"/>
      <c r="E92" s="236"/>
      <c r="F92" s="237"/>
      <c r="G92" s="237"/>
      <c r="H92" s="237"/>
      <c r="I92" s="238"/>
      <c r="J92" s="221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  <c r="BJ92" s="222"/>
      <c r="BK92" s="222"/>
      <c r="BL92" s="222"/>
      <c r="BM92" s="222"/>
      <c r="BN92" s="222"/>
      <c r="BO92" s="222"/>
      <c r="BP92" s="222"/>
      <c r="BQ92" s="222"/>
      <c r="BR92" s="221"/>
      <c r="BS92" s="222"/>
    </row>
    <row r="93" spans="1:76" ht="3" customHeight="1" collapsed="1" thickBot="1" x14ac:dyDescent="0.25">
      <c r="A93" s="301"/>
      <c r="B93" s="301"/>
      <c r="C93" s="301"/>
      <c r="D93" s="313"/>
      <c r="E93" s="285"/>
      <c r="F93" s="286"/>
      <c r="G93" s="286"/>
      <c r="H93" s="286"/>
      <c r="I93" s="287"/>
      <c r="J93" s="221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1"/>
      <c r="BS93" s="222"/>
    </row>
    <row r="95" spans="1:76" x14ac:dyDescent="0.2">
      <c r="B95" s="288"/>
      <c r="C95" s="289"/>
      <c r="D95" s="290"/>
    </row>
    <row r="96" spans="1:76" x14ac:dyDescent="0.2">
      <c r="C96" s="289"/>
      <c r="D96" s="290"/>
      <c r="E96" s="291"/>
      <c r="F96" s="291"/>
      <c r="G96" s="291"/>
      <c r="H96" s="291"/>
      <c r="I96" s="291"/>
    </row>
    <row r="97" spans="3:4" x14ac:dyDescent="0.2">
      <c r="C97" s="289"/>
    </row>
    <row r="98" spans="3:4" x14ac:dyDescent="0.2">
      <c r="C98" s="289"/>
      <c r="D98" s="290"/>
    </row>
    <row r="100" spans="3:4" x14ac:dyDescent="0.2">
      <c r="D100" s="290"/>
    </row>
    <row r="101" spans="3:4" x14ac:dyDescent="0.2">
      <c r="C101" s="293"/>
      <c r="D101" s="290"/>
    </row>
    <row r="102" spans="3:4" x14ac:dyDescent="0.2">
      <c r="C102" s="289"/>
    </row>
    <row r="103" spans="3:4" x14ac:dyDescent="0.2">
      <c r="C103" s="289"/>
    </row>
  </sheetData>
  <mergeCells count="19">
    <mergeCell ref="A57:C57"/>
    <mergeCell ref="A71:C75"/>
    <mergeCell ref="D71:D75"/>
    <mergeCell ref="A89:C93"/>
    <mergeCell ref="D89:D93"/>
    <mergeCell ref="A76:C76"/>
    <mergeCell ref="A28:C32"/>
    <mergeCell ref="D28:D32"/>
    <mergeCell ref="A34:C34"/>
    <mergeCell ref="A40:C40"/>
    <mergeCell ref="A47:C51"/>
    <mergeCell ref="D47:D51"/>
    <mergeCell ref="A45:C45"/>
    <mergeCell ref="BF1:BQ1"/>
    <mergeCell ref="E1:I1"/>
    <mergeCell ref="J1:U1"/>
    <mergeCell ref="V1:AG1"/>
    <mergeCell ref="AH1:AS1"/>
    <mergeCell ref="AT1:B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BZ101"/>
  <sheetViews>
    <sheetView zoomScale="70" zoomScaleNormal="70" workbookViewId="0">
      <pane xSplit="5" ySplit="9" topLeftCell="BH28" activePane="bottomRight" state="frozen"/>
      <selection pane="topRight" activeCell="F1" sqref="F1"/>
      <selection pane="bottomLeft" activeCell="A10" sqref="A10"/>
      <selection pane="bottomRight" activeCell="A31" sqref="A31"/>
    </sheetView>
  </sheetViews>
  <sheetFormatPr defaultColWidth="8.85546875" defaultRowHeight="12.75" x14ac:dyDescent="0.25"/>
  <cols>
    <col min="1" max="1" width="33.7109375" style="72" customWidth="1"/>
    <col min="2" max="2" width="18.5703125" style="72" customWidth="1"/>
    <col min="3" max="3" width="12.7109375" style="105" bestFit="1" customWidth="1"/>
    <col min="4" max="4" width="15.5703125" style="94" customWidth="1"/>
    <col min="5" max="5" width="21.7109375" style="73" bestFit="1" customWidth="1"/>
    <col min="6" max="6" width="19.28515625" style="99" bestFit="1" customWidth="1"/>
    <col min="7" max="19" width="19.28515625" style="99" customWidth="1"/>
    <col min="20" max="20" width="15.7109375" style="94" bestFit="1" customWidth="1"/>
    <col min="21" max="33" width="19.28515625" style="99" customWidth="1"/>
    <col min="34" max="34" width="14.28515625" style="99" customWidth="1"/>
    <col min="35" max="35" width="15.7109375" style="94" bestFit="1" customWidth="1"/>
    <col min="36" max="47" width="15.7109375" style="94" customWidth="1"/>
    <col min="48" max="48" width="14.28515625" style="99" customWidth="1"/>
    <col min="49" max="61" width="16.7109375" style="94" customWidth="1"/>
    <col min="62" max="62" width="14.28515625" style="99" customWidth="1"/>
    <col min="63" max="72" width="14.28515625" style="94" customWidth="1"/>
    <col min="73" max="73" width="16.28515625" style="94" customWidth="1"/>
    <col min="74" max="74" width="16.140625" style="94" customWidth="1"/>
    <col min="75" max="75" width="16.85546875" style="94" customWidth="1"/>
    <col min="76" max="76" width="14.28515625" style="99" customWidth="1"/>
    <col min="77" max="77" width="15.5703125" style="94" customWidth="1"/>
    <col min="78" max="78" width="66.5703125" style="95" customWidth="1"/>
    <col min="79" max="16384" width="8.85546875" style="72"/>
  </cols>
  <sheetData>
    <row r="1" spans="1:78" x14ac:dyDescent="0.25">
      <c r="A1" s="321" t="s">
        <v>267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93"/>
    </row>
    <row r="2" spans="1:78" x14ac:dyDescent="0.25">
      <c r="A2" s="321" t="s">
        <v>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93"/>
    </row>
    <row r="3" spans="1:78" ht="13.5" thickBot="1" x14ac:dyDescent="0.3">
      <c r="A3" s="93"/>
      <c r="B3" s="93"/>
      <c r="C3" s="93"/>
      <c r="D3" s="93"/>
      <c r="E3" s="93"/>
      <c r="F3" s="93"/>
      <c r="G3" s="129"/>
      <c r="H3" s="106" t="s">
        <v>179</v>
      </c>
      <c r="I3" s="106" t="s">
        <v>180</v>
      </c>
      <c r="J3" s="106" t="s">
        <v>181</v>
      </c>
      <c r="K3" s="106" t="s">
        <v>182</v>
      </c>
      <c r="L3" s="106" t="s">
        <v>183</v>
      </c>
      <c r="M3" s="106" t="s">
        <v>184</v>
      </c>
      <c r="N3" s="106" t="s">
        <v>185</v>
      </c>
      <c r="O3" s="106" t="s">
        <v>186</v>
      </c>
      <c r="P3" s="106" t="s">
        <v>187</v>
      </c>
      <c r="Q3" s="106" t="s">
        <v>188</v>
      </c>
      <c r="R3" s="106" t="s">
        <v>189</v>
      </c>
      <c r="S3" s="106" t="s">
        <v>190</v>
      </c>
      <c r="T3" s="106" t="s">
        <v>191</v>
      </c>
      <c r="U3" s="106" t="s">
        <v>192</v>
      </c>
      <c r="V3" s="106" t="s">
        <v>193</v>
      </c>
      <c r="W3" s="106" t="s">
        <v>194</v>
      </c>
      <c r="X3" s="106" t="s">
        <v>195</v>
      </c>
      <c r="Y3" s="106" t="s">
        <v>196</v>
      </c>
      <c r="Z3" s="93"/>
      <c r="AA3" s="93"/>
      <c r="AB3" s="93"/>
      <c r="AC3" s="93"/>
      <c r="AD3" s="93"/>
      <c r="AE3" s="93"/>
      <c r="AF3" s="113"/>
      <c r="AG3" s="113"/>
      <c r="AH3" s="93"/>
      <c r="AI3" s="9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93"/>
      <c r="AW3" s="9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93"/>
      <c r="BK3" s="9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93"/>
    </row>
    <row r="4" spans="1:78" ht="15" x14ac:dyDescent="0.25">
      <c r="A4" s="93"/>
      <c r="B4" s="93"/>
      <c r="C4" s="93"/>
      <c r="D4" s="93"/>
      <c r="E4" s="93"/>
      <c r="F4" s="106"/>
      <c r="G4" s="131">
        <f>H92+I92+J92+K92+L92</f>
        <v>725935.86744040716</v>
      </c>
      <c r="H4" s="316" t="s">
        <v>197</v>
      </c>
      <c r="I4" s="316"/>
      <c r="J4" s="316"/>
      <c r="K4" s="316"/>
      <c r="L4" s="316"/>
      <c r="M4" s="107"/>
      <c r="N4" s="107"/>
      <c r="O4" s="107"/>
      <c r="P4" s="107"/>
      <c r="Q4" s="107"/>
      <c r="R4" s="107"/>
      <c r="S4" s="107"/>
      <c r="T4" s="106"/>
      <c r="U4" s="107"/>
      <c r="V4" s="107"/>
      <c r="W4" s="107"/>
      <c r="X4" s="107"/>
      <c r="Y4" s="107"/>
      <c r="Z4" s="93"/>
      <c r="AA4" s="93"/>
      <c r="AB4" s="93"/>
      <c r="AC4" s="93"/>
      <c r="AD4" s="93"/>
      <c r="AE4" s="93"/>
      <c r="AF4" s="113"/>
      <c r="AG4" s="113"/>
      <c r="AH4" s="93"/>
      <c r="AI4" s="9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93"/>
      <c r="AW4" s="9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93"/>
      <c r="BK4" s="9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93"/>
    </row>
    <row r="5" spans="1:78" ht="15.75" thickBot="1" x14ac:dyDescent="0.3">
      <c r="A5" s="93"/>
      <c r="B5" s="93"/>
      <c r="C5" s="93"/>
      <c r="D5" s="93"/>
      <c r="E5" s="93"/>
      <c r="F5" s="106"/>
      <c r="G5" s="132">
        <f>G4+M93+N93+O93+P93+Q93+R93+S93+T93+U93+V93+W93+X93+Y93</f>
        <v>4871161.7444315813</v>
      </c>
      <c r="H5" s="318" t="s">
        <v>198</v>
      </c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9"/>
      <c r="Z5" s="93"/>
      <c r="AA5" s="93"/>
      <c r="AB5" s="93"/>
      <c r="AC5" s="93"/>
      <c r="AD5" s="93"/>
      <c r="AE5" s="93"/>
      <c r="AF5" s="113"/>
      <c r="AG5" s="113"/>
      <c r="AH5" s="93"/>
      <c r="AI5" s="9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93"/>
      <c r="AW5" s="9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93"/>
      <c r="BK5" s="9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93"/>
    </row>
    <row r="6" spans="1:78" x14ac:dyDescent="0.25">
      <c r="A6" s="93"/>
      <c r="B6" s="93"/>
      <c r="C6" s="93"/>
      <c r="D6" s="93"/>
      <c r="E6" s="93"/>
      <c r="F6" s="93"/>
      <c r="G6" s="130"/>
      <c r="H6" s="323">
        <v>2017</v>
      </c>
      <c r="I6" s="324"/>
      <c r="J6" s="324"/>
      <c r="K6" s="325"/>
      <c r="L6" s="326">
        <v>2018</v>
      </c>
      <c r="M6" s="327"/>
      <c r="N6" s="327"/>
      <c r="O6" s="327"/>
      <c r="P6" s="327"/>
      <c r="Q6" s="327"/>
      <c r="R6" s="327"/>
      <c r="S6" s="328"/>
      <c r="T6" s="329">
        <v>2018</v>
      </c>
      <c r="U6" s="330"/>
      <c r="V6" s="330"/>
      <c r="W6" s="330"/>
      <c r="X6" s="331">
        <v>2019</v>
      </c>
      <c r="Y6" s="332"/>
      <c r="Z6" s="93"/>
      <c r="AA6" s="93"/>
      <c r="AB6" s="93"/>
      <c r="AC6" s="93"/>
      <c r="AD6" s="93"/>
      <c r="AE6" s="93"/>
      <c r="AF6" s="113"/>
      <c r="AG6" s="113"/>
      <c r="AH6" s="93"/>
      <c r="AI6" s="9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93"/>
      <c r="AW6" s="9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93"/>
      <c r="BK6" s="9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93"/>
    </row>
    <row r="7" spans="1:78" x14ac:dyDescent="0.25">
      <c r="A7" s="93"/>
      <c r="B7" s="93"/>
      <c r="C7" s="93"/>
      <c r="D7" s="93"/>
      <c r="E7" s="93"/>
      <c r="F7" s="93"/>
      <c r="G7" s="113"/>
      <c r="H7" s="93" t="s">
        <v>165</v>
      </c>
      <c r="I7" s="93" t="s">
        <v>166</v>
      </c>
      <c r="J7" s="93" t="s">
        <v>167</v>
      </c>
      <c r="K7" s="93" t="s">
        <v>168</v>
      </c>
      <c r="L7" s="93" t="s">
        <v>169</v>
      </c>
      <c r="M7" s="93" t="s">
        <v>170</v>
      </c>
      <c r="N7" s="93" t="s">
        <v>171</v>
      </c>
      <c r="O7" s="93" t="s">
        <v>172</v>
      </c>
      <c r="P7" s="93" t="s">
        <v>76</v>
      </c>
      <c r="Q7" s="93" t="s">
        <v>173</v>
      </c>
      <c r="R7" s="93" t="s">
        <v>174</v>
      </c>
      <c r="S7" s="93" t="s">
        <v>175</v>
      </c>
      <c r="T7" s="93" t="s">
        <v>176</v>
      </c>
      <c r="U7" s="93" t="s">
        <v>166</v>
      </c>
      <c r="V7" s="93" t="s">
        <v>177</v>
      </c>
      <c r="W7" s="93" t="s">
        <v>178</v>
      </c>
      <c r="X7" s="93" t="s">
        <v>169</v>
      </c>
      <c r="Y7" s="93" t="s">
        <v>228</v>
      </c>
      <c r="Z7" s="113" t="s">
        <v>171</v>
      </c>
      <c r="AA7" s="113" t="s">
        <v>172</v>
      </c>
      <c r="AB7" s="113" t="s">
        <v>76</v>
      </c>
      <c r="AC7" s="113" t="s">
        <v>173</v>
      </c>
      <c r="AD7" s="113" t="s">
        <v>174</v>
      </c>
      <c r="AE7" s="113" t="s">
        <v>175</v>
      </c>
      <c r="AF7" s="113" t="s">
        <v>165</v>
      </c>
      <c r="AG7" s="113" t="s">
        <v>230</v>
      </c>
      <c r="AH7" s="113"/>
      <c r="AI7" s="113"/>
      <c r="AJ7" s="113" t="s">
        <v>167</v>
      </c>
      <c r="AK7" s="113" t="s">
        <v>168</v>
      </c>
      <c r="AL7" s="113" t="s">
        <v>229</v>
      </c>
      <c r="AM7" s="113" t="s">
        <v>170</v>
      </c>
      <c r="AN7" s="113" t="s">
        <v>171</v>
      </c>
      <c r="AO7" s="113" t="s">
        <v>172</v>
      </c>
      <c r="AP7" s="113" t="s">
        <v>76</v>
      </c>
      <c r="AQ7" s="113" t="s">
        <v>173</v>
      </c>
      <c r="AR7" s="113" t="s">
        <v>174</v>
      </c>
      <c r="AS7" s="113" t="s">
        <v>175</v>
      </c>
      <c r="AT7" s="113" t="s">
        <v>176</v>
      </c>
      <c r="AU7" s="113" t="s">
        <v>166</v>
      </c>
      <c r="AV7" s="113"/>
      <c r="AW7" s="113"/>
      <c r="AX7" s="113" t="s">
        <v>167</v>
      </c>
      <c r="AY7" s="113" t="s">
        <v>178</v>
      </c>
      <c r="AZ7" s="113" t="s">
        <v>229</v>
      </c>
      <c r="BA7" s="113" t="s">
        <v>170</v>
      </c>
      <c r="BB7" s="113" t="s">
        <v>171</v>
      </c>
      <c r="BC7" s="113" t="s">
        <v>172</v>
      </c>
      <c r="BD7" s="113" t="s">
        <v>76</v>
      </c>
      <c r="BE7" s="113" t="s">
        <v>173</v>
      </c>
      <c r="BF7" s="113" t="s">
        <v>174</v>
      </c>
      <c r="BG7" s="113" t="s">
        <v>175</v>
      </c>
      <c r="BH7" s="113" t="s">
        <v>176</v>
      </c>
      <c r="BI7" s="113" t="s">
        <v>166</v>
      </c>
      <c r="BJ7" s="93"/>
      <c r="BK7" s="93"/>
      <c r="BL7" s="113" t="s">
        <v>167</v>
      </c>
      <c r="BM7" s="113" t="s">
        <v>178</v>
      </c>
      <c r="BN7" s="113" t="s">
        <v>229</v>
      </c>
      <c r="BO7" s="113" t="s">
        <v>170</v>
      </c>
      <c r="BP7" s="113" t="s">
        <v>171</v>
      </c>
      <c r="BQ7" s="113" t="s">
        <v>172</v>
      </c>
      <c r="BR7" s="113" t="s">
        <v>76</v>
      </c>
      <c r="BS7" s="113" t="s">
        <v>173</v>
      </c>
      <c r="BT7" s="113" t="s">
        <v>174</v>
      </c>
      <c r="BU7" s="113" t="s">
        <v>175</v>
      </c>
      <c r="BV7" s="113" t="s">
        <v>176</v>
      </c>
      <c r="BW7" s="113" t="s">
        <v>166</v>
      </c>
      <c r="BX7" s="93"/>
    </row>
    <row r="8" spans="1:78" ht="62.25" customHeight="1" x14ac:dyDescent="0.25">
      <c r="A8" s="61" t="s">
        <v>50</v>
      </c>
      <c r="B8" s="61" t="s">
        <v>49</v>
      </c>
      <c r="C8" s="93" t="s">
        <v>43</v>
      </c>
      <c r="D8" s="62" t="s">
        <v>63</v>
      </c>
      <c r="E8" s="63" t="s">
        <v>1</v>
      </c>
      <c r="F8" s="61" t="s">
        <v>51</v>
      </c>
      <c r="G8" s="61" t="s">
        <v>44</v>
      </c>
      <c r="J8" s="61" t="s">
        <v>141</v>
      </c>
      <c r="K8" s="61" t="s">
        <v>142</v>
      </c>
      <c r="L8" s="61" t="s">
        <v>143</v>
      </c>
      <c r="M8" s="61" t="s">
        <v>144</v>
      </c>
      <c r="N8" s="61" t="s">
        <v>145</v>
      </c>
      <c r="O8" s="61" t="s">
        <v>146</v>
      </c>
      <c r="P8" s="61" t="s">
        <v>147</v>
      </c>
      <c r="Q8" s="61" t="s">
        <v>148</v>
      </c>
      <c r="R8" s="61" t="s">
        <v>149</v>
      </c>
      <c r="S8" s="61" t="s">
        <v>150</v>
      </c>
      <c r="T8" s="61" t="s">
        <v>151</v>
      </c>
      <c r="U8" s="61" t="s">
        <v>152</v>
      </c>
      <c r="V8" s="61" t="s">
        <v>153</v>
      </c>
      <c r="W8" s="61" t="s">
        <v>154</v>
      </c>
      <c r="X8" s="61" t="s">
        <v>155</v>
      </c>
      <c r="Y8" s="61" t="s">
        <v>156</v>
      </c>
      <c r="Z8" s="61" t="s">
        <v>157</v>
      </c>
      <c r="AA8" s="61" t="s">
        <v>158</v>
      </c>
      <c r="AB8" s="61" t="s">
        <v>159</v>
      </c>
      <c r="AC8" s="61" t="s">
        <v>160</v>
      </c>
      <c r="AD8" s="61" t="s">
        <v>161</v>
      </c>
      <c r="AE8" s="61" t="s">
        <v>162</v>
      </c>
      <c r="AF8" s="61" t="s">
        <v>163</v>
      </c>
      <c r="AG8" s="61" t="s">
        <v>164</v>
      </c>
      <c r="AH8" s="61" t="s">
        <v>52</v>
      </c>
      <c r="AI8" s="64" t="s">
        <v>45</v>
      </c>
      <c r="AJ8" s="64" t="s">
        <v>231</v>
      </c>
      <c r="AK8" s="64" t="s">
        <v>232</v>
      </c>
      <c r="AL8" s="64" t="s">
        <v>233</v>
      </c>
      <c r="AM8" s="64" t="s">
        <v>234</v>
      </c>
      <c r="AN8" s="64" t="s">
        <v>235</v>
      </c>
      <c r="AO8" s="64" t="s">
        <v>236</v>
      </c>
      <c r="AP8" s="64" t="s">
        <v>237</v>
      </c>
      <c r="AQ8" s="64" t="s">
        <v>238</v>
      </c>
      <c r="AR8" s="64" t="s">
        <v>239</v>
      </c>
      <c r="AS8" s="64" t="s">
        <v>240</v>
      </c>
      <c r="AT8" s="64" t="s">
        <v>241</v>
      </c>
      <c r="AU8" s="64" t="s">
        <v>242</v>
      </c>
      <c r="AV8" s="61" t="s">
        <v>53</v>
      </c>
      <c r="AW8" s="64" t="s">
        <v>46</v>
      </c>
      <c r="AX8" s="64" t="s">
        <v>243</v>
      </c>
      <c r="AY8" s="64" t="s">
        <v>244</v>
      </c>
      <c r="AZ8" s="64" t="s">
        <v>245</v>
      </c>
      <c r="BA8" s="64" t="s">
        <v>246</v>
      </c>
      <c r="BB8" s="64" t="s">
        <v>247</v>
      </c>
      <c r="BC8" s="64" t="s">
        <v>248</v>
      </c>
      <c r="BD8" s="64" t="s">
        <v>249</v>
      </c>
      <c r="BE8" s="64" t="s">
        <v>250</v>
      </c>
      <c r="BF8" s="64" t="s">
        <v>251</v>
      </c>
      <c r="BG8" s="64" t="s">
        <v>252</v>
      </c>
      <c r="BH8" s="64" t="s">
        <v>253</v>
      </c>
      <c r="BI8" s="64" t="s">
        <v>254</v>
      </c>
      <c r="BJ8" s="61" t="s">
        <v>54</v>
      </c>
      <c r="BK8" s="64" t="s">
        <v>47</v>
      </c>
      <c r="BL8" s="64" t="s">
        <v>255</v>
      </c>
      <c r="BM8" s="64" t="s">
        <v>256</v>
      </c>
      <c r="BN8" s="64" t="s">
        <v>257</v>
      </c>
      <c r="BO8" s="64" t="s">
        <v>258</v>
      </c>
      <c r="BP8" s="64" t="s">
        <v>259</v>
      </c>
      <c r="BQ8" s="64" t="s">
        <v>260</v>
      </c>
      <c r="BR8" s="64" t="s">
        <v>261</v>
      </c>
      <c r="BS8" s="64" t="s">
        <v>262</v>
      </c>
      <c r="BT8" s="64" t="s">
        <v>263</v>
      </c>
      <c r="BU8" s="64" t="s">
        <v>264</v>
      </c>
      <c r="BV8" s="64" t="s">
        <v>265</v>
      </c>
      <c r="BW8" s="64" t="s">
        <v>266</v>
      </c>
      <c r="BX8" s="61" t="s">
        <v>55</v>
      </c>
      <c r="BY8" s="64" t="s">
        <v>48</v>
      </c>
      <c r="BZ8" s="65" t="s">
        <v>64</v>
      </c>
    </row>
    <row r="9" spans="1:78" ht="15.75" customHeight="1" x14ac:dyDescent="0.25">
      <c r="A9" s="320" t="s">
        <v>300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66"/>
    </row>
    <row r="10" spans="1:78" ht="38.25" x14ac:dyDescent="0.25">
      <c r="A10" s="29" t="s">
        <v>140</v>
      </c>
      <c r="B10" s="67" t="s">
        <v>137</v>
      </c>
      <c r="C10" s="100">
        <v>1800</v>
      </c>
      <c r="D10" s="68">
        <f>AOP_PEP!D6/1800</f>
        <v>600</v>
      </c>
      <c r="E10" s="134">
        <f>(400*1800)*1.5</f>
        <v>1080000</v>
      </c>
      <c r="F10" s="69">
        <v>900</v>
      </c>
      <c r="G10" s="69">
        <f>U10</f>
        <v>0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>
        <f>900*D10</f>
        <v>540000</v>
      </c>
      <c r="AB10" s="69"/>
      <c r="AC10" s="69"/>
      <c r="AD10" s="69"/>
      <c r="AE10" s="69"/>
      <c r="AF10" s="69"/>
      <c r="AG10" s="69"/>
      <c r="AH10" s="69">
        <v>900</v>
      </c>
      <c r="AI10" s="70">
        <f>AH10*D10</f>
        <v>540000</v>
      </c>
      <c r="AJ10" s="70"/>
      <c r="AK10" s="70"/>
      <c r="AL10" s="70"/>
      <c r="AM10" s="70"/>
      <c r="AN10" s="70"/>
      <c r="AO10" s="70"/>
      <c r="AP10" s="70"/>
      <c r="AQ10" s="70"/>
      <c r="AR10" s="84"/>
      <c r="AS10" s="70"/>
      <c r="AT10" s="70"/>
      <c r="AU10" s="70"/>
      <c r="AV10" s="69">
        <v>900</v>
      </c>
      <c r="AW10" s="70">
        <f>AV10*D10</f>
        <v>540000</v>
      </c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69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69">
        <v>0</v>
      </c>
      <c r="BY10" s="70">
        <v>0</v>
      </c>
      <c r="BZ10" s="71"/>
    </row>
    <row r="11" spans="1:78" ht="25.5" x14ac:dyDescent="0.25">
      <c r="A11" s="29" t="s">
        <v>109</v>
      </c>
      <c r="B11" s="67" t="s">
        <v>138</v>
      </c>
      <c r="C11" s="100">
        <v>1</v>
      </c>
      <c r="D11" s="114">
        <f>AOP_PEP!D7</f>
        <v>30140</v>
      </c>
      <c r="E11" s="134">
        <f>1507*20</f>
        <v>30140</v>
      </c>
      <c r="F11" s="69">
        <v>1</v>
      </c>
      <c r="G11" s="69">
        <f>U11</f>
        <v>0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/>
      <c r="U11" s="69"/>
      <c r="V11" s="69"/>
      <c r="W11" s="69"/>
      <c r="X11" s="69"/>
      <c r="Y11" s="69"/>
      <c r="Z11" s="69"/>
      <c r="AA11" s="69">
        <f>D11/2</f>
        <v>15070</v>
      </c>
      <c r="AB11" s="69"/>
      <c r="AC11" s="69"/>
      <c r="AD11" s="69"/>
      <c r="AE11" s="69"/>
      <c r="AF11" s="69"/>
      <c r="AG11" s="69"/>
      <c r="AH11" s="69">
        <v>1</v>
      </c>
      <c r="AI11" s="70">
        <f>D11/2</f>
        <v>15070</v>
      </c>
      <c r="AJ11" s="70"/>
      <c r="AK11" s="70"/>
      <c r="AL11" s="70"/>
      <c r="AM11" s="70"/>
      <c r="AN11" s="70"/>
      <c r="AO11" s="70"/>
      <c r="AP11" s="70"/>
      <c r="AQ11" s="70"/>
      <c r="AR11" s="84"/>
      <c r="AS11" s="70"/>
      <c r="AT11" s="70"/>
      <c r="AU11" s="70"/>
      <c r="AV11" s="69">
        <v>1</v>
      </c>
      <c r="AW11" s="70">
        <f>D11/2</f>
        <v>15070</v>
      </c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69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69">
        <v>0</v>
      </c>
      <c r="BY11" s="70">
        <v>0</v>
      </c>
      <c r="BZ11" s="71"/>
    </row>
    <row r="12" spans="1:78" ht="25.5" x14ac:dyDescent="0.25">
      <c r="A12" s="29" t="str">
        <f>AOP_PEP!C8</f>
        <v>Technical Specialist Consultant - Georeferencing  (24 months)</v>
      </c>
      <c r="B12" s="67" t="s">
        <v>139</v>
      </c>
      <c r="C12" s="100">
        <v>1</v>
      </c>
      <c r="D12" s="114">
        <f>AOP_PEP!D8</f>
        <v>120000</v>
      </c>
      <c r="E12" s="134">
        <v>120000</v>
      </c>
      <c r="F12" s="69">
        <v>1</v>
      </c>
      <c r="G12" s="69">
        <f>U12</f>
        <v>0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69"/>
      <c r="V12" s="69"/>
      <c r="W12" s="69"/>
      <c r="X12" s="69"/>
      <c r="Y12" s="69"/>
      <c r="Z12" s="69"/>
      <c r="AA12" s="69">
        <f>D12/24</f>
        <v>5000</v>
      </c>
      <c r="AB12" s="69">
        <f t="shared" ref="AB12" si="0">E12/24</f>
        <v>5000</v>
      </c>
      <c r="AC12" s="69">
        <v>5000</v>
      </c>
      <c r="AD12" s="69">
        <v>5000</v>
      </c>
      <c r="AE12" s="69">
        <v>5000</v>
      </c>
      <c r="AF12" s="69">
        <v>5000</v>
      </c>
      <c r="AG12" s="69">
        <v>5000</v>
      </c>
      <c r="AH12" s="70">
        <v>0</v>
      </c>
      <c r="AI12" s="69">
        <f>AA12+AB12+AC12+AD12+AE12+AF12+AG12</f>
        <v>35000</v>
      </c>
      <c r="AJ12" s="69">
        <v>5000</v>
      </c>
      <c r="AK12" s="69">
        <v>5000</v>
      </c>
      <c r="AL12" s="69">
        <v>5000</v>
      </c>
      <c r="AM12" s="69">
        <v>5000</v>
      </c>
      <c r="AN12" s="69">
        <v>5000</v>
      </c>
      <c r="AO12" s="69">
        <v>5000</v>
      </c>
      <c r="AP12" s="69">
        <v>5000</v>
      </c>
      <c r="AQ12" s="69">
        <v>5000</v>
      </c>
      <c r="AR12" s="69">
        <v>5000</v>
      </c>
      <c r="AS12" s="69">
        <v>5000</v>
      </c>
      <c r="AT12" s="69">
        <v>5000</v>
      </c>
      <c r="AU12" s="69">
        <v>5000</v>
      </c>
      <c r="AV12" s="69">
        <v>0</v>
      </c>
      <c r="AW12" s="69">
        <f>AJ12+AK12+AL12+AM12+AN12+AO12+AP12+AQ12+AR12+AS12+AT12+AU12</f>
        <v>60000</v>
      </c>
      <c r="AX12" s="69">
        <v>5000</v>
      </c>
      <c r="AY12" s="70">
        <v>5000</v>
      </c>
      <c r="AZ12" s="70">
        <v>5000</v>
      </c>
      <c r="BA12" s="70">
        <v>5000</v>
      </c>
      <c r="BB12" s="70">
        <v>5000</v>
      </c>
      <c r="BC12" s="70"/>
      <c r="BD12" s="70"/>
      <c r="BE12" s="70"/>
      <c r="BF12" s="70"/>
      <c r="BG12" s="70"/>
      <c r="BH12" s="70"/>
      <c r="BI12" s="70"/>
      <c r="BJ12" s="69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69">
        <v>0</v>
      </c>
      <c r="BY12" s="70">
        <f>BB12+BA12+AZ12+AY12+AX12</f>
        <v>25000</v>
      </c>
      <c r="BZ12" s="71"/>
    </row>
    <row r="13" spans="1:78" ht="38.25" x14ac:dyDescent="0.25">
      <c r="A13" s="35" t="s">
        <v>113</v>
      </c>
      <c r="B13" s="82" t="s">
        <v>211</v>
      </c>
      <c r="C13" s="100">
        <v>1</v>
      </c>
      <c r="D13" s="117">
        <f>AOP_PEP!D9</f>
        <v>3000000</v>
      </c>
      <c r="E13" s="134">
        <v>3000000</v>
      </c>
      <c r="F13" s="79">
        <v>1</v>
      </c>
      <c r="G13" s="79">
        <f>U13</f>
        <v>0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G13" s="79"/>
      <c r="AH13" s="81">
        <v>1</v>
      </c>
      <c r="AJ13" s="86">
        <f>D13/2</f>
        <v>1500000</v>
      </c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1">
        <v>1</v>
      </c>
      <c r="AW13" s="80">
        <f>AJ13</f>
        <v>1500000</v>
      </c>
      <c r="AX13" s="80">
        <f>D13/2</f>
        <v>1500000</v>
      </c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1"/>
      <c r="BK13" s="80">
        <f>AX13</f>
        <v>1500000</v>
      </c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1">
        <v>1</v>
      </c>
      <c r="BY13" s="80">
        <v>0</v>
      </c>
      <c r="BZ13" s="71"/>
    </row>
    <row r="14" spans="1:78" ht="25.5" x14ac:dyDescent="0.25">
      <c r="A14" s="35" t="str">
        <f>AOP_PEP!C10</f>
        <v xml:space="preserve">Technical Specialist Consultant - Fleet Management (28 months) </v>
      </c>
      <c r="B14" s="82" t="s">
        <v>139</v>
      </c>
      <c r="C14" s="100">
        <v>1</v>
      </c>
      <c r="D14" s="117">
        <f>AOP_PEP!D10</f>
        <v>170000</v>
      </c>
      <c r="E14" s="134">
        <v>170000</v>
      </c>
      <c r="F14" s="79">
        <v>1</v>
      </c>
      <c r="G14" s="79">
        <f>U14</f>
        <v>0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>
        <f>D14/28</f>
        <v>6071.4285714285716</v>
      </c>
      <c r="AG14" s="79">
        <f>E14/28</f>
        <v>6071.4285714285716</v>
      </c>
      <c r="AH14" s="81">
        <v>1</v>
      </c>
      <c r="AI14" s="80">
        <f>AG14+AF14</f>
        <v>12142.857142857143</v>
      </c>
      <c r="AJ14" s="79">
        <v>6071.4285714285716</v>
      </c>
      <c r="AK14" s="79">
        <v>6071.4285714285716</v>
      </c>
      <c r="AL14" s="79">
        <v>6071.4285714285716</v>
      </c>
      <c r="AM14" s="79">
        <v>6071.4285714285716</v>
      </c>
      <c r="AN14" s="79">
        <v>6071.4285714285716</v>
      </c>
      <c r="AO14" s="79">
        <v>6071.4285714285716</v>
      </c>
      <c r="AP14" s="79">
        <v>6071.4285714285716</v>
      </c>
      <c r="AQ14" s="79">
        <v>6071.4285714285716</v>
      </c>
      <c r="AR14" s="79">
        <v>6071.4285714285716</v>
      </c>
      <c r="AS14" s="79">
        <v>6071.4285714285716</v>
      </c>
      <c r="AT14" s="79">
        <v>6071.4285714285716</v>
      </c>
      <c r="AU14" s="79">
        <v>6071.4285714285716</v>
      </c>
      <c r="AV14" s="81">
        <v>1</v>
      </c>
      <c r="AW14" s="80">
        <f>AU14+AT14+AS14+AR14+AQ14+AP14+AO14+AN14+AM14+AL14+AK14+AJ14</f>
        <v>72857.142857142855</v>
      </c>
      <c r="AX14" s="80">
        <v>6071.4285714285716</v>
      </c>
      <c r="AY14" s="80">
        <v>6071.4285714285716</v>
      </c>
      <c r="AZ14" s="80">
        <v>6071.4285714285716</v>
      </c>
      <c r="BA14" s="80">
        <v>6071.4285714285716</v>
      </c>
      <c r="BB14" s="80">
        <v>6071.4285714285716</v>
      </c>
      <c r="BC14" s="80">
        <v>6071.4285714285716</v>
      </c>
      <c r="BD14" s="80">
        <v>6071.4285714285716</v>
      </c>
      <c r="BE14" s="80">
        <v>6071.4285714285716</v>
      </c>
      <c r="BF14" s="80">
        <v>6071.4285714285716</v>
      </c>
      <c r="BG14" s="80">
        <v>6071.4285714285716</v>
      </c>
      <c r="BH14" s="80">
        <v>6071.4285714285716</v>
      </c>
      <c r="BI14" s="80">
        <v>6071.4285714285716</v>
      </c>
      <c r="BJ14" s="81"/>
      <c r="BK14" s="80">
        <f>BI14+BH14+BG14+BF14+BE14+BD14+BC14+BB14+BA14+AZ14+AY14+AX14</f>
        <v>72857.142857142855</v>
      </c>
      <c r="BL14" s="80">
        <v>6071.4285714285716</v>
      </c>
      <c r="BM14" s="80">
        <v>6071.4285714285716</v>
      </c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1">
        <v>1</v>
      </c>
      <c r="BY14" s="80">
        <f>BM14+BL14</f>
        <v>12142.857142857143</v>
      </c>
      <c r="BZ14" s="71"/>
    </row>
    <row r="15" spans="1:78" ht="76.5" x14ac:dyDescent="0.25">
      <c r="A15" s="29" t="s">
        <v>199</v>
      </c>
      <c r="B15" s="82" t="s">
        <v>205</v>
      </c>
      <c r="C15" s="100">
        <v>300</v>
      </c>
      <c r="D15" s="115">
        <f>E15/C15</f>
        <v>4576.4066666666668</v>
      </c>
      <c r="E15" s="134">
        <v>1372922</v>
      </c>
      <c r="F15" s="79">
        <v>100</v>
      </c>
      <c r="G15" s="79">
        <f>L15+R15+U15</f>
        <v>457640.66666666669</v>
      </c>
      <c r="H15" s="79"/>
      <c r="I15" s="79"/>
      <c r="J15" s="79"/>
      <c r="K15" s="79"/>
      <c r="L15" s="79">
        <f>D15*40</f>
        <v>183056.26666666666</v>
      </c>
      <c r="M15" s="79"/>
      <c r="N15" s="79"/>
      <c r="O15" s="79"/>
      <c r="P15" s="79"/>
      <c r="Q15" s="79"/>
      <c r="R15" s="79">
        <f>D15*60</f>
        <v>274584.40000000002</v>
      </c>
      <c r="S15" s="79"/>
      <c r="T15" s="80"/>
      <c r="U15" s="79"/>
      <c r="V15" s="79"/>
      <c r="W15" s="79"/>
      <c r="X15" s="79"/>
      <c r="Y15" s="79"/>
      <c r="Z15" s="79"/>
      <c r="AA15" s="79">
        <f>D15*100</f>
        <v>457640.66666666669</v>
      </c>
      <c r="AB15" s="79"/>
      <c r="AC15" s="79"/>
      <c r="AD15" s="79"/>
      <c r="AE15" s="79"/>
      <c r="AF15" s="79"/>
      <c r="AG15" s="79"/>
      <c r="AH15" s="81">
        <v>100</v>
      </c>
      <c r="AI15" s="80">
        <f>AA15</f>
        <v>457640.66666666669</v>
      </c>
      <c r="AJ15" s="80"/>
      <c r="AK15" s="80"/>
      <c r="AL15" s="80">
        <f>D15*100</f>
        <v>457640.66666666669</v>
      </c>
      <c r="AM15" s="80"/>
      <c r="AN15" s="80"/>
      <c r="AO15" s="80"/>
      <c r="AP15" s="80"/>
      <c r="AQ15" s="80"/>
      <c r="AR15" s="80"/>
      <c r="AS15" s="80"/>
      <c r="AT15" s="80"/>
      <c r="AU15" s="80"/>
      <c r="AV15" s="81">
        <v>100</v>
      </c>
      <c r="AW15" s="80">
        <f>AL15</f>
        <v>457640.66666666669</v>
      </c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1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1">
        <v>0</v>
      </c>
      <c r="BY15" s="80">
        <v>0</v>
      </c>
      <c r="BZ15" s="71"/>
    </row>
    <row r="16" spans="1:78" ht="89.25" x14ac:dyDescent="0.25">
      <c r="A16" s="29" t="s">
        <v>200</v>
      </c>
      <c r="B16" s="82" t="s">
        <v>204</v>
      </c>
      <c r="C16" s="100">
        <v>1</v>
      </c>
      <c r="D16" s="115">
        <f>AOP_PEP!D12</f>
        <v>407000</v>
      </c>
      <c r="E16" s="134">
        <v>407000</v>
      </c>
      <c r="F16" s="79">
        <v>0</v>
      </c>
      <c r="G16" s="79">
        <f>U16</f>
        <v>0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79"/>
      <c r="V16" s="79">
        <f>D16/2</f>
        <v>203500</v>
      </c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1">
        <v>1</v>
      </c>
      <c r="AI16" s="80">
        <f>V16</f>
        <v>203500</v>
      </c>
      <c r="AJ16" s="80">
        <f>D16/2</f>
        <v>203500</v>
      </c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1">
        <v>1</v>
      </c>
      <c r="AW16" s="80">
        <f>AJ16</f>
        <v>203500</v>
      </c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1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1">
        <v>0</v>
      </c>
      <c r="BY16" s="80">
        <v>0</v>
      </c>
      <c r="BZ16" s="71"/>
    </row>
    <row r="17" spans="1:78" x14ac:dyDescent="0.25">
      <c r="A17" s="34" t="s">
        <v>110</v>
      </c>
      <c r="B17" s="82" t="s">
        <v>202</v>
      </c>
      <c r="C17" s="100">
        <v>1</v>
      </c>
      <c r="D17" s="115">
        <f>AOP_PEP!D13</f>
        <v>500000</v>
      </c>
      <c r="E17" s="134">
        <v>500000</v>
      </c>
      <c r="F17" s="79">
        <v>1</v>
      </c>
      <c r="G17" s="79">
        <f>Q17</f>
        <v>250000</v>
      </c>
      <c r="H17" s="79"/>
      <c r="I17" s="79"/>
      <c r="J17" s="79"/>
      <c r="K17" s="79"/>
      <c r="L17" s="79"/>
      <c r="M17" s="79"/>
      <c r="N17" s="79"/>
      <c r="O17" s="79"/>
      <c r="P17" s="79"/>
      <c r="Q17" s="79">
        <f>D17/2</f>
        <v>250000</v>
      </c>
      <c r="R17" s="79"/>
      <c r="S17" s="79"/>
      <c r="T17" s="80"/>
      <c r="U17" s="79"/>
      <c r="V17" s="79"/>
      <c r="W17" s="79"/>
      <c r="X17" s="79"/>
      <c r="Y17" s="79"/>
      <c r="Z17" s="79"/>
      <c r="AA17" s="79">
        <f>D17/2</f>
        <v>250000</v>
      </c>
      <c r="AB17" s="79"/>
      <c r="AC17" s="79"/>
      <c r="AD17" s="79"/>
      <c r="AE17" s="79"/>
      <c r="AF17" s="79"/>
      <c r="AG17" s="79"/>
      <c r="AH17" s="81">
        <v>1</v>
      </c>
      <c r="AI17" s="80">
        <f>AA17+V17</f>
        <v>250000</v>
      </c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1">
        <v>1</v>
      </c>
      <c r="AW17" s="80">
        <f>AJ17</f>
        <v>0</v>
      </c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1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1">
        <v>0</v>
      </c>
      <c r="BY17" s="80">
        <v>0</v>
      </c>
      <c r="BZ17" s="71"/>
    </row>
    <row r="18" spans="1:78" ht="38.25" x14ac:dyDescent="0.25">
      <c r="A18" s="29" t="s">
        <v>134</v>
      </c>
      <c r="B18" s="82" t="s">
        <v>203</v>
      </c>
      <c r="C18" s="100">
        <v>1</v>
      </c>
      <c r="D18" s="115">
        <f>AOP_PEP!D14</f>
        <v>590600</v>
      </c>
      <c r="E18" s="134">
        <v>590600</v>
      </c>
      <c r="F18" s="79">
        <v>1</v>
      </c>
      <c r="G18" s="79">
        <f>L18+R18+U18</f>
        <v>126557.14285714284</v>
      </c>
      <c r="H18" s="79"/>
      <c r="I18" s="79"/>
      <c r="J18" s="79"/>
      <c r="K18" s="79"/>
      <c r="L18" s="79">
        <f>D18/14</f>
        <v>42185.714285714283</v>
      </c>
      <c r="M18" s="79"/>
      <c r="N18" s="79"/>
      <c r="O18" s="79"/>
      <c r="P18" s="79"/>
      <c r="Q18" s="79"/>
      <c r="R18" s="79">
        <f>(D18/14)*2</f>
        <v>84371.428571428565</v>
      </c>
      <c r="S18" s="79"/>
      <c r="T18" s="80"/>
      <c r="U18" s="79"/>
      <c r="V18" s="79"/>
      <c r="W18" s="79"/>
      <c r="X18" s="79"/>
      <c r="Y18" s="79"/>
      <c r="Z18" s="79"/>
      <c r="AA18" s="79">
        <f>(D18/14)*3</f>
        <v>126557.14285714284</v>
      </c>
      <c r="AB18" s="79"/>
      <c r="AC18" s="79"/>
      <c r="AD18" s="79"/>
      <c r="AE18" s="79"/>
      <c r="AF18" s="79"/>
      <c r="AG18" s="79"/>
      <c r="AH18" s="81">
        <v>1</v>
      </c>
      <c r="AI18" s="80">
        <f>AA18+V18</f>
        <v>126557.14285714284</v>
      </c>
      <c r="AJ18" s="80"/>
      <c r="AK18" s="80"/>
      <c r="AL18" s="80">
        <f>(D18/14)*8</f>
        <v>337485.71428571426</v>
      </c>
      <c r="AM18" s="80"/>
      <c r="AN18" s="80"/>
      <c r="AO18" s="80"/>
      <c r="AP18" s="80"/>
      <c r="AQ18" s="80"/>
      <c r="AR18" s="80"/>
      <c r="AS18" s="80"/>
      <c r="AT18" s="80"/>
      <c r="AU18" s="80"/>
      <c r="AV18" s="81">
        <v>1</v>
      </c>
      <c r="AW18" s="80">
        <f>AL18</f>
        <v>337485.71428571426</v>
      </c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1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1">
        <v>0</v>
      </c>
      <c r="BY18" s="80">
        <v>0</v>
      </c>
      <c r="BZ18" s="71"/>
    </row>
    <row r="19" spans="1:78" ht="25.5" x14ac:dyDescent="0.25">
      <c r="A19" s="29" t="s">
        <v>68</v>
      </c>
      <c r="B19" s="82" t="s">
        <v>138</v>
      </c>
      <c r="C19" s="100">
        <v>1</v>
      </c>
      <c r="D19" s="115">
        <f>AOP_PEP!D15</f>
        <v>45400</v>
      </c>
      <c r="E19" s="134">
        <v>45400</v>
      </c>
      <c r="F19" s="79">
        <v>1</v>
      </c>
      <c r="G19" s="79">
        <f>L19+Q19+U19</f>
        <v>22700</v>
      </c>
      <c r="H19" s="79"/>
      <c r="I19" s="79"/>
      <c r="J19" s="79"/>
      <c r="K19" s="79"/>
      <c r="L19" s="79">
        <f>D19/4</f>
        <v>11350</v>
      </c>
      <c r="M19" s="79"/>
      <c r="N19" s="79"/>
      <c r="O19" s="79"/>
      <c r="P19" s="79"/>
      <c r="Q19" s="79">
        <f>D19/4</f>
        <v>11350</v>
      </c>
      <c r="R19" s="79"/>
      <c r="S19" s="79"/>
      <c r="T19" s="80"/>
      <c r="U19" s="79"/>
      <c r="V19" s="79"/>
      <c r="W19" s="79"/>
      <c r="X19" s="79"/>
      <c r="Y19" s="79"/>
      <c r="Z19" s="79"/>
      <c r="AA19" s="79">
        <f>(D19/4)*2</f>
        <v>22700</v>
      </c>
      <c r="AB19" s="79"/>
      <c r="AC19" s="79"/>
      <c r="AD19" s="79"/>
      <c r="AE19" s="79"/>
      <c r="AF19" s="79"/>
      <c r="AG19" s="79"/>
      <c r="AH19" s="81">
        <v>1</v>
      </c>
      <c r="AI19" s="80">
        <f>AA19+V19</f>
        <v>22700</v>
      </c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1">
        <v>1</v>
      </c>
      <c r="AW19" s="80">
        <f>AJ19</f>
        <v>0</v>
      </c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1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1">
        <v>0</v>
      </c>
      <c r="BY19" s="80">
        <v>0</v>
      </c>
      <c r="BZ19" s="71"/>
    </row>
    <row r="20" spans="1:78" ht="60" customHeight="1" x14ac:dyDescent="0.25">
      <c r="A20" s="35" t="str">
        <f>AOP_PEP!C16</f>
        <v xml:space="preserve">Technical Specialist Consultant - Surveillance (28 months) </v>
      </c>
      <c r="B20" s="82" t="s">
        <v>201</v>
      </c>
      <c r="C20" s="100">
        <v>1</v>
      </c>
      <c r="D20" s="116">
        <f>AOP_PEP!D16</f>
        <v>170000</v>
      </c>
      <c r="E20" s="134">
        <v>170000</v>
      </c>
      <c r="F20" s="79">
        <v>1</v>
      </c>
      <c r="G20" s="79">
        <f>T20+U20</f>
        <v>12142.857142857143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>
        <f>E20/28</f>
        <v>6071.4285714285716</v>
      </c>
      <c r="U20" s="79">
        <v>6071.4285714285716</v>
      </c>
      <c r="V20" s="79">
        <v>6071.4285714285716</v>
      </c>
      <c r="W20" s="79">
        <v>6071.4285714285716</v>
      </c>
      <c r="X20" s="79">
        <v>6071.4285714285716</v>
      </c>
      <c r="Y20" s="79">
        <v>6071.4285714285716</v>
      </c>
      <c r="Z20" s="79">
        <v>6071.4285714285716</v>
      </c>
      <c r="AA20" s="79">
        <v>6071.4285714285716</v>
      </c>
      <c r="AB20" s="79">
        <v>6071.4285714285716</v>
      </c>
      <c r="AC20" s="79">
        <v>6071.4285714285716</v>
      </c>
      <c r="AD20" s="79">
        <v>6071.4285714285716</v>
      </c>
      <c r="AE20" s="79">
        <v>6071.4285714285716</v>
      </c>
      <c r="AF20" s="79">
        <v>6071.4285714285716</v>
      </c>
      <c r="AG20" s="79">
        <v>6071.4285714285716</v>
      </c>
      <c r="AH20" s="81">
        <v>1</v>
      </c>
      <c r="AI20" s="80">
        <f>AG20+AF20+AE20+AD20+AC20+AB20+AA20+Z20+Y20+X20+W20+V20</f>
        <v>72857.142857142855</v>
      </c>
      <c r="AJ20" s="80">
        <v>6071.4285714285716</v>
      </c>
      <c r="AK20" s="80">
        <v>6071.4285714285716</v>
      </c>
      <c r="AL20" s="80">
        <v>6071.4285714285716</v>
      </c>
      <c r="AM20" s="80">
        <v>6071.4285714285716</v>
      </c>
      <c r="AN20" s="80">
        <v>6071.4285714285716</v>
      </c>
      <c r="AO20" s="80">
        <v>6071.4285714285716</v>
      </c>
      <c r="AP20" s="80">
        <v>6071.4285714285716</v>
      </c>
      <c r="AQ20" s="80">
        <v>6071.4285714285716</v>
      </c>
      <c r="AR20" s="80">
        <v>6071.4285714285716</v>
      </c>
      <c r="AS20" s="80">
        <v>6071.4285714285716</v>
      </c>
      <c r="AT20" s="80">
        <v>6071.4285714285716</v>
      </c>
      <c r="AU20" s="80">
        <v>6071.4285714285697</v>
      </c>
      <c r="AV20" s="81">
        <v>1</v>
      </c>
      <c r="AW20" s="80">
        <f>AU20+AT20+AS20+AR20+AQ20+AP20+AO20+AN20+AM20+AL20+AK20+AJ20</f>
        <v>72857.142857142855</v>
      </c>
      <c r="AX20" s="80">
        <v>6071.4285714285716</v>
      </c>
      <c r="AY20" s="80">
        <v>6071.4285714285716</v>
      </c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1"/>
      <c r="BK20" s="80">
        <f>AY20+AX20</f>
        <v>12142.857142857143</v>
      </c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1">
        <v>0</v>
      </c>
      <c r="BY20" s="80">
        <v>0</v>
      </c>
      <c r="BZ20" s="71"/>
    </row>
    <row r="21" spans="1:78" ht="51" x14ac:dyDescent="0.25">
      <c r="A21" s="74" t="s">
        <v>317</v>
      </c>
      <c r="B21" s="74"/>
      <c r="C21" s="101"/>
      <c r="D21" s="75"/>
      <c r="E21" s="109">
        <f>SUM(E10:E20)</f>
        <v>7486062</v>
      </c>
      <c r="F21" s="76"/>
      <c r="G21" s="76">
        <f>SUM(G10:G20)</f>
        <v>869040.66666666674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>
        <f>SUM(AI10:AI12)+AI13+AI14+AI15+AI16+AI17+AI18+AI19+AI20</f>
        <v>1735467.8095238095</v>
      </c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>
        <f>SUM(AW10:AW12)+AW13+AW14+AW15+AW16+AW17+AW18+AW19+AW20</f>
        <v>3259410.666666666</v>
      </c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>
        <f>BK10+BK11+BK12+BK13+BK14+BK15+BK16+BK17+BK18+BK19+BK20</f>
        <v>1585000</v>
      </c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>
        <f>BY10+BY11+BY12+BY13+BY14+BY15+BY16+BY17+BY18+BY19+BY20</f>
        <v>37142.857142857145</v>
      </c>
      <c r="BZ21" s="83">
        <f>SUM(G21+AI21+AW21+BK21+BY21)</f>
        <v>7486061.9999999991</v>
      </c>
    </row>
    <row r="22" spans="1:78" ht="74.25" customHeight="1" x14ac:dyDescent="0.25">
      <c r="A22" s="35" t="s">
        <v>268</v>
      </c>
      <c r="B22" s="82" t="s">
        <v>206</v>
      </c>
      <c r="C22" s="100">
        <v>1</v>
      </c>
      <c r="D22" s="116">
        <f>AOP_PEP!D18</f>
        <v>2000000</v>
      </c>
      <c r="E22" s="108">
        <f>C22*D22</f>
        <v>2000000</v>
      </c>
      <c r="F22" s="79">
        <v>1</v>
      </c>
      <c r="G22" s="79">
        <f>T22</f>
        <v>666666.66666666663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>
        <f>E22/3</f>
        <v>666666.66666666663</v>
      </c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>
        <f>E22/3</f>
        <v>666666.66666666663</v>
      </c>
      <c r="AF22" s="79"/>
      <c r="AG22" s="79"/>
      <c r="AH22" s="81">
        <v>1</v>
      </c>
      <c r="AI22" s="80">
        <f>AE22</f>
        <v>666666.66666666663</v>
      </c>
      <c r="AJ22" s="80"/>
      <c r="AK22" s="80"/>
      <c r="AL22" s="80"/>
      <c r="AM22" s="80"/>
      <c r="AN22" s="80"/>
      <c r="AO22" s="80"/>
      <c r="AP22" s="80">
        <f>E22/3</f>
        <v>666666.66666666663</v>
      </c>
      <c r="AQ22" s="80"/>
      <c r="AR22" s="80"/>
      <c r="AS22" s="80"/>
      <c r="AT22" s="80"/>
      <c r="AU22" s="80"/>
      <c r="AV22" s="81">
        <v>1</v>
      </c>
      <c r="AW22" s="80">
        <f>AP22</f>
        <v>666666.66666666663</v>
      </c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1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1">
        <v>0</v>
      </c>
      <c r="BY22" s="80">
        <v>0</v>
      </c>
      <c r="BZ22" s="71"/>
    </row>
    <row r="23" spans="1:78" ht="25.5" x14ac:dyDescent="0.25">
      <c r="A23" s="35" t="s">
        <v>111</v>
      </c>
      <c r="B23" s="82" t="s">
        <v>207</v>
      </c>
      <c r="C23" s="100">
        <v>1</v>
      </c>
      <c r="D23" s="116">
        <f>AOP_PEP!D19</f>
        <v>600000</v>
      </c>
      <c r="E23" s="108">
        <f t="shared" ref="E23:E24" si="1">C23*D23</f>
        <v>600000</v>
      </c>
      <c r="F23" s="79">
        <v>1</v>
      </c>
      <c r="G23" s="79">
        <f>T23</f>
        <v>200000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>
        <f>D23/3</f>
        <v>200000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>
        <f>E23/3</f>
        <v>200000</v>
      </c>
      <c r="AF23" s="79"/>
      <c r="AG23" s="79"/>
      <c r="AH23" s="81">
        <v>1</v>
      </c>
      <c r="AI23" s="80">
        <f>AE23</f>
        <v>200000</v>
      </c>
      <c r="AJ23" s="80"/>
      <c r="AK23" s="80"/>
      <c r="AL23" s="80"/>
      <c r="AM23" s="80"/>
      <c r="AN23" s="80"/>
      <c r="AO23" s="80"/>
      <c r="AP23" s="80">
        <f>D23/3</f>
        <v>200000</v>
      </c>
      <c r="AQ23" s="80"/>
      <c r="AR23" s="80"/>
      <c r="AS23" s="80"/>
      <c r="AT23" s="80"/>
      <c r="AU23" s="80"/>
      <c r="AV23" s="81">
        <v>1</v>
      </c>
      <c r="AW23" s="80">
        <f>AP23</f>
        <v>200000</v>
      </c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1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1">
        <v>1</v>
      </c>
      <c r="BY23" s="80">
        <v>1</v>
      </c>
      <c r="BZ23" s="71"/>
    </row>
    <row r="24" spans="1:78" ht="38.25" x14ac:dyDescent="0.25">
      <c r="A24" s="35" t="s">
        <v>112</v>
      </c>
      <c r="B24" s="82" t="s">
        <v>208</v>
      </c>
      <c r="C24" s="100">
        <v>1</v>
      </c>
      <c r="D24" s="116">
        <f>AOP_PEP!D20</f>
        <v>250000</v>
      </c>
      <c r="E24" s="108">
        <f t="shared" si="1"/>
        <v>250000</v>
      </c>
      <c r="F24" s="79">
        <v>1</v>
      </c>
      <c r="G24" s="79">
        <f>T24</f>
        <v>83333.333333333328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>
        <f>E24/3</f>
        <v>83333.333333333328</v>
      </c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>
        <f>E24/3</f>
        <v>83333.333333333328</v>
      </c>
      <c r="AF24" s="79"/>
      <c r="AG24" s="79"/>
      <c r="AH24" s="81">
        <v>1</v>
      </c>
      <c r="AI24" s="80">
        <f>AE24</f>
        <v>83333.333333333328</v>
      </c>
      <c r="AJ24" s="80"/>
      <c r="AK24" s="80"/>
      <c r="AL24" s="80"/>
      <c r="AM24" s="80"/>
      <c r="AN24" s="80"/>
      <c r="AO24" s="80"/>
      <c r="AP24" s="80">
        <f>D24/3</f>
        <v>83333.333333333328</v>
      </c>
      <c r="AQ24" s="80"/>
      <c r="AR24" s="80"/>
      <c r="AS24" s="80"/>
      <c r="AT24" s="80"/>
      <c r="AU24" s="80"/>
      <c r="AV24" s="81">
        <v>1</v>
      </c>
      <c r="AW24" s="80">
        <f>AP24</f>
        <v>83333.333333333328</v>
      </c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1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1">
        <v>2</v>
      </c>
      <c r="BY24" s="80">
        <v>2</v>
      </c>
      <c r="BZ24" s="71"/>
    </row>
    <row r="25" spans="1:78" ht="25.5" x14ac:dyDescent="0.25">
      <c r="A25" s="29" t="s">
        <v>135</v>
      </c>
      <c r="B25" s="82" t="s">
        <v>139</v>
      </c>
      <c r="C25" s="100">
        <v>1</v>
      </c>
      <c r="D25" s="78">
        <f>AOP_PEP!D21</f>
        <v>60000</v>
      </c>
      <c r="E25" s="110">
        <f t="shared" ref="E25:E27" si="2">C25*D25</f>
        <v>60000</v>
      </c>
      <c r="F25" s="79">
        <v>1</v>
      </c>
      <c r="G25" s="79">
        <f>O25</f>
        <v>30000</v>
      </c>
      <c r="H25" s="79"/>
      <c r="I25" s="79"/>
      <c r="J25" s="79"/>
      <c r="K25" s="79"/>
      <c r="L25" s="79"/>
      <c r="M25" s="79"/>
      <c r="N25" s="79"/>
      <c r="O25" s="79">
        <f>D25/2</f>
        <v>30000</v>
      </c>
      <c r="P25" s="79"/>
      <c r="Q25" s="79"/>
      <c r="S25" s="79"/>
      <c r="U25" s="79"/>
      <c r="V25" s="79">
        <f>D25/2</f>
        <v>30000</v>
      </c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81">
        <v>1</v>
      </c>
      <c r="AI25" s="80">
        <f>V25</f>
        <v>30000</v>
      </c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1">
        <v>1</v>
      </c>
      <c r="AW25" s="80">
        <f>AJ25</f>
        <v>0</v>
      </c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1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1">
        <v>3</v>
      </c>
      <c r="BY25" s="80">
        <v>3</v>
      </c>
      <c r="BZ25" s="71"/>
    </row>
    <row r="26" spans="1:78" ht="140.25" x14ac:dyDescent="0.25">
      <c r="A26" s="35" t="s">
        <v>136</v>
      </c>
      <c r="B26" s="82" t="s">
        <v>210</v>
      </c>
      <c r="C26" s="100">
        <v>1</v>
      </c>
      <c r="D26" s="117">
        <f>AOP_PEP!D22</f>
        <v>1200000</v>
      </c>
      <c r="E26" s="108">
        <f>C26*D26</f>
        <v>1200000</v>
      </c>
      <c r="F26" s="79">
        <v>1</v>
      </c>
      <c r="G26" s="79">
        <f>U26</f>
        <v>0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79"/>
      <c r="V26" s="79">
        <f>E26/4</f>
        <v>300000</v>
      </c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81">
        <v>1</v>
      </c>
      <c r="AI26" s="80">
        <f>V26</f>
        <v>300000</v>
      </c>
      <c r="AJ26" s="80">
        <f>E26/4</f>
        <v>300000</v>
      </c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1">
        <v>1</v>
      </c>
      <c r="AW26" s="80">
        <f>AJ26</f>
        <v>300000</v>
      </c>
      <c r="AX26" s="80">
        <f>E26/4</f>
        <v>300000</v>
      </c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>
        <f>AX26</f>
        <v>300000</v>
      </c>
      <c r="BJ26" s="81"/>
      <c r="BK26" s="80">
        <f>BI26</f>
        <v>300000</v>
      </c>
      <c r="BL26" s="80">
        <f>D26/4</f>
        <v>300000</v>
      </c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1"/>
      <c r="BY26" s="86">
        <f>BL26</f>
        <v>300000</v>
      </c>
      <c r="BZ26" s="71"/>
    </row>
    <row r="27" spans="1:78" ht="25.5" x14ac:dyDescent="0.25">
      <c r="A27" s="29" t="str">
        <f>AOP_PEP!C23</f>
        <v>Technical Specialist Consultant - Connectivity (36 months)</v>
      </c>
      <c r="B27" s="82" t="s">
        <v>139</v>
      </c>
      <c r="C27" s="100">
        <v>1</v>
      </c>
      <c r="D27" s="78">
        <f>AOP_PEP!D23</f>
        <v>190000</v>
      </c>
      <c r="E27" s="110">
        <f t="shared" si="2"/>
        <v>190000</v>
      </c>
      <c r="F27" s="79">
        <v>1</v>
      </c>
      <c r="G27" s="79">
        <f>L27+M27+N27+O27+P27+Q27+R27+S27+T27+U27</f>
        <v>52777.777777777781</v>
      </c>
      <c r="H27" s="79"/>
      <c r="I27" s="79"/>
      <c r="J27" s="79"/>
      <c r="K27" s="79"/>
      <c r="L27" s="79">
        <f>D27/36</f>
        <v>5277.7777777777774</v>
      </c>
      <c r="M27" s="79">
        <v>5277.7777777777774</v>
      </c>
      <c r="N27" s="79">
        <v>5277.7777777777774</v>
      </c>
      <c r="O27" s="79">
        <v>5277.7777777777774</v>
      </c>
      <c r="P27" s="79">
        <v>5277.7777777777774</v>
      </c>
      <c r="Q27" s="79">
        <v>5277.7777777777774</v>
      </c>
      <c r="R27" s="79">
        <v>5277.7777777777774</v>
      </c>
      <c r="S27" s="79">
        <v>5277.7777777777774</v>
      </c>
      <c r="T27" s="80">
        <v>5277.7777777777774</v>
      </c>
      <c r="U27" s="79">
        <v>5277.7777777777774</v>
      </c>
      <c r="V27" s="79">
        <v>5277.7777777777774</v>
      </c>
      <c r="W27" s="79">
        <v>5277.7777777777774</v>
      </c>
      <c r="X27" s="79">
        <v>5277.7777777777774</v>
      </c>
      <c r="Y27" s="79">
        <v>5277.7777777777774</v>
      </c>
      <c r="Z27" s="79">
        <v>5277.7777777777774</v>
      </c>
      <c r="AA27" s="79">
        <v>5277.7777777777774</v>
      </c>
      <c r="AB27" s="79">
        <v>5277.7777777777774</v>
      </c>
      <c r="AC27" s="79">
        <v>5277.7777777777774</v>
      </c>
      <c r="AD27" s="79">
        <v>5277.7777777777774</v>
      </c>
      <c r="AE27" s="79">
        <v>5277.7777777777774</v>
      </c>
      <c r="AF27" s="79">
        <v>5277.7777777777774</v>
      </c>
      <c r="AG27" s="79">
        <v>5277.7777777777774</v>
      </c>
      <c r="AH27" s="81">
        <v>1</v>
      </c>
      <c r="AI27" s="80">
        <f>AG27+AF27+AE27+AD27+AC27+AB27+AA27++Z27+Y27+X27+W27+V27</f>
        <v>63333.333333333343</v>
      </c>
      <c r="AJ27" s="80">
        <v>5277.7777777777774</v>
      </c>
      <c r="AK27" s="80">
        <v>5277.7777777777774</v>
      </c>
      <c r="AL27" s="80">
        <v>5277.7777777777774</v>
      </c>
      <c r="AM27" s="80">
        <v>5277.7777777777774</v>
      </c>
      <c r="AN27" s="80">
        <v>5277.7777777777774</v>
      </c>
      <c r="AO27" s="80">
        <v>5277.7777777777774</v>
      </c>
      <c r="AP27" s="80">
        <v>5277.7777777777774</v>
      </c>
      <c r="AQ27" s="80">
        <v>5277.7777777777774</v>
      </c>
      <c r="AR27" s="80">
        <v>5277.7777777777774</v>
      </c>
      <c r="AS27" s="80">
        <v>5277.7777777777774</v>
      </c>
      <c r="AT27" s="80">
        <v>5277.7777777777774</v>
      </c>
      <c r="AU27" s="80">
        <v>5277.7777777777774</v>
      </c>
      <c r="AV27" s="81">
        <v>1</v>
      </c>
      <c r="AW27" s="80">
        <f>AU27+AT27+AS27+AR27+AQ27+AP27+AO27+AN27+AM27+AL27+AK27+AJ27</f>
        <v>63333.333333333343</v>
      </c>
      <c r="AX27" s="80">
        <v>5277.7777777777774</v>
      </c>
      <c r="AY27" s="80">
        <v>5277.7777777777774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1">
        <v>1</v>
      </c>
      <c r="BK27" s="80">
        <f>AY27+AX27</f>
        <v>10555.555555555555</v>
      </c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1">
        <v>0</v>
      </c>
      <c r="BY27" s="80">
        <v>0</v>
      </c>
      <c r="BZ27" s="71"/>
    </row>
    <row r="28" spans="1:78" ht="38.25" x14ac:dyDescent="0.25">
      <c r="A28" s="74" t="s">
        <v>282</v>
      </c>
      <c r="B28" s="101"/>
      <c r="C28" s="101"/>
      <c r="D28" s="75"/>
      <c r="E28" s="109">
        <f>SUM(E22:E27)</f>
        <v>4300000</v>
      </c>
      <c r="F28" s="76"/>
      <c r="G28" s="76">
        <f>SUM(G22:G27)</f>
        <v>1032777.7777777778</v>
      </c>
      <c r="H28" s="76"/>
      <c r="I28" s="76"/>
      <c r="J28" s="76"/>
      <c r="K28" s="76"/>
      <c r="L28" s="76">
        <f t="shared" ref="L28:U28" si="3">SUM(L15:L27)</f>
        <v>241869.75873015873</v>
      </c>
      <c r="M28" s="76">
        <f t="shared" si="3"/>
        <v>5277.7777777777774</v>
      </c>
      <c r="N28" s="76">
        <f t="shared" si="3"/>
        <v>5277.7777777777774</v>
      </c>
      <c r="O28" s="76">
        <f t="shared" si="3"/>
        <v>35277.777777777781</v>
      </c>
      <c r="P28" s="76">
        <f t="shared" si="3"/>
        <v>5277.7777777777774</v>
      </c>
      <c r="Q28" s="76">
        <f t="shared" si="3"/>
        <v>266627.77777777775</v>
      </c>
      <c r="R28" s="76">
        <f t="shared" si="3"/>
        <v>364233.60634920635</v>
      </c>
      <c r="S28" s="76">
        <f t="shared" si="3"/>
        <v>5277.7777777777774</v>
      </c>
      <c r="T28" s="76">
        <f t="shared" si="3"/>
        <v>961349.20634920627</v>
      </c>
      <c r="U28" s="76">
        <f t="shared" si="3"/>
        <v>11349.20634920635</v>
      </c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>
        <f>SUM(AI22:AI27)</f>
        <v>1343333.3333333333</v>
      </c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>
        <f>SUM(AW22:AW27)</f>
        <v>1313333.3333333333</v>
      </c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>
        <f>SUM(BJ15:BJ27)</f>
        <v>1</v>
      </c>
      <c r="BK28" s="76">
        <f>SUM(BK22:BK27)</f>
        <v>310555.55555555556</v>
      </c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>
        <f>BY26</f>
        <v>300000</v>
      </c>
      <c r="BZ28" s="83">
        <f>SUM(G28+AI28+AW28+BK28+BY28)</f>
        <v>4300000</v>
      </c>
    </row>
    <row r="29" spans="1:78" ht="72" customHeight="1" x14ac:dyDescent="0.25">
      <c r="A29" s="35" t="s">
        <v>91</v>
      </c>
      <c r="B29" s="82" t="s">
        <v>209</v>
      </c>
      <c r="C29" s="100">
        <v>1</v>
      </c>
      <c r="D29" s="117">
        <f>AOP_PEP!D25</f>
        <v>336296</v>
      </c>
      <c r="E29" s="108">
        <f>C29*D29</f>
        <v>336296</v>
      </c>
      <c r="F29" s="79">
        <v>1</v>
      </c>
      <c r="G29" s="79">
        <f>R29</f>
        <v>168148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>
        <f>E29/2</f>
        <v>168148</v>
      </c>
      <c r="S29" s="79"/>
      <c r="T29" s="80"/>
      <c r="U29" s="79"/>
      <c r="V29" s="79"/>
      <c r="W29" s="79"/>
      <c r="X29" s="79"/>
      <c r="Y29" s="79"/>
      <c r="Z29" s="79">
        <f>E29/2</f>
        <v>168148</v>
      </c>
      <c r="AA29" s="79"/>
      <c r="AB29" s="79"/>
      <c r="AC29" s="79"/>
      <c r="AD29" s="79"/>
      <c r="AE29" s="79"/>
      <c r="AF29" s="79"/>
      <c r="AG29" s="79"/>
      <c r="AH29" s="81">
        <v>1</v>
      </c>
      <c r="AI29" s="80">
        <f>Z29</f>
        <v>168148</v>
      </c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1">
        <v>1</v>
      </c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1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1"/>
      <c r="BY29" s="80"/>
      <c r="BZ29" s="71"/>
    </row>
    <row r="30" spans="1:78" ht="35.25" customHeight="1" x14ac:dyDescent="0.25">
      <c r="A30" s="35" t="str">
        <f>AOP_PEP!C26</f>
        <v xml:space="preserve">Technical Specialist Consultant - Open Data Initiative (11 months) </v>
      </c>
      <c r="B30" s="82" t="s">
        <v>139</v>
      </c>
      <c r="C30" s="100">
        <v>1</v>
      </c>
      <c r="D30" s="117">
        <f>AOP_PEP!D26</f>
        <v>54318</v>
      </c>
      <c r="E30" s="108">
        <f>C30*D30</f>
        <v>54318</v>
      </c>
      <c r="F30" s="79">
        <v>1</v>
      </c>
      <c r="G30" s="79">
        <f>R30+S30+T30+U30</f>
        <v>19752.073636363632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>
        <f>D30/11</f>
        <v>4938</v>
      </c>
      <c r="S30" s="79">
        <v>4938.0245454545448</v>
      </c>
      <c r="T30" s="80">
        <v>4938.0245454545448</v>
      </c>
      <c r="U30" s="79">
        <v>4938.0245454545448</v>
      </c>
      <c r="V30" s="79">
        <v>4938.0245454545448</v>
      </c>
      <c r="W30" s="79">
        <v>4938.0245454545448</v>
      </c>
      <c r="X30" s="79">
        <v>4938.0245454545448</v>
      </c>
      <c r="Y30" s="79">
        <v>4938.0245454545448</v>
      </c>
      <c r="Z30" s="79">
        <v>4938.0245454545448</v>
      </c>
      <c r="AA30" s="79">
        <v>4938.0245454545448</v>
      </c>
      <c r="AB30" s="79">
        <v>4938.0245454545448</v>
      </c>
      <c r="AC30" s="79"/>
      <c r="AD30" s="79"/>
      <c r="AE30" s="79"/>
      <c r="AF30" s="79"/>
      <c r="AG30" s="79"/>
      <c r="AH30" s="81">
        <v>1</v>
      </c>
      <c r="AI30" s="80">
        <f>AB30+AA30+Z30+Y30+X30+W30+V30</f>
        <v>34566.171818181814</v>
      </c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1">
        <v>1</v>
      </c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1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1"/>
      <c r="BY30" s="80"/>
      <c r="BZ30" s="71"/>
    </row>
    <row r="31" spans="1:78" ht="25.5" x14ac:dyDescent="0.25">
      <c r="A31" s="188" t="s">
        <v>283</v>
      </c>
      <c r="B31" s="136"/>
      <c r="C31" s="137"/>
      <c r="D31" s="138"/>
      <c r="E31" s="109">
        <f>SUM(E29:E30)</f>
        <v>390614</v>
      </c>
      <c r="F31" s="140"/>
      <c r="G31" s="140">
        <f>SUM(G29:G30)</f>
        <v>187900.07363636364</v>
      </c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77">
        <f>SUM(AI29:AI30)</f>
        <v>202714.17181818181</v>
      </c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0"/>
      <c r="AW31" s="141">
        <f>AW29+AW30</f>
        <v>0</v>
      </c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0"/>
      <c r="BK31" s="141">
        <f>BK29+BK30</f>
        <v>0</v>
      </c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0"/>
      <c r="BY31" s="141">
        <f>BY29+BY30</f>
        <v>0</v>
      </c>
      <c r="BZ31" s="144">
        <f>BY31+BK31+AW31+AI31+G31</f>
        <v>390614.24545454548</v>
      </c>
    </row>
    <row r="32" spans="1:78" x14ac:dyDescent="0.25">
      <c r="A32" s="135"/>
      <c r="B32" s="136"/>
      <c r="C32" s="137"/>
      <c r="D32" s="138"/>
      <c r="E32" s="139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1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0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0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0"/>
      <c r="BY32" s="141"/>
      <c r="BZ32" s="142"/>
    </row>
    <row r="33" spans="1:78" s="61" customFormat="1" x14ac:dyDescent="0.25">
      <c r="A33" s="74" t="s">
        <v>103</v>
      </c>
      <c r="B33" s="74"/>
      <c r="C33" s="101"/>
      <c r="D33" s="75"/>
      <c r="E33" s="111">
        <f>E28+E21+E31</f>
        <v>12176676</v>
      </c>
      <c r="F33" s="74"/>
      <c r="G33" s="76">
        <f>G31+G28+G21</f>
        <v>2089718.5180808082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7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7">
        <f>AI31+AI28+AI21</f>
        <v>3281515.3146753246</v>
      </c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4"/>
      <c r="AW33" s="77">
        <f>AW31+AW28+AW21</f>
        <v>4572743.9999999991</v>
      </c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4"/>
      <c r="BK33" s="77">
        <f>BK28+BK21+BK31</f>
        <v>1895555.5555555555</v>
      </c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4"/>
      <c r="BY33" s="87">
        <f>BY31+BY28+BY21</f>
        <v>337142.85714285716</v>
      </c>
      <c r="BZ33" s="83">
        <f>SUM(AI33+AW33+BK33+BY33)+G33</f>
        <v>12176676.245454544</v>
      </c>
    </row>
    <row r="34" spans="1:78" ht="15.75" customHeight="1" x14ac:dyDescent="0.25">
      <c r="A34" s="320" t="s">
        <v>318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0"/>
      <c r="BV34" s="320"/>
      <c r="BW34" s="320"/>
      <c r="BX34" s="320"/>
      <c r="BY34" s="320"/>
      <c r="BZ34" s="143"/>
    </row>
    <row r="35" spans="1:78" ht="51" x14ac:dyDescent="0.25">
      <c r="A35" s="35" t="s">
        <v>87</v>
      </c>
      <c r="B35" s="84" t="s">
        <v>212</v>
      </c>
      <c r="C35" s="100">
        <v>1</v>
      </c>
      <c r="D35" s="86">
        <f>AOP_PEP!D35</f>
        <v>500000</v>
      </c>
      <c r="E35" s="85">
        <f>D35*C35</f>
        <v>500000</v>
      </c>
      <c r="F35" s="85">
        <v>1</v>
      </c>
      <c r="G35" s="85">
        <f>U35</f>
        <v>0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0"/>
      <c r="U35" s="85"/>
      <c r="V35" s="85"/>
      <c r="W35" s="85"/>
      <c r="X35" s="85"/>
      <c r="Z35" s="85"/>
      <c r="AB35" s="85"/>
      <c r="AC35" s="85">
        <f>E35</f>
        <v>500000</v>
      </c>
      <c r="AD35" s="85"/>
      <c r="AE35" s="85"/>
      <c r="AF35" s="85"/>
      <c r="AG35" s="85"/>
      <c r="AH35" s="86"/>
      <c r="AI35" s="80">
        <f>AC35</f>
        <v>500000</v>
      </c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6">
        <v>1</v>
      </c>
      <c r="AW35" s="86">
        <f>AJ35</f>
        <v>0</v>
      </c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>
        <v>1</v>
      </c>
      <c r="BK35" s="86">
        <f>AX35</f>
        <v>0</v>
      </c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>
        <v>1</v>
      </c>
      <c r="BY35" s="86">
        <v>0</v>
      </c>
      <c r="BZ35" s="71"/>
    </row>
    <row r="36" spans="1:78" x14ac:dyDescent="0.25">
      <c r="A36" s="90" t="s">
        <v>71</v>
      </c>
      <c r="B36" s="84" t="s">
        <v>213</v>
      </c>
      <c r="C36" s="100">
        <v>1</v>
      </c>
      <c r="D36" s="86">
        <f>AOP_PEP!D36</f>
        <v>250000</v>
      </c>
      <c r="E36" s="85">
        <f t="shared" ref="E36:E39" si="4">D36*C36</f>
        <v>250000</v>
      </c>
      <c r="F36" s="85">
        <v>1</v>
      </c>
      <c r="G36" s="85">
        <f>U36</f>
        <v>0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0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6"/>
      <c r="AI36" s="80">
        <f>V36</f>
        <v>0</v>
      </c>
      <c r="AJ36" s="80">
        <f>E36</f>
        <v>250000</v>
      </c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6">
        <v>1</v>
      </c>
      <c r="AW36" s="86">
        <f>AJ36</f>
        <v>250000</v>
      </c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>
        <v>1</v>
      </c>
      <c r="BK36" s="86">
        <f>AX36</f>
        <v>0</v>
      </c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>
        <v>1</v>
      </c>
      <c r="BY36" s="86">
        <v>0</v>
      </c>
      <c r="BZ36" s="71"/>
    </row>
    <row r="37" spans="1:78" ht="25.5" x14ac:dyDescent="0.25">
      <c r="A37" s="35" t="s">
        <v>114</v>
      </c>
      <c r="B37" s="84" t="s">
        <v>214</v>
      </c>
      <c r="C37" s="100">
        <v>1</v>
      </c>
      <c r="D37" s="86">
        <f>AOP_PEP!D37</f>
        <v>50000</v>
      </c>
      <c r="E37" s="85">
        <f t="shared" si="4"/>
        <v>50000</v>
      </c>
      <c r="F37" s="85">
        <v>1</v>
      </c>
      <c r="G37" s="85">
        <f>U37</f>
        <v>0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0"/>
      <c r="U37" s="85"/>
      <c r="V37" s="85"/>
      <c r="W37" s="85"/>
      <c r="X37" s="85"/>
      <c r="Y37" s="85"/>
      <c r="Z37" s="85">
        <f>E37</f>
        <v>50000</v>
      </c>
      <c r="AA37" s="85"/>
      <c r="AB37" s="85"/>
      <c r="AC37" s="85"/>
      <c r="AD37" s="85"/>
      <c r="AE37" s="85"/>
      <c r="AF37" s="85"/>
      <c r="AG37" s="85"/>
      <c r="AH37" s="86"/>
      <c r="AI37" s="80">
        <f>Z37</f>
        <v>50000</v>
      </c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6">
        <v>1</v>
      </c>
      <c r="AW37" s="86">
        <f>AJ37</f>
        <v>0</v>
      </c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>
        <v>1</v>
      </c>
      <c r="BK37" s="86">
        <f>AX37</f>
        <v>0</v>
      </c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>
        <v>1</v>
      </c>
      <c r="BY37" s="86">
        <v>0</v>
      </c>
      <c r="BZ37" s="71"/>
    </row>
    <row r="38" spans="1:78" ht="25.5" x14ac:dyDescent="0.25">
      <c r="A38" s="35" t="s">
        <v>115</v>
      </c>
      <c r="B38" s="84" t="s">
        <v>215</v>
      </c>
      <c r="C38" s="100">
        <v>1</v>
      </c>
      <c r="D38" s="86">
        <f>AOP_PEP!D38</f>
        <v>350000</v>
      </c>
      <c r="E38" s="85">
        <f t="shared" si="4"/>
        <v>350000</v>
      </c>
      <c r="F38" s="85">
        <v>1</v>
      </c>
      <c r="G38" s="85">
        <f>U38</f>
        <v>0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0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6"/>
      <c r="AI38" s="80">
        <f>V38</f>
        <v>0</v>
      </c>
      <c r="AJ38" s="80"/>
      <c r="AK38" s="80"/>
      <c r="AL38" s="80">
        <f>D38</f>
        <v>350000</v>
      </c>
      <c r="AM38" s="80"/>
      <c r="AN38" s="80"/>
      <c r="AO38" s="80"/>
      <c r="AP38" s="80"/>
      <c r="AQ38" s="80"/>
      <c r="AR38" s="80"/>
      <c r="AS38" s="80"/>
      <c r="AT38" s="80"/>
      <c r="AU38" s="80"/>
      <c r="AV38" s="86">
        <v>1</v>
      </c>
      <c r="AW38" s="86">
        <f>AL38</f>
        <v>350000</v>
      </c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>
        <v>1</v>
      </c>
      <c r="BK38" s="86">
        <f>AX38</f>
        <v>0</v>
      </c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>
        <v>1</v>
      </c>
      <c r="BY38" s="86">
        <v>0</v>
      </c>
      <c r="BZ38" s="71"/>
    </row>
    <row r="39" spans="1:78" ht="38.25" x14ac:dyDescent="0.25">
      <c r="A39" s="35" t="str">
        <f>AOP_PEP!C39</f>
        <v xml:space="preserve">Technical Specialist Consultant - Case Management &amp; Digital Registries (60 months) </v>
      </c>
      <c r="B39" s="84" t="s">
        <v>216</v>
      </c>
      <c r="C39" s="100">
        <v>1</v>
      </c>
      <c r="D39" s="86">
        <f>AOP_PEP!D39</f>
        <v>360000</v>
      </c>
      <c r="E39" s="85">
        <f t="shared" si="4"/>
        <v>360000</v>
      </c>
      <c r="F39" s="85">
        <v>1</v>
      </c>
      <c r="G39" s="85">
        <f>M39+N39+O39+P39+Q39+R39+S39+T39+U39</f>
        <v>56842.105263157908</v>
      </c>
      <c r="H39" s="85"/>
      <c r="I39" s="85"/>
      <c r="J39" s="85"/>
      <c r="K39" s="85"/>
      <c r="L39" s="85"/>
      <c r="M39" s="85">
        <v>6315.7894736842109</v>
      </c>
      <c r="N39" s="85">
        <v>6315.7894736842109</v>
      </c>
      <c r="O39" s="85">
        <v>6315.7894736842109</v>
      </c>
      <c r="P39" s="85">
        <v>6315.7894736842109</v>
      </c>
      <c r="Q39" s="85">
        <v>6315.7894736842109</v>
      </c>
      <c r="R39" s="85">
        <v>6315.7894736842109</v>
      </c>
      <c r="S39" s="85">
        <v>6315.7894736842109</v>
      </c>
      <c r="T39" s="80">
        <v>6315.7894736842109</v>
      </c>
      <c r="U39" s="85">
        <v>6315.7894736842109</v>
      </c>
      <c r="V39" s="85">
        <v>6315.7894736842109</v>
      </c>
      <c r="W39" s="85">
        <v>6315.7894736842109</v>
      </c>
      <c r="X39" s="85">
        <v>6315.7894736842109</v>
      </c>
      <c r="Y39" s="85">
        <v>6315.7894736842109</v>
      </c>
      <c r="Z39" s="85">
        <v>6315.7894736842109</v>
      </c>
      <c r="AA39" s="85">
        <v>6315.7894736842109</v>
      </c>
      <c r="AB39" s="85">
        <v>6315.7894736842109</v>
      </c>
      <c r="AC39" s="85">
        <v>6315.7894736842109</v>
      </c>
      <c r="AD39" s="85">
        <v>6315.7894736842109</v>
      </c>
      <c r="AE39" s="85">
        <v>6315.7894736842109</v>
      </c>
      <c r="AF39" s="85">
        <v>6315.7894736842109</v>
      </c>
      <c r="AG39" s="85">
        <v>6315.7894736842109</v>
      </c>
      <c r="AH39" s="86"/>
      <c r="AI39" s="80">
        <f>AG39+AF39+AE39+AD39+AC39+AB39+AA39+Z39+Y39+X39+W39+V39</f>
        <v>75789.473684210549</v>
      </c>
      <c r="AJ39" s="80">
        <v>6315.7894736842109</v>
      </c>
      <c r="AK39" s="80">
        <v>6315.7894736842109</v>
      </c>
      <c r="AL39" s="80">
        <v>6315.7894736842109</v>
      </c>
      <c r="AM39" s="80">
        <v>6315.7894736842109</v>
      </c>
      <c r="AN39" s="80">
        <v>6315.7894736842109</v>
      </c>
      <c r="AO39" s="80">
        <v>6315.7894736842109</v>
      </c>
      <c r="AP39" s="80">
        <v>6315.7894736842109</v>
      </c>
      <c r="AQ39" s="80">
        <v>6315.7894736842109</v>
      </c>
      <c r="AR39" s="80">
        <v>6315.7894736842109</v>
      </c>
      <c r="AS39" s="80">
        <v>6315.7894736842109</v>
      </c>
      <c r="AT39" s="80">
        <v>6315.7894736842109</v>
      </c>
      <c r="AU39" s="80">
        <v>6315.7894736842109</v>
      </c>
      <c r="AV39" s="86">
        <v>1</v>
      </c>
      <c r="AW39" s="86">
        <f>AU39+AT39+AS39+AR39+AQ39+AP39+AO39+AN39+AM39+AL39+AK39+AJ39</f>
        <v>75789.473684210549</v>
      </c>
      <c r="AX39" s="86">
        <v>6315.7894736842109</v>
      </c>
      <c r="AY39" s="86">
        <v>6315.7894736842109</v>
      </c>
      <c r="AZ39" s="86">
        <v>6315.7894736842109</v>
      </c>
      <c r="BA39" s="86">
        <v>6315.7894736842109</v>
      </c>
      <c r="BB39" s="86">
        <v>6315.7894736842109</v>
      </c>
      <c r="BC39" s="86">
        <v>6315.7894736842109</v>
      </c>
      <c r="BD39" s="86">
        <v>6315.7894736842109</v>
      </c>
      <c r="BE39" s="86">
        <v>6315.7894736842109</v>
      </c>
      <c r="BF39" s="86">
        <v>6315.7894736842109</v>
      </c>
      <c r="BG39" s="86">
        <v>6315.7894736842109</v>
      </c>
      <c r="BH39" s="86">
        <v>6315.7894736842109</v>
      </c>
      <c r="BI39" s="86">
        <v>6315.7894736842109</v>
      </c>
      <c r="BJ39" s="86">
        <v>1</v>
      </c>
      <c r="BK39" s="86">
        <f>BI39+BH39+BG39+BF39+BE39+BD39+BC39+BB39+BA39+AZ39+AY39+AX39</f>
        <v>75789.473684210549</v>
      </c>
      <c r="BL39" s="88">
        <v>6315.7894736842109</v>
      </c>
      <c r="BM39" s="88">
        <v>6315.7894736842109</v>
      </c>
      <c r="BN39" s="88">
        <v>6315.7894736842109</v>
      </c>
      <c r="BO39" s="88">
        <v>6315.7894736842109</v>
      </c>
      <c r="BP39" s="88">
        <v>6315.7894736842109</v>
      </c>
      <c r="BQ39" s="88">
        <v>6315.7894736842109</v>
      </c>
      <c r="BR39" s="88">
        <v>6315.7894736842109</v>
      </c>
      <c r="BS39" s="88">
        <v>6315.7894736842109</v>
      </c>
      <c r="BT39" s="88">
        <v>6315.7894736842109</v>
      </c>
      <c r="BU39" s="88">
        <v>6315.7894736842109</v>
      </c>
      <c r="BV39" s="88">
        <v>6315.7894736842109</v>
      </c>
      <c r="BW39" s="88">
        <f>E39/57</f>
        <v>6315.7894736842109</v>
      </c>
      <c r="BX39" s="86">
        <v>1</v>
      </c>
      <c r="BY39" s="86">
        <f>BW39+BV39+BU39+BT39+BS39+BR39+BQ39+BP39+BO39+BN39+BM39+BL39</f>
        <v>75789.473684210549</v>
      </c>
      <c r="BZ39" s="71"/>
    </row>
    <row r="40" spans="1:78" ht="25.5" x14ac:dyDescent="0.25">
      <c r="A40" s="87" t="s">
        <v>323</v>
      </c>
      <c r="B40" s="87"/>
      <c r="C40" s="103"/>
      <c r="D40" s="77"/>
      <c r="E40" s="87">
        <f>SUM(E35:E39)</f>
        <v>1510000</v>
      </c>
      <c r="F40" s="87"/>
      <c r="G40" s="87">
        <f>SUM(G35:G39)</f>
        <v>56842.105263157908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7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77">
        <f>SUM(AI35:AI39)</f>
        <v>625789.47368421056</v>
      </c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87"/>
      <c r="AW40" s="87">
        <f>SUM(AW35:AW39)</f>
        <v>675789.47368421056</v>
      </c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>
        <f>SUM(BK35:BK39)</f>
        <v>75789.473684210549</v>
      </c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>
        <f>SUM(BY35:BY39)</f>
        <v>75789.473684210549</v>
      </c>
      <c r="BZ40" s="71">
        <f>SUM(G40:BY40)</f>
        <v>1510000</v>
      </c>
    </row>
    <row r="41" spans="1:78" x14ac:dyDescent="0.25">
      <c r="A41" s="90" t="s">
        <v>88</v>
      </c>
      <c r="B41" s="84" t="s">
        <v>217</v>
      </c>
      <c r="C41" s="100">
        <v>1</v>
      </c>
      <c r="D41" s="86">
        <f>AOP_PEP!D41</f>
        <v>74981</v>
      </c>
      <c r="E41" s="85">
        <f>C41*D41</f>
        <v>74981</v>
      </c>
      <c r="F41" s="85">
        <v>1</v>
      </c>
      <c r="G41" s="85">
        <f>R41+U41</f>
        <v>74981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>
        <f>D41</f>
        <v>74981</v>
      </c>
      <c r="S41" s="85"/>
      <c r="T41" s="80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6"/>
      <c r="AI41" s="86">
        <f>V41</f>
        <v>0</v>
      </c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>
        <f>AJ41</f>
        <v>0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>
        <v>1</v>
      </c>
      <c r="BK41" s="86">
        <f>AX41</f>
        <v>0</v>
      </c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>
        <v>0</v>
      </c>
      <c r="BZ41" s="71"/>
    </row>
    <row r="42" spans="1:78" x14ac:dyDescent="0.25">
      <c r="A42" s="35" t="s">
        <v>89</v>
      </c>
      <c r="B42" s="84" t="s">
        <v>213</v>
      </c>
      <c r="C42" s="100">
        <v>1</v>
      </c>
      <c r="D42" s="86">
        <f>AOP_PEP!D42</f>
        <v>29000</v>
      </c>
      <c r="E42" s="85">
        <f t="shared" ref="E42:E44" si="5">C42*D42</f>
        <v>29000</v>
      </c>
      <c r="F42" s="85">
        <v>1</v>
      </c>
      <c r="G42" s="85">
        <f>U42</f>
        <v>29000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S42" s="85"/>
      <c r="T42" s="80"/>
      <c r="U42" s="85">
        <f>D42</f>
        <v>29000</v>
      </c>
      <c r="V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>
        <f>AJ42</f>
        <v>0</v>
      </c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>
        <v>1</v>
      </c>
      <c r="BK42" s="86">
        <f t="shared" ref="BK42:BK44" si="6">AX42</f>
        <v>0</v>
      </c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>
        <v>0</v>
      </c>
      <c r="BZ42" s="71"/>
    </row>
    <row r="43" spans="1:78" ht="25.5" x14ac:dyDescent="0.25">
      <c r="A43" s="90" t="s">
        <v>90</v>
      </c>
      <c r="B43" s="84" t="s">
        <v>218</v>
      </c>
      <c r="C43" s="100">
        <v>1</v>
      </c>
      <c r="D43" s="86">
        <f>AOP_PEP!D43</f>
        <v>52343</v>
      </c>
      <c r="E43" s="85">
        <f t="shared" si="5"/>
        <v>52343</v>
      </c>
      <c r="F43" s="85">
        <v>1</v>
      </c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0"/>
      <c r="U43" s="85"/>
      <c r="V43" s="85">
        <f>D43</f>
        <v>52343</v>
      </c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6"/>
      <c r="AI43" s="86">
        <f>V43</f>
        <v>52343</v>
      </c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>
        <f>AJ43</f>
        <v>0</v>
      </c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>
        <v>1</v>
      </c>
      <c r="BK43" s="86">
        <f t="shared" si="6"/>
        <v>0</v>
      </c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>
        <f>BL43</f>
        <v>0</v>
      </c>
      <c r="BZ43" s="71"/>
    </row>
    <row r="44" spans="1:78" ht="25.5" x14ac:dyDescent="0.25">
      <c r="A44" s="90" t="s">
        <v>85</v>
      </c>
      <c r="B44" s="84" t="s">
        <v>219</v>
      </c>
      <c r="C44" s="100">
        <v>1</v>
      </c>
      <c r="D44" s="86">
        <f>AOP_PEP!D44</f>
        <v>25000</v>
      </c>
      <c r="E44" s="85">
        <f t="shared" si="5"/>
        <v>25000</v>
      </c>
      <c r="F44" s="85">
        <v>1</v>
      </c>
      <c r="G44" s="85">
        <f>R44</f>
        <v>25000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>
        <f>D44</f>
        <v>25000</v>
      </c>
      <c r="S44" s="85"/>
      <c r="T44" s="80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6"/>
      <c r="AI44" s="86">
        <f>V44</f>
        <v>0</v>
      </c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>
        <f>AJ44</f>
        <v>0</v>
      </c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>
        <v>1</v>
      </c>
      <c r="BK44" s="86">
        <f t="shared" si="6"/>
        <v>0</v>
      </c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>
        <f>BL44</f>
        <v>0</v>
      </c>
      <c r="BZ44" s="71"/>
    </row>
    <row r="45" spans="1:78" ht="25.5" x14ac:dyDescent="0.25">
      <c r="A45" s="87" t="s">
        <v>299</v>
      </c>
      <c r="B45" s="87"/>
      <c r="C45" s="103"/>
      <c r="D45" s="87"/>
      <c r="E45" s="87">
        <f>SUM(E41:E44)</f>
        <v>181324</v>
      </c>
      <c r="F45" s="87"/>
      <c r="G45" s="87">
        <f>SUM(G41:G44)</f>
        <v>128981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>
        <f>SUM(AI41:AI44)</f>
        <v>52343</v>
      </c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>
        <f>SUM(AW41:AW44)</f>
        <v>0</v>
      </c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>
        <f>SUM(BK41:BK44)</f>
        <v>0</v>
      </c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71">
        <f>AW45+AI45+G45</f>
        <v>181324</v>
      </c>
    </row>
    <row r="46" spans="1:78" ht="25.5" x14ac:dyDescent="0.25">
      <c r="A46" s="35" t="str">
        <f>AOP_PEP!C46</f>
        <v>Technical Specialist Consultant - Data Sharing (24 months)</v>
      </c>
      <c r="B46" s="84" t="s">
        <v>216</v>
      </c>
      <c r="C46" s="100">
        <v>1</v>
      </c>
      <c r="D46" s="86">
        <f>AOP_PEP!D46</f>
        <v>120000</v>
      </c>
      <c r="E46" s="85">
        <f>C46*D46</f>
        <v>120000</v>
      </c>
      <c r="F46" s="85">
        <v>1</v>
      </c>
      <c r="G46" s="85">
        <f>M46+N46+O46+P46+Q46+R46+S46+T46+U46</f>
        <v>45000</v>
      </c>
      <c r="H46" s="85"/>
      <c r="I46" s="85"/>
      <c r="J46" s="85"/>
      <c r="K46" s="85"/>
      <c r="L46" s="85"/>
      <c r="M46" s="85">
        <f>D46/24</f>
        <v>5000</v>
      </c>
      <c r="N46" s="85">
        <v>5000</v>
      </c>
      <c r="O46" s="80">
        <v>5000</v>
      </c>
      <c r="P46" s="85">
        <v>5000</v>
      </c>
      <c r="Q46" s="85">
        <v>5000</v>
      </c>
      <c r="R46" s="85">
        <v>5000</v>
      </c>
      <c r="S46" s="85">
        <v>5000</v>
      </c>
      <c r="T46" s="85">
        <v>5000</v>
      </c>
      <c r="U46" s="85">
        <v>5000</v>
      </c>
      <c r="V46" s="85">
        <v>5000</v>
      </c>
      <c r="W46" s="85">
        <v>5000</v>
      </c>
      <c r="X46" s="85">
        <v>5000</v>
      </c>
      <c r="Y46" s="85">
        <v>5000</v>
      </c>
      <c r="Z46" s="85">
        <v>5000</v>
      </c>
      <c r="AA46" s="85">
        <v>5000</v>
      </c>
      <c r="AB46" s="85">
        <v>5000</v>
      </c>
      <c r="AC46" s="86">
        <v>5000</v>
      </c>
      <c r="AD46" s="86">
        <v>5000</v>
      </c>
      <c r="AE46" s="86">
        <v>5000</v>
      </c>
      <c r="AF46" s="86">
        <v>5000</v>
      </c>
      <c r="AG46" s="86">
        <v>5000</v>
      </c>
      <c r="AI46" s="94">
        <f>AG46+AF46+AE46+AD46+AC46+AB46+AA46+Z46+Y46+X46+W46+V46</f>
        <v>60000</v>
      </c>
      <c r="AJ46" s="86">
        <v>5000</v>
      </c>
      <c r="AK46" s="86">
        <v>5000</v>
      </c>
      <c r="AL46" s="86">
        <v>5000</v>
      </c>
      <c r="AR46" s="86"/>
      <c r="AS46" s="86"/>
      <c r="AT46" s="86"/>
      <c r="AU46" s="86"/>
      <c r="AV46" s="86"/>
      <c r="AW46" s="86">
        <f>AL46+AK46+AJ46</f>
        <v>15000</v>
      </c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>
        <v>1</v>
      </c>
      <c r="BK46" s="86">
        <f>AX46</f>
        <v>0</v>
      </c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>
        <f>BL46</f>
        <v>0</v>
      </c>
      <c r="BZ46" s="71"/>
    </row>
    <row r="47" spans="1:78" ht="38.25" x14ac:dyDescent="0.25">
      <c r="A47" s="87" t="s">
        <v>285</v>
      </c>
      <c r="B47" s="87"/>
      <c r="C47" s="103"/>
      <c r="D47" s="87"/>
      <c r="E47" s="87">
        <f>E46</f>
        <v>120000</v>
      </c>
      <c r="F47" s="87"/>
      <c r="G47" s="87">
        <f>G46</f>
        <v>45000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>
        <f>AI46</f>
        <v>60000</v>
      </c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>
        <f ca="1">SUM(AW43:AW50)</f>
        <v>15000</v>
      </c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>
        <f>BK46</f>
        <v>0</v>
      </c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>
        <f>BY46</f>
        <v>0</v>
      </c>
      <c r="BZ47" s="71">
        <f t="shared" ref="BZ47" ca="1" si="7">AW47+AI47+G47</f>
        <v>181324</v>
      </c>
    </row>
    <row r="48" spans="1:78" x14ac:dyDescent="0.25">
      <c r="A48" s="87"/>
      <c r="B48" s="87"/>
      <c r="C48" s="103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71"/>
    </row>
    <row r="49" spans="1:78" s="61" customFormat="1" x14ac:dyDescent="0.25">
      <c r="A49" s="87" t="s">
        <v>102</v>
      </c>
      <c r="B49" s="87"/>
      <c r="C49" s="103"/>
      <c r="D49" s="87"/>
      <c r="E49" s="87">
        <f>E40+E45+E47</f>
        <v>1811324</v>
      </c>
      <c r="F49" s="87"/>
      <c r="G49" s="87">
        <f>G45+G40+G47</f>
        <v>230823.10526315792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>
        <f>AI45+AI40+AI47</f>
        <v>738132.47368421056</v>
      </c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>
        <f>15000+675789</f>
        <v>690789</v>
      </c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>
        <f>BK45+BK40</f>
        <v>75789.473684210549</v>
      </c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>
        <f>BY45+BY40</f>
        <v>75789.473684210549</v>
      </c>
      <c r="BZ49" s="83">
        <f>BY49+BK49+AW49+AI49+G49</f>
        <v>1811323.5263157897</v>
      </c>
    </row>
    <row r="50" spans="1:78" ht="15.75" customHeight="1" x14ac:dyDescent="0.25">
      <c r="A50" s="320" t="s">
        <v>319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0"/>
      <c r="BT50" s="320"/>
      <c r="BU50" s="320"/>
      <c r="BV50" s="320"/>
      <c r="BW50" s="320"/>
      <c r="BX50" s="320"/>
      <c r="BY50" s="320"/>
      <c r="BZ50" s="145"/>
    </row>
    <row r="51" spans="1:78" ht="25.5" x14ac:dyDescent="0.25">
      <c r="A51" s="91" t="s">
        <v>116</v>
      </c>
      <c r="B51" s="84" t="s">
        <v>220</v>
      </c>
      <c r="C51" s="100">
        <v>1</v>
      </c>
      <c r="D51" s="86">
        <f>AOP_PEP!D54</f>
        <v>500000</v>
      </c>
      <c r="E51" s="85">
        <f>C51*D51</f>
        <v>500000</v>
      </c>
      <c r="F51" s="85">
        <v>1</v>
      </c>
      <c r="G51" s="85">
        <f>N51</f>
        <v>125000</v>
      </c>
      <c r="H51" s="85"/>
      <c r="I51" s="85"/>
      <c r="J51" s="85"/>
      <c r="K51" s="85"/>
      <c r="N51" s="85">
        <f>D51/4</f>
        <v>125000</v>
      </c>
      <c r="O51" s="85"/>
      <c r="P51" s="85"/>
      <c r="Q51" s="85"/>
      <c r="R51" s="85"/>
      <c r="S51" s="85"/>
      <c r="T51" s="80"/>
      <c r="U51" s="85"/>
      <c r="V51" s="85">
        <f>D51/4</f>
        <v>125000</v>
      </c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6">
        <v>1</v>
      </c>
      <c r="AI51" s="80">
        <f>V51</f>
        <v>125000</v>
      </c>
      <c r="AJ51" s="80">
        <f>D51/4</f>
        <v>125000</v>
      </c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6">
        <v>1</v>
      </c>
      <c r="AW51" s="86">
        <f>AJ51</f>
        <v>125000</v>
      </c>
      <c r="AX51" s="86">
        <f>D51/4</f>
        <v>125000</v>
      </c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>
        <v>1</v>
      </c>
      <c r="BK51" s="86">
        <f>AX51</f>
        <v>125000</v>
      </c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>
        <v>0</v>
      </c>
      <c r="BZ51" s="71"/>
    </row>
    <row r="52" spans="1:78" ht="38.25" x14ac:dyDescent="0.25">
      <c r="A52" s="91" t="s">
        <v>117</v>
      </c>
      <c r="B52" s="84" t="s">
        <v>221</v>
      </c>
      <c r="C52" s="100">
        <v>1</v>
      </c>
      <c r="D52" s="86">
        <f>AOP_PEP!D55</f>
        <v>400000</v>
      </c>
      <c r="E52" s="85">
        <f t="shared" ref="E52:E53" si="8">C52*D52</f>
        <v>400000</v>
      </c>
      <c r="F52" s="85">
        <v>1</v>
      </c>
      <c r="G52" s="85">
        <f>L52</f>
        <v>100000</v>
      </c>
      <c r="H52" s="85"/>
      <c r="I52" s="85"/>
      <c r="J52" s="85"/>
      <c r="K52" s="85"/>
      <c r="L52" s="85">
        <f>D52/4</f>
        <v>100000</v>
      </c>
      <c r="M52" s="85"/>
      <c r="N52" s="85"/>
      <c r="O52" s="85"/>
      <c r="P52" s="85"/>
      <c r="Q52" s="85"/>
      <c r="R52" s="85"/>
      <c r="S52" s="85"/>
      <c r="T52" s="80"/>
      <c r="U52" s="85"/>
      <c r="V52" s="85">
        <f>D52/4</f>
        <v>100000</v>
      </c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6">
        <v>1</v>
      </c>
      <c r="AI52" s="80">
        <f>V52</f>
        <v>100000</v>
      </c>
      <c r="AJ52" s="80">
        <f>D52/4</f>
        <v>100000</v>
      </c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6">
        <v>1</v>
      </c>
      <c r="AW52" s="86">
        <f>AJ52</f>
        <v>100000</v>
      </c>
      <c r="AX52" s="86">
        <f>D52/4</f>
        <v>100000</v>
      </c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>
        <v>1</v>
      </c>
      <c r="BK52" s="86">
        <f>AX52</f>
        <v>100000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>
        <v>0</v>
      </c>
      <c r="BZ52" s="71"/>
    </row>
    <row r="53" spans="1:78" ht="38.25" x14ac:dyDescent="0.25">
      <c r="A53" s="35" t="str">
        <f>AOP_PEP!C56</f>
        <v xml:space="preserve">Technical Specialist Consultant - Change Management &amp; Communications (60 months) </v>
      </c>
      <c r="B53" s="84" t="s">
        <v>222</v>
      </c>
      <c r="C53" s="100">
        <v>1</v>
      </c>
      <c r="D53" s="86">
        <f>AOP_PEP!D56</f>
        <v>300000</v>
      </c>
      <c r="E53" s="85">
        <f t="shared" si="8"/>
        <v>300000</v>
      </c>
      <c r="F53" s="85">
        <v>1</v>
      </c>
      <c r="G53" s="85">
        <f>I53+J53+K53+L53+M53+N53+O53+P53+Q53+R53+S53+T53+U53</f>
        <v>65000</v>
      </c>
      <c r="H53" s="85"/>
      <c r="I53" s="85">
        <v>5000</v>
      </c>
      <c r="J53" s="85">
        <v>5000</v>
      </c>
      <c r="K53" s="85">
        <v>5000</v>
      </c>
      <c r="L53" s="85">
        <v>5000</v>
      </c>
      <c r="M53" s="85">
        <v>5000</v>
      </c>
      <c r="N53" s="85">
        <v>5000</v>
      </c>
      <c r="O53" s="85">
        <v>5000</v>
      </c>
      <c r="P53" s="85">
        <v>5000</v>
      </c>
      <c r="Q53" s="85">
        <v>5000</v>
      </c>
      <c r="R53" s="85">
        <v>5000</v>
      </c>
      <c r="S53" s="85">
        <v>5000</v>
      </c>
      <c r="T53" s="80">
        <v>5000</v>
      </c>
      <c r="U53" s="86">
        <v>5000</v>
      </c>
      <c r="V53" s="86">
        <v>5000</v>
      </c>
      <c r="W53" s="86">
        <v>5000</v>
      </c>
      <c r="X53" s="86">
        <v>5000</v>
      </c>
      <c r="Y53" s="86">
        <v>5000</v>
      </c>
      <c r="Z53" s="86">
        <v>5000</v>
      </c>
      <c r="AA53" s="86">
        <v>5000</v>
      </c>
      <c r="AB53" s="86">
        <v>5000</v>
      </c>
      <c r="AC53" s="86">
        <v>5000</v>
      </c>
      <c r="AD53" s="86">
        <v>5000</v>
      </c>
      <c r="AE53" s="86">
        <v>5000</v>
      </c>
      <c r="AF53" s="86">
        <v>5000</v>
      </c>
      <c r="AG53" s="86">
        <v>5000</v>
      </c>
      <c r="AH53" s="86">
        <v>1</v>
      </c>
      <c r="AI53" s="80">
        <f>AG53+AF53+AE53+AD53+AC53+AB53+AA53+Z53+Y53+X53+W53+V53</f>
        <v>60000</v>
      </c>
      <c r="AJ53" s="80">
        <v>5000</v>
      </c>
      <c r="AK53" s="80">
        <v>5000</v>
      </c>
      <c r="AL53" s="80">
        <v>5000</v>
      </c>
      <c r="AM53" s="80">
        <v>5000</v>
      </c>
      <c r="AN53" s="80">
        <v>5000</v>
      </c>
      <c r="AO53" s="80">
        <v>5000</v>
      </c>
      <c r="AP53" s="80">
        <v>5000</v>
      </c>
      <c r="AQ53" s="80">
        <v>5000</v>
      </c>
      <c r="AR53" s="80">
        <v>5000</v>
      </c>
      <c r="AS53" s="80">
        <v>5000</v>
      </c>
      <c r="AT53" s="80">
        <v>5000</v>
      </c>
      <c r="AU53" s="80">
        <v>5000</v>
      </c>
      <c r="AV53" s="86">
        <v>1</v>
      </c>
      <c r="AW53" s="86">
        <f>AU53+AT53+AS53+AR53+AQ53+AP53+AO53+AN53+AM53+AL53+AK53+AJ53</f>
        <v>60000</v>
      </c>
      <c r="AX53" s="86">
        <v>5000</v>
      </c>
      <c r="AY53" s="86">
        <v>5000</v>
      </c>
      <c r="AZ53" s="86">
        <v>5000</v>
      </c>
      <c r="BA53" s="86">
        <v>5000</v>
      </c>
      <c r="BB53" s="86">
        <v>5000</v>
      </c>
      <c r="BC53" s="86">
        <v>5000</v>
      </c>
      <c r="BD53" s="86">
        <v>5000</v>
      </c>
      <c r="BE53" s="86">
        <v>5000</v>
      </c>
      <c r="BF53" s="86">
        <v>5000</v>
      </c>
      <c r="BG53" s="86">
        <v>5000</v>
      </c>
      <c r="BH53" s="86">
        <v>5000</v>
      </c>
      <c r="BI53" s="86">
        <v>5000</v>
      </c>
      <c r="BJ53" s="86">
        <v>1</v>
      </c>
      <c r="BK53" s="86">
        <f>BI53+BH53+BG53+BF53+BE53+BD53+BC53+BB53+BA53+AZ53+AY53+AX53</f>
        <v>60000</v>
      </c>
      <c r="BL53" s="86">
        <v>5000</v>
      </c>
      <c r="BM53" s="86">
        <v>5000</v>
      </c>
      <c r="BN53" s="86">
        <v>5000</v>
      </c>
      <c r="BO53" s="86">
        <v>5000</v>
      </c>
      <c r="BP53" s="86">
        <v>5000</v>
      </c>
      <c r="BQ53" s="86">
        <v>5000</v>
      </c>
      <c r="BR53" s="86">
        <v>5000</v>
      </c>
      <c r="BS53" s="86">
        <v>5000</v>
      </c>
      <c r="BT53" s="86">
        <v>5000</v>
      </c>
      <c r="BU53" s="86">
        <v>5000</v>
      </c>
      <c r="BV53" s="86">
        <f>D53/60</f>
        <v>5000</v>
      </c>
      <c r="BW53" s="86"/>
      <c r="BX53" s="86"/>
      <c r="BY53" s="86">
        <f>BV53+BU53+BT53+BS53+BR53+BQ53+BP53+BO53+BN53+BM53+BL53</f>
        <v>55000</v>
      </c>
      <c r="BZ53" s="71"/>
    </row>
    <row r="54" spans="1:78" ht="25.5" x14ac:dyDescent="0.25">
      <c r="A54" s="87" t="s">
        <v>286</v>
      </c>
      <c r="B54" s="87"/>
      <c r="C54" s="103"/>
      <c r="D54" s="87">
        <f>SUM(D51:D53)</f>
        <v>1200000</v>
      </c>
      <c r="E54" s="87">
        <f>SUM(E51:E53)</f>
        <v>1200000</v>
      </c>
      <c r="F54" s="87"/>
      <c r="G54" s="87">
        <f>SUM(G51:G53)</f>
        <v>290000</v>
      </c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7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77">
        <f>SUM(AI51:AI53)</f>
        <v>285000</v>
      </c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87"/>
      <c r="AW54" s="87">
        <f>SUM(AW51:AW53)</f>
        <v>285000</v>
      </c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>
        <f>SUM(BK51:BK53)</f>
        <v>285000</v>
      </c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>
        <f>SUM(BY51:BY53)</f>
        <v>55000</v>
      </c>
      <c r="BZ54" s="71">
        <f>SUM(G54:BY54)</f>
        <v>1200000</v>
      </c>
    </row>
    <row r="55" spans="1:78" ht="25.5" x14ac:dyDescent="0.25">
      <c r="A55" s="91" t="s">
        <v>118</v>
      </c>
      <c r="B55" s="84" t="s">
        <v>223</v>
      </c>
      <c r="C55" s="100">
        <v>1</v>
      </c>
      <c r="D55" s="86">
        <f>AOP_PEP!D58</f>
        <v>20000</v>
      </c>
      <c r="E55" s="85">
        <f>C55*D55</f>
        <v>20000</v>
      </c>
      <c r="F55" s="85">
        <v>1</v>
      </c>
      <c r="G55" s="85">
        <f>U55</f>
        <v>0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0"/>
      <c r="U55" s="85"/>
      <c r="V55" s="85"/>
      <c r="W55" s="85">
        <f>D55</f>
        <v>20000</v>
      </c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6">
        <v>1</v>
      </c>
      <c r="AI55" s="86">
        <f>W55</f>
        <v>20000</v>
      </c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>
        <v>1</v>
      </c>
      <c r="AW55" s="86">
        <f>AJ55</f>
        <v>0</v>
      </c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>
        <v>1</v>
      </c>
      <c r="BK55" s="86">
        <f>AX55</f>
        <v>0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71"/>
    </row>
    <row r="56" spans="1:78" ht="25.5" x14ac:dyDescent="0.25">
      <c r="A56" s="91" t="s">
        <v>119</v>
      </c>
      <c r="B56" s="84" t="s">
        <v>223</v>
      </c>
      <c r="C56" s="100">
        <v>1</v>
      </c>
      <c r="D56" s="86">
        <f>AOP_PEP!D59</f>
        <v>120000</v>
      </c>
      <c r="E56" s="85">
        <f t="shared" ref="E56:E57" si="9">C56*D56</f>
        <v>120000</v>
      </c>
      <c r="F56" s="85">
        <v>1</v>
      </c>
      <c r="G56" s="85">
        <f t="shared" ref="G56:G57" si="10">U56</f>
        <v>0</v>
      </c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0"/>
      <c r="U56" s="85"/>
      <c r="V56" s="85">
        <f>D56/3</f>
        <v>40000</v>
      </c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6">
        <v>1</v>
      </c>
      <c r="AI56" s="86">
        <f>V56</f>
        <v>40000</v>
      </c>
      <c r="AJ56" s="86">
        <f>D56/3</f>
        <v>40000</v>
      </c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>
        <v>1</v>
      </c>
      <c r="AW56" s="86">
        <f>AJ56</f>
        <v>40000</v>
      </c>
      <c r="AX56" s="86">
        <f>D56/3</f>
        <v>40000</v>
      </c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>
        <v>1</v>
      </c>
      <c r="BK56" s="86">
        <f>AX56</f>
        <v>40000</v>
      </c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71"/>
    </row>
    <row r="57" spans="1:78" ht="25.5" x14ac:dyDescent="0.25">
      <c r="A57" s="92" t="str">
        <f>AOP_PEP!C60</f>
        <v xml:space="preserve">Technical Specialist Consultant - Assessment Training (30 months) </v>
      </c>
      <c r="B57" s="84" t="s">
        <v>139</v>
      </c>
      <c r="C57" s="100">
        <v>1</v>
      </c>
      <c r="D57" s="86">
        <f>AOP_PEP!D60</f>
        <v>147000</v>
      </c>
      <c r="E57" s="85">
        <f t="shared" si="9"/>
        <v>147000</v>
      </c>
      <c r="F57" s="85">
        <v>1</v>
      </c>
      <c r="G57" s="85">
        <f t="shared" si="10"/>
        <v>0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0"/>
      <c r="U57" s="85"/>
      <c r="V57" s="85">
        <f>D57/3</f>
        <v>49000</v>
      </c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6">
        <v>1</v>
      </c>
      <c r="AI57" s="86">
        <f>V57</f>
        <v>49000</v>
      </c>
      <c r="AJ57" s="86">
        <f>D57/3</f>
        <v>49000</v>
      </c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>
        <v>1</v>
      </c>
      <c r="AW57" s="86">
        <f>AJ57</f>
        <v>49000</v>
      </c>
      <c r="AX57" s="86">
        <f>D57/3</f>
        <v>49000</v>
      </c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>
        <v>1</v>
      </c>
      <c r="BK57" s="86">
        <f>AX57</f>
        <v>49000</v>
      </c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71"/>
    </row>
    <row r="58" spans="1:78" ht="25.5" x14ac:dyDescent="0.25">
      <c r="A58" s="35" t="s">
        <v>120</v>
      </c>
      <c r="B58" s="84" t="s">
        <v>224</v>
      </c>
      <c r="C58" s="100">
        <v>1</v>
      </c>
      <c r="D58" s="86">
        <f>AOP_PEP!D61</f>
        <v>95000</v>
      </c>
      <c r="E58" s="85">
        <f>C58*D58</f>
        <v>95000</v>
      </c>
      <c r="F58" s="85">
        <v>1</v>
      </c>
      <c r="G58" s="85">
        <f>U58</f>
        <v>0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0"/>
      <c r="U58" s="85"/>
      <c r="V58" s="85">
        <f>D58</f>
        <v>95000</v>
      </c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6">
        <v>1</v>
      </c>
      <c r="AI58" s="86">
        <f>V58</f>
        <v>95000</v>
      </c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71"/>
    </row>
    <row r="59" spans="1:78" ht="25.5" x14ac:dyDescent="0.25">
      <c r="A59" s="35" t="s">
        <v>121</v>
      </c>
      <c r="B59" s="84" t="s">
        <v>225</v>
      </c>
      <c r="C59" s="100">
        <v>1</v>
      </c>
      <c r="D59" s="86">
        <f>AOP_PEP!D62</f>
        <v>50000</v>
      </c>
      <c r="E59" s="85">
        <f t="shared" ref="E59:E60" si="11">C59*D59</f>
        <v>50000</v>
      </c>
      <c r="F59" s="85">
        <v>1</v>
      </c>
      <c r="G59" s="85">
        <f>U59</f>
        <v>0</v>
      </c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0"/>
      <c r="U59" s="85"/>
      <c r="V59" s="85">
        <f>D59</f>
        <v>50000</v>
      </c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6">
        <v>1</v>
      </c>
      <c r="AI59" s="86">
        <f>V59</f>
        <v>50000</v>
      </c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71"/>
    </row>
    <row r="60" spans="1:78" ht="25.5" x14ac:dyDescent="0.25">
      <c r="A60" s="35" t="str">
        <f>AOP_PEP!C63</f>
        <v xml:space="preserve">Technical Specialist Consultant - NPCJ &amp; VC Equipment (24 months) </v>
      </c>
      <c r="B60" s="84" t="s">
        <v>139</v>
      </c>
      <c r="C60" s="100">
        <v>1</v>
      </c>
      <c r="D60" s="86">
        <f>AOP_PEP!D63</f>
        <v>120000</v>
      </c>
      <c r="E60" s="85">
        <f t="shared" si="11"/>
        <v>120000</v>
      </c>
      <c r="F60" s="85">
        <v>1</v>
      </c>
      <c r="G60" s="85">
        <f>T60</f>
        <v>60000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0">
        <f>D60/2</f>
        <v>60000</v>
      </c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>
        <f>D60/2</f>
        <v>60000</v>
      </c>
      <c r="AG60" s="85"/>
      <c r="AH60" s="86">
        <v>1</v>
      </c>
      <c r="AI60" s="86">
        <f>AF60</f>
        <v>60000</v>
      </c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71"/>
    </row>
    <row r="61" spans="1:78" ht="25.5" x14ac:dyDescent="0.25">
      <c r="A61" s="91" t="s">
        <v>122</v>
      </c>
      <c r="B61" s="84" t="s">
        <v>223</v>
      </c>
      <c r="C61" s="100">
        <v>1</v>
      </c>
      <c r="D61" s="86">
        <f>AOP_PEP!D64</f>
        <v>180000</v>
      </c>
      <c r="E61" s="85">
        <f>C61*D61</f>
        <v>180000</v>
      </c>
      <c r="F61" s="85">
        <v>1</v>
      </c>
      <c r="G61" s="85">
        <f>O61+U61</f>
        <v>120000</v>
      </c>
      <c r="H61" s="85"/>
      <c r="I61" s="85"/>
      <c r="J61" s="85"/>
      <c r="K61" s="85"/>
      <c r="L61" s="85"/>
      <c r="M61" s="85"/>
      <c r="N61" s="85"/>
      <c r="O61" s="88">
        <f>D61/3</f>
        <v>60000</v>
      </c>
      <c r="P61" s="85"/>
      <c r="Q61" s="85"/>
      <c r="R61" s="85"/>
      <c r="S61" s="85"/>
      <c r="U61" s="85">
        <f>O61</f>
        <v>60000</v>
      </c>
      <c r="V61" s="85"/>
      <c r="W61" s="85"/>
      <c r="X61" s="85"/>
      <c r="Y61" s="85"/>
      <c r="Z61" s="85"/>
      <c r="AA61" s="85">
        <f>60000</f>
        <v>60000</v>
      </c>
      <c r="AB61" s="85"/>
      <c r="AC61" s="85"/>
      <c r="AD61" s="85"/>
      <c r="AE61" s="85"/>
      <c r="AF61" s="85"/>
      <c r="AG61" s="85"/>
      <c r="AH61" s="86">
        <v>1</v>
      </c>
      <c r="AI61" s="88">
        <f>AA61</f>
        <v>60000</v>
      </c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6">
        <v>1</v>
      </c>
      <c r="AW61" s="88">
        <f>AJ61</f>
        <v>0</v>
      </c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6">
        <v>1</v>
      </c>
      <c r="BK61" s="86">
        <f>AX61</f>
        <v>0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>
        <f>BL61</f>
        <v>0</v>
      </c>
      <c r="BZ61" s="71"/>
    </row>
    <row r="62" spans="1:78" ht="38.25" x14ac:dyDescent="0.25">
      <c r="A62" s="90" t="s">
        <v>123</v>
      </c>
      <c r="B62" s="84" t="s">
        <v>223</v>
      </c>
      <c r="C62" s="100">
        <v>1</v>
      </c>
      <c r="D62" s="86">
        <f>AOP_PEP!D65</f>
        <v>80000</v>
      </c>
      <c r="E62" s="85">
        <f>C62*D62</f>
        <v>80000</v>
      </c>
      <c r="F62" s="85">
        <v>1</v>
      </c>
      <c r="G62" s="85">
        <f>U62</f>
        <v>0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8"/>
      <c r="U62" s="85"/>
      <c r="V62" s="85"/>
      <c r="W62" s="85"/>
      <c r="X62" s="85"/>
      <c r="Y62" s="85"/>
      <c r="Z62" s="85"/>
      <c r="AA62" s="85"/>
      <c r="AB62" s="85"/>
      <c r="AC62" s="85">
        <f>D62/2</f>
        <v>40000</v>
      </c>
      <c r="AD62" s="85"/>
      <c r="AE62" s="85"/>
      <c r="AF62" s="85"/>
      <c r="AG62" s="85"/>
      <c r="AH62" s="86">
        <v>1</v>
      </c>
      <c r="AI62" s="88">
        <f>AC62+U62</f>
        <v>40000</v>
      </c>
      <c r="AJ62" s="88">
        <f>D62/2</f>
        <v>40000</v>
      </c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6">
        <v>1</v>
      </c>
      <c r="AW62" s="88">
        <f>AJ62</f>
        <v>40000</v>
      </c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6">
        <v>1</v>
      </c>
      <c r="BK62" s="86">
        <f>AX62</f>
        <v>0</v>
      </c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>
        <v>0</v>
      </c>
      <c r="BZ62" s="71"/>
    </row>
    <row r="63" spans="1:78" ht="25.5" x14ac:dyDescent="0.25">
      <c r="A63" s="90" t="s">
        <v>124</v>
      </c>
      <c r="B63" s="84" t="s">
        <v>223</v>
      </c>
      <c r="C63" s="100">
        <v>1</v>
      </c>
      <c r="D63" s="86">
        <f>AOP_PEP!D66</f>
        <v>500000</v>
      </c>
      <c r="E63" s="85">
        <f>C63*D63</f>
        <v>500000</v>
      </c>
      <c r="F63" s="85">
        <v>1</v>
      </c>
      <c r="G63" s="85">
        <f>U63</f>
        <v>0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8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6">
        <v>1</v>
      </c>
      <c r="AI63" s="88">
        <f>V63</f>
        <v>0</v>
      </c>
      <c r="AJ63" s="88"/>
      <c r="AK63" s="88"/>
      <c r="AL63" s="88"/>
      <c r="AM63" s="88">
        <f>D63/3</f>
        <v>166666.66666666666</v>
      </c>
      <c r="AN63" s="88"/>
      <c r="AO63" s="88"/>
      <c r="AP63" s="88"/>
      <c r="AQ63" s="88"/>
      <c r="AR63" s="88"/>
      <c r="AS63" s="88"/>
      <c r="AT63" s="88"/>
      <c r="AU63" s="88"/>
      <c r="AV63" s="86">
        <v>1</v>
      </c>
      <c r="AW63" s="88">
        <f>AM63+AJ63</f>
        <v>166666.66666666666</v>
      </c>
      <c r="AX63" s="88"/>
      <c r="AY63" s="88"/>
      <c r="AZ63" s="88"/>
      <c r="BA63" s="88">
        <f>D63/3</f>
        <v>166666.66666666666</v>
      </c>
      <c r="BB63" s="88"/>
      <c r="BC63" s="88"/>
      <c r="BD63" s="88"/>
      <c r="BE63" s="88"/>
      <c r="BF63" s="88"/>
      <c r="BG63" s="88"/>
      <c r="BH63" s="88"/>
      <c r="BI63" s="88"/>
      <c r="BJ63" s="86">
        <v>1</v>
      </c>
      <c r="BK63" s="86">
        <f>BA63+AX63</f>
        <v>166666.66666666666</v>
      </c>
      <c r="BL63" s="86"/>
      <c r="BM63" s="86"/>
      <c r="BN63" s="86"/>
      <c r="BO63" s="88">
        <f>D63/3</f>
        <v>166666.66666666666</v>
      </c>
      <c r="BP63" s="86"/>
      <c r="BQ63" s="86"/>
      <c r="BR63" s="86"/>
      <c r="BS63" s="86"/>
      <c r="BT63" s="86"/>
      <c r="BU63" s="86"/>
      <c r="BV63" s="86"/>
      <c r="BW63" s="86"/>
      <c r="BX63" s="86"/>
      <c r="BY63" s="86">
        <f>BO63</f>
        <v>166666.66666666666</v>
      </c>
      <c r="BZ63" s="71"/>
    </row>
    <row r="64" spans="1:78" ht="25.5" x14ac:dyDescent="0.25">
      <c r="A64" s="90" t="s">
        <v>125</v>
      </c>
      <c r="B64" s="84" t="s">
        <v>223</v>
      </c>
      <c r="C64" s="100">
        <v>1</v>
      </c>
      <c r="D64" s="86">
        <f>AOP_PEP!D67</f>
        <v>200000</v>
      </c>
      <c r="E64" s="85">
        <f>C64*D64</f>
        <v>200000</v>
      </c>
      <c r="F64" s="85">
        <v>1</v>
      </c>
      <c r="G64" s="85">
        <f>U64</f>
        <v>0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8"/>
      <c r="U64" s="85"/>
      <c r="V64" s="85"/>
      <c r="W64" s="85"/>
      <c r="X64" s="85">
        <f>D64/2</f>
        <v>100000</v>
      </c>
      <c r="Y64" s="85"/>
      <c r="Z64" s="85"/>
      <c r="AA64" s="85"/>
      <c r="AB64" s="85">
        <f>D64/2</f>
        <v>100000</v>
      </c>
      <c r="AC64" s="85"/>
      <c r="AD64" s="85"/>
      <c r="AE64" s="85"/>
      <c r="AF64" s="85"/>
      <c r="AG64" s="85"/>
      <c r="AH64" s="86">
        <v>1</v>
      </c>
      <c r="AI64" s="88">
        <f>AB64+X64+V64</f>
        <v>200000</v>
      </c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6">
        <v>1</v>
      </c>
      <c r="AW64" s="88">
        <f>AJ64</f>
        <v>0</v>
      </c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6">
        <v>1</v>
      </c>
      <c r="BK64" s="86">
        <f>AX64</f>
        <v>0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>
        <v>0</v>
      </c>
      <c r="BZ64" s="71"/>
    </row>
    <row r="65" spans="1:78" ht="25.5" x14ac:dyDescent="0.25">
      <c r="A65" s="29" t="s">
        <v>69</v>
      </c>
      <c r="B65" s="67" t="s">
        <v>138</v>
      </c>
      <c r="C65" s="100">
        <v>1</v>
      </c>
      <c r="D65" s="114">
        <f>AOP_PEP!D68</f>
        <v>90000</v>
      </c>
      <c r="E65" s="108">
        <f>C65*D65</f>
        <v>90000</v>
      </c>
      <c r="F65" s="69">
        <v>1</v>
      </c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70"/>
      <c r="U65" s="69"/>
      <c r="V65" s="69"/>
      <c r="W65" s="69"/>
      <c r="X65" s="69"/>
      <c r="Y65" s="69"/>
      <c r="Z65" s="69"/>
      <c r="AA65" s="69">
        <v>0</v>
      </c>
      <c r="AB65" s="69"/>
      <c r="AC65" s="69"/>
      <c r="AD65" s="69"/>
      <c r="AE65" s="69"/>
      <c r="AF65" s="69"/>
      <c r="AG65" s="69"/>
      <c r="AH65" s="70">
        <v>0</v>
      </c>
      <c r="AI65" s="70">
        <v>0</v>
      </c>
      <c r="AJ65" s="70">
        <f>D65</f>
        <v>90000</v>
      </c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69">
        <v>0</v>
      </c>
      <c r="AW65" s="70">
        <f>AJ65</f>
        <v>90000</v>
      </c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69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69"/>
      <c r="BY65" s="70"/>
      <c r="BZ65" s="71"/>
    </row>
    <row r="66" spans="1:78" ht="38.25" x14ac:dyDescent="0.25">
      <c r="A66" s="35" t="s">
        <v>131</v>
      </c>
      <c r="B66" s="84" t="s">
        <v>223</v>
      </c>
      <c r="C66" s="100">
        <v>1</v>
      </c>
      <c r="D66" s="86">
        <f>AOP_PEP!D69</f>
        <v>200000</v>
      </c>
      <c r="E66" s="85">
        <f t="shared" ref="E66:E67" si="12">C66*D66</f>
        <v>200000</v>
      </c>
      <c r="F66" s="85">
        <v>1</v>
      </c>
      <c r="G66" s="85">
        <f>U66</f>
        <v>0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8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>
        <f>D66/2</f>
        <v>100000</v>
      </c>
      <c r="AF66" s="85"/>
      <c r="AG66" s="85"/>
      <c r="AH66" s="86">
        <v>1</v>
      </c>
      <c r="AI66" s="88">
        <f>AE66+V66</f>
        <v>100000</v>
      </c>
      <c r="AJ66" s="88"/>
      <c r="AK66" s="88">
        <f>D66/2</f>
        <v>100000</v>
      </c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6">
        <v>1</v>
      </c>
      <c r="AW66" s="88">
        <f>AK66+AJ66</f>
        <v>100000</v>
      </c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6">
        <v>1</v>
      </c>
      <c r="BK66" s="86">
        <f>AX66</f>
        <v>0</v>
      </c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>
        <v>0</v>
      </c>
      <c r="BZ66" s="71"/>
    </row>
    <row r="67" spans="1:78" s="61" customFormat="1" ht="51" x14ac:dyDescent="0.25">
      <c r="A67" s="35" t="str">
        <f>AOP_PEP!C70</f>
        <v>Technical Specialist TRAINING Consultant for Sub-component 3114 and provide management over all other training components (38 months)</v>
      </c>
      <c r="B67" s="86" t="s">
        <v>139</v>
      </c>
      <c r="C67" s="100">
        <v>1</v>
      </c>
      <c r="D67" s="86">
        <f>AOP_PEP!D70</f>
        <v>210000</v>
      </c>
      <c r="E67" s="85">
        <f t="shared" si="12"/>
        <v>210000</v>
      </c>
      <c r="F67" s="85">
        <v>1</v>
      </c>
      <c r="G67" s="85">
        <f>L67</f>
        <v>70000</v>
      </c>
      <c r="H67" s="85"/>
      <c r="I67" s="85"/>
      <c r="J67" s="85"/>
      <c r="K67" s="85"/>
      <c r="L67" s="85">
        <f>D67/3</f>
        <v>70000</v>
      </c>
      <c r="M67" s="85"/>
      <c r="N67" s="85"/>
      <c r="O67" s="85"/>
      <c r="P67" s="85"/>
      <c r="Q67" s="85"/>
      <c r="R67" s="85"/>
      <c r="S67" s="85"/>
      <c r="T67" s="88"/>
      <c r="U67" s="85"/>
      <c r="V67" s="85"/>
      <c r="W67" s="85">
        <f>D67/3</f>
        <v>70000</v>
      </c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61">
        <v>1</v>
      </c>
      <c r="AI67" s="88">
        <f>W67</f>
        <v>70000</v>
      </c>
      <c r="AJ67" s="86">
        <f>D67/3</f>
        <v>70000</v>
      </c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6">
        <v>1</v>
      </c>
      <c r="AW67" s="88">
        <f>AJ67</f>
        <v>70000</v>
      </c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6">
        <v>1</v>
      </c>
      <c r="BK67" s="86">
        <f>AX67</f>
        <v>0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>
        <v>0</v>
      </c>
      <c r="BZ67" s="71"/>
    </row>
    <row r="68" spans="1:78" s="61" customFormat="1" ht="38.25" x14ac:dyDescent="0.25">
      <c r="A68" s="87" t="s">
        <v>306</v>
      </c>
      <c r="B68" s="87"/>
      <c r="C68" s="103"/>
      <c r="D68" s="87"/>
      <c r="E68" s="87">
        <f>SUM(E55:E67)</f>
        <v>2012000</v>
      </c>
      <c r="F68" s="87"/>
      <c r="G68" s="87">
        <f>SUM(G55:G67)</f>
        <v>250000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>
        <f>SUM(AI55:AI67)</f>
        <v>784000</v>
      </c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>
        <f>SUM(AW55:AW67)</f>
        <v>555666.66666666663</v>
      </c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>
        <f>SUM(BK55:BK67)</f>
        <v>255666.66666666666</v>
      </c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>
        <f>SUM(BY55:BY67)</f>
        <v>166666.66666666666</v>
      </c>
      <c r="BZ68" s="71">
        <f>BY68+BK68+AW68+AI68+G68</f>
        <v>2012000</v>
      </c>
    </row>
    <row r="69" spans="1:78" s="61" customFormat="1" x14ac:dyDescent="0.25">
      <c r="A69" s="87" t="s">
        <v>130</v>
      </c>
      <c r="B69" s="87"/>
      <c r="C69" s="103"/>
      <c r="D69" s="87"/>
      <c r="E69" s="87">
        <f>E68+E54</f>
        <v>3212000</v>
      </c>
      <c r="F69" s="87"/>
      <c r="G69" s="87">
        <f>G68+G54</f>
        <v>540000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>
        <f>AI68+AI54</f>
        <v>1069000</v>
      </c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>
        <f>AW68+AW54</f>
        <v>840666.66666666663</v>
      </c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>
        <f>BK68+BK54</f>
        <v>540666.66666666663</v>
      </c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>
        <f>BY68+BY54</f>
        <v>221666.66666666666</v>
      </c>
      <c r="BZ69" s="83">
        <f>SUM(G69+AI69+AW69+BK69+BY69)</f>
        <v>3211999.9999999995</v>
      </c>
    </row>
    <row r="70" spans="1:78" s="61" customFormat="1" x14ac:dyDescent="0.25">
      <c r="A70" s="87"/>
      <c r="B70" s="87"/>
      <c r="C70" s="103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3"/>
    </row>
    <row r="71" spans="1:78" s="61" customFormat="1" ht="25.5" x14ac:dyDescent="0.25">
      <c r="A71" s="87" t="s">
        <v>309</v>
      </c>
      <c r="B71" s="87"/>
      <c r="C71" s="103"/>
      <c r="D71" s="87"/>
      <c r="E71" s="87">
        <f>E69+E49+E33</f>
        <v>17200000</v>
      </c>
      <c r="F71" s="87"/>
      <c r="G71" s="87">
        <f>G69+G49+G33</f>
        <v>2860541.623343966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>
        <f>AI69+AI49+AI33</f>
        <v>5088647.7883595349</v>
      </c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>
        <f>AW69+AW49+AW33</f>
        <v>6104199.666666666</v>
      </c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>
        <f>BK69+BK49+BK33</f>
        <v>2512011.6959064328</v>
      </c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>
        <f>BY69+BY49+BY33</f>
        <v>634598.99749373435</v>
      </c>
      <c r="BZ71" s="83">
        <f>BY71+BK71+AW71+AI71+G71</f>
        <v>17199999.771770336</v>
      </c>
    </row>
    <row r="72" spans="1:78" s="61" customFormat="1" x14ac:dyDescent="0.25">
      <c r="A72" s="87"/>
      <c r="B72" s="87"/>
      <c r="C72" s="103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3"/>
    </row>
    <row r="73" spans="1:78" s="61" customFormat="1" x14ac:dyDescent="0.25">
      <c r="A73" s="87"/>
      <c r="B73" s="87"/>
      <c r="C73" s="103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3"/>
    </row>
    <row r="74" spans="1:78" ht="15.75" customHeight="1" x14ac:dyDescent="0.25">
      <c r="A74" s="322" t="s">
        <v>307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2"/>
      <c r="AL74" s="322"/>
      <c r="AM74" s="322"/>
      <c r="AN74" s="322"/>
      <c r="AO74" s="322"/>
      <c r="AP74" s="322"/>
      <c r="AQ74" s="322"/>
      <c r="AR74" s="322"/>
      <c r="AS74" s="322"/>
      <c r="AT74" s="322"/>
      <c r="AU74" s="322"/>
      <c r="AV74" s="322"/>
      <c r="AW74" s="322"/>
      <c r="AX74" s="322"/>
      <c r="AY74" s="322"/>
      <c r="AZ74" s="322"/>
      <c r="BA74" s="322"/>
      <c r="BB74" s="322"/>
      <c r="BC74" s="322"/>
      <c r="BD74" s="322"/>
      <c r="BE74" s="322"/>
      <c r="BF74" s="322"/>
      <c r="BG74" s="322"/>
      <c r="BH74" s="322"/>
      <c r="BI74" s="322"/>
      <c r="BJ74" s="322"/>
      <c r="BK74" s="322"/>
      <c r="BL74" s="322"/>
      <c r="BM74" s="322"/>
      <c r="BN74" s="322"/>
      <c r="BO74" s="322"/>
      <c r="BP74" s="322"/>
      <c r="BQ74" s="322"/>
      <c r="BR74" s="322"/>
      <c r="BS74" s="322"/>
      <c r="BT74" s="322"/>
      <c r="BU74" s="322"/>
      <c r="BV74" s="322"/>
      <c r="BW74" s="322"/>
      <c r="BX74" s="322"/>
      <c r="BY74" s="322"/>
      <c r="BZ74" s="66"/>
    </row>
    <row r="75" spans="1:78" ht="26.25" customHeight="1" x14ac:dyDescent="0.25">
      <c r="A75" s="35" t="s">
        <v>133</v>
      </c>
      <c r="B75" s="84" t="s">
        <v>226</v>
      </c>
      <c r="C75" s="100">
        <v>1</v>
      </c>
      <c r="D75" s="86">
        <f>AOP_PEP!D78</f>
        <v>207438</v>
      </c>
      <c r="E75" s="85">
        <f>C75*D75</f>
        <v>207438</v>
      </c>
      <c r="F75" s="85">
        <v>1</v>
      </c>
      <c r="G75" s="85">
        <f>H75</f>
        <v>207438</v>
      </c>
      <c r="H75" s="85">
        <f>D75</f>
        <v>207438</v>
      </c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6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6">
        <v>1</v>
      </c>
      <c r="AI75" s="86">
        <f>AG75+AF75+AE75+AD75+AC75+AB75+AA75+Z75+Y75+X75+W75+V75</f>
        <v>0</v>
      </c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>
        <v>1</v>
      </c>
      <c r="AW75" s="86">
        <f>AU75+AT75+AS75+AR75+AQ75+AP75+AO75+AN75+AM75+AL75+AK75+AJ75</f>
        <v>0</v>
      </c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>
        <v>1</v>
      </c>
      <c r="BK75" s="86">
        <f>BI75+BH75+BG75+BF75+BE75+BD75+BC75+BB75+BA75+AZ75+AY75+AX75</f>
        <v>0</v>
      </c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>
        <v>1</v>
      </c>
      <c r="BY75" s="86">
        <f>BW75+BV75+BU75+BT75+BS75+BR75+BQ75+BP75+BO75+BN75+BM75+BL75</f>
        <v>0</v>
      </c>
      <c r="BZ75" s="71"/>
    </row>
    <row r="76" spans="1:78" ht="25.5" x14ac:dyDescent="0.25">
      <c r="A76" s="30" t="s">
        <v>97</v>
      </c>
      <c r="B76" s="84" t="s">
        <v>227</v>
      </c>
      <c r="C76" s="100">
        <v>1</v>
      </c>
      <c r="D76" s="86">
        <f>AOP_PEP!D79</f>
        <v>407751.93798449612</v>
      </c>
      <c r="E76" s="85">
        <f t="shared" ref="E76:E83" si="13">C76*D76</f>
        <v>407751.93798449612</v>
      </c>
      <c r="F76" s="85">
        <v>1</v>
      </c>
      <c r="G76" s="85">
        <f>J76+K76+L76+M76+N76+O76+P76+Q76+R76+S76+T76+U76</f>
        <v>81550.387596899222</v>
      </c>
      <c r="H76" s="85"/>
      <c r="I76" s="85"/>
      <c r="J76" s="119">
        <f>D76/60</f>
        <v>6795.8656330749354</v>
      </c>
      <c r="K76" s="85">
        <v>6795.8656330749354</v>
      </c>
      <c r="L76" s="85">
        <v>6795.8656330749354</v>
      </c>
      <c r="M76" s="85">
        <v>6795.8656330749354</v>
      </c>
      <c r="N76" s="85">
        <v>6795.8656330749354</v>
      </c>
      <c r="O76" s="85">
        <v>6795.8656330749354</v>
      </c>
      <c r="P76" s="85">
        <v>6795.8656330749354</v>
      </c>
      <c r="Q76" s="85">
        <v>6795.8656330749354</v>
      </c>
      <c r="R76" s="85">
        <v>6795.8656330749354</v>
      </c>
      <c r="S76" s="85">
        <v>6795.8656330749354</v>
      </c>
      <c r="T76" s="86">
        <v>6795.8656330749354</v>
      </c>
      <c r="U76" s="85">
        <v>6795.8656330749354</v>
      </c>
      <c r="V76" s="85">
        <v>6795.8656330749354</v>
      </c>
      <c r="W76" s="85">
        <v>6795.8656330749354</v>
      </c>
      <c r="X76" s="85">
        <v>6795.8656330749354</v>
      </c>
      <c r="Y76" s="85">
        <v>6795.8656330749354</v>
      </c>
      <c r="Z76" s="85">
        <v>6795.8656330749354</v>
      </c>
      <c r="AA76" s="85">
        <v>6795.8656330749354</v>
      </c>
      <c r="AB76" s="85">
        <v>6795.8656330749354</v>
      </c>
      <c r="AC76" s="85">
        <v>6795.8656330749354</v>
      </c>
      <c r="AD76" s="85">
        <v>6795.8656330749354</v>
      </c>
      <c r="AE76" s="85">
        <v>6795.8656330749354</v>
      </c>
      <c r="AF76" s="85">
        <v>6795.8656330749354</v>
      </c>
      <c r="AG76" s="85">
        <v>6795.8656330749354</v>
      </c>
      <c r="AH76" s="86">
        <v>1</v>
      </c>
      <c r="AI76" s="86">
        <f t="shared" ref="AI76:AI84" si="14">AG76+AF76+AE76+AD76+AC76+AB76+AA76+Z76+Y76+X76+W76+V76</f>
        <v>81550.387596899222</v>
      </c>
      <c r="AJ76" s="86">
        <v>6795.8656330749354</v>
      </c>
      <c r="AK76" s="86">
        <v>6795.8656330749354</v>
      </c>
      <c r="AL76" s="86">
        <v>6795.8656330749354</v>
      </c>
      <c r="AM76" s="86">
        <v>6795.8656330749354</v>
      </c>
      <c r="AN76" s="86">
        <v>6795.8656330749354</v>
      </c>
      <c r="AO76" s="86">
        <v>6795.8656330749354</v>
      </c>
      <c r="AP76" s="86">
        <v>6795.8656330749354</v>
      </c>
      <c r="AQ76" s="86">
        <v>6795.8656330749354</v>
      </c>
      <c r="AR76" s="86">
        <v>6795.8656330749354</v>
      </c>
      <c r="AS76" s="86">
        <v>6795.8656330749354</v>
      </c>
      <c r="AT76" s="86">
        <v>6795.8656330749354</v>
      </c>
      <c r="AU76" s="86">
        <v>6795.8656330749354</v>
      </c>
      <c r="AV76" s="86">
        <v>1</v>
      </c>
      <c r="AW76" s="86">
        <f t="shared" ref="AW76:AW83" si="15">AU76+AT76+AS76+AR76+AQ76+AP76+AO76+AN76+AM76+AL76+AK76+AJ76</f>
        <v>81550.387596899222</v>
      </c>
      <c r="AX76" s="86">
        <v>6795.8656330749354</v>
      </c>
      <c r="AY76" s="86">
        <v>6795.8656330749354</v>
      </c>
      <c r="AZ76" s="86">
        <v>6795.8656330749354</v>
      </c>
      <c r="BA76" s="86">
        <v>6795.8656330749354</v>
      </c>
      <c r="BB76" s="86">
        <v>6795.8656330749354</v>
      </c>
      <c r="BC76" s="86">
        <v>6795.8656330749354</v>
      </c>
      <c r="BD76" s="86">
        <v>6795.8656330749354</v>
      </c>
      <c r="BE76" s="86">
        <v>6795.8656330749354</v>
      </c>
      <c r="BF76" s="86">
        <v>6795.8656330749354</v>
      </c>
      <c r="BG76" s="86">
        <v>6795.8656330749354</v>
      </c>
      <c r="BH76" s="86">
        <v>6795.8656330749354</v>
      </c>
      <c r="BI76" s="86">
        <v>6795.8656330749354</v>
      </c>
      <c r="BJ76" s="86">
        <v>1</v>
      </c>
      <c r="BK76" s="86">
        <f t="shared" ref="BK76:BK84" si="16">BI76+BH76+BG76+BF76+BE76+BD76+BC76+BB76+BA76+AZ76+AY76+AX76</f>
        <v>81550.387596899222</v>
      </c>
      <c r="BL76" s="86">
        <v>6795.8656330749354</v>
      </c>
      <c r="BM76" s="86">
        <v>6795.8656330749354</v>
      </c>
      <c r="BN76" s="86">
        <v>6795.8656330749354</v>
      </c>
      <c r="BO76" s="86">
        <v>6795.8656330749354</v>
      </c>
      <c r="BP76" s="86">
        <v>6795.8656330749354</v>
      </c>
      <c r="BQ76" s="86">
        <v>6795.8656330749354</v>
      </c>
      <c r="BR76" s="86">
        <v>6795.8656330749354</v>
      </c>
      <c r="BS76" s="86">
        <v>6795.8656330749354</v>
      </c>
      <c r="BT76" s="86">
        <v>6795.8656330749354</v>
      </c>
      <c r="BU76" s="86">
        <v>6795.8656330749354</v>
      </c>
      <c r="BV76" s="86">
        <v>6795.8656330749354</v>
      </c>
      <c r="BW76" s="86">
        <v>6795.8656330749354</v>
      </c>
      <c r="BX76" s="86">
        <v>1</v>
      </c>
      <c r="BY76" s="86">
        <f t="shared" ref="BY76:BY84" si="17">BW76+BV76+BU76+BT76+BS76+BR76+BQ76+BP76+BO76+BN76+BM76+BL76</f>
        <v>81550.387596899222</v>
      </c>
      <c r="BZ76" s="71"/>
    </row>
    <row r="77" spans="1:78" ht="25.5" x14ac:dyDescent="0.25">
      <c r="A77" s="30" t="s">
        <v>98</v>
      </c>
      <c r="B77" s="84" t="s">
        <v>227</v>
      </c>
      <c r="C77" s="100">
        <v>1</v>
      </c>
      <c r="D77" s="86">
        <f>AOP_PEP!D80</f>
        <v>276000</v>
      </c>
      <c r="E77" s="85">
        <f t="shared" si="13"/>
        <v>276000</v>
      </c>
      <c r="F77" s="85">
        <v>1</v>
      </c>
      <c r="G77" s="85">
        <f t="shared" ref="G77:G83" si="18">J77+K77+L77+M77+N77+O77+P77+Q77+R77+S77+T77+U77</f>
        <v>55200</v>
      </c>
      <c r="H77" s="85"/>
      <c r="I77" s="85"/>
      <c r="J77" s="119">
        <f t="shared" ref="J77:J84" si="19">D77/60</f>
        <v>4600</v>
      </c>
      <c r="K77" s="85">
        <v>4600</v>
      </c>
      <c r="L77" s="85">
        <v>4600</v>
      </c>
      <c r="M77" s="85">
        <v>4600</v>
      </c>
      <c r="N77" s="85">
        <v>4600</v>
      </c>
      <c r="O77" s="85">
        <v>4600</v>
      </c>
      <c r="P77" s="85">
        <v>4600</v>
      </c>
      <c r="Q77" s="85">
        <v>4600</v>
      </c>
      <c r="R77" s="85">
        <v>4600</v>
      </c>
      <c r="S77" s="85">
        <v>4600</v>
      </c>
      <c r="T77" s="86">
        <v>4600</v>
      </c>
      <c r="U77" s="85">
        <v>4600</v>
      </c>
      <c r="V77" s="85">
        <v>4600</v>
      </c>
      <c r="W77" s="85">
        <v>4600</v>
      </c>
      <c r="X77" s="85">
        <v>4600</v>
      </c>
      <c r="Y77" s="85">
        <v>4600</v>
      </c>
      <c r="Z77" s="85">
        <v>4600</v>
      </c>
      <c r="AA77" s="85">
        <v>4600</v>
      </c>
      <c r="AB77" s="85">
        <v>4600</v>
      </c>
      <c r="AC77" s="85">
        <v>4600</v>
      </c>
      <c r="AD77" s="85">
        <v>4600</v>
      </c>
      <c r="AE77" s="85">
        <v>4600</v>
      </c>
      <c r="AF77" s="85">
        <v>4600</v>
      </c>
      <c r="AG77" s="85">
        <v>4600</v>
      </c>
      <c r="AH77" s="86">
        <v>1</v>
      </c>
      <c r="AI77" s="86">
        <f t="shared" si="14"/>
        <v>55200</v>
      </c>
      <c r="AJ77" s="86">
        <v>4600</v>
      </c>
      <c r="AK77" s="86">
        <v>4600</v>
      </c>
      <c r="AL77" s="86">
        <v>4600</v>
      </c>
      <c r="AM77" s="86">
        <v>4600</v>
      </c>
      <c r="AN77" s="86">
        <v>4600</v>
      </c>
      <c r="AO77" s="86">
        <v>4600</v>
      </c>
      <c r="AP77" s="86">
        <v>4600</v>
      </c>
      <c r="AQ77" s="86">
        <v>4600</v>
      </c>
      <c r="AR77" s="86">
        <v>4600</v>
      </c>
      <c r="AS77" s="86">
        <v>4600</v>
      </c>
      <c r="AT77" s="86">
        <v>4600</v>
      </c>
      <c r="AU77" s="86">
        <v>4600</v>
      </c>
      <c r="AV77" s="86">
        <v>1</v>
      </c>
      <c r="AW77" s="86">
        <f t="shared" si="15"/>
        <v>55200</v>
      </c>
      <c r="AX77" s="86">
        <v>4600</v>
      </c>
      <c r="AY77" s="86">
        <v>4600</v>
      </c>
      <c r="AZ77" s="86">
        <v>4600</v>
      </c>
      <c r="BA77" s="86">
        <v>4600</v>
      </c>
      <c r="BB77" s="86">
        <v>4600</v>
      </c>
      <c r="BC77" s="86">
        <v>4600</v>
      </c>
      <c r="BD77" s="86">
        <v>4600</v>
      </c>
      <c r="BE77" s="86">
        <v>4600</v>
      </c>
      <c r="BF77" s="86">
        <v>4600</v>
      </c>
      <c r="BG77" s="86">
        <v>4600</v>
      </c>
      <c r="BH77" s="86">
        <v>4600</v>
      </c>
      <c r="BI77" s="86">
        <v>4600</v>
      </c>
      <c r="BJ77" s="86">
        <v>1</v>
      </c>
      <c r="BK77" s="86">
        <f t="shared" si="16"/>
        <v>55200</v>
      </c>
      <c r="BL77" s="86">
        <v>4600</v>
      </c>
      <c r="BM77" s="86">
        <v>4600</v>
      </c>
      <c r="BN77" s="86">
        <v>4600</v>
      </c>
      <c r="BO77" s="86">
        <v>4600</v>
      </c>
      <c r="BP77" s="86">
        <v>4600</v>
      </c>
      <c r="BQ77" s="86">
        <v>4600</v>
      </c>
      <c r="BR77" s="86">
        <v>4600</v>
      </c>
      <c r="BS77" s="86">
        <v>4600</v>
      </c>
      <c r="BT77" s="86">
        <v>4600</v>
      </c>
      <c r="BU77" s="86">
        <v>4600</v>
      </c>
      <c r="BV77" s="86">
        <v>4600</v>
      </c>
      <c r="BW77" s="86">
        <v>4600</v>
      </c>
      <c r="BX77" s="86">
        <v>1</v>
      </c>
      <c r="BY77" s="86">
        <f t="shared" si="17"/>
        <v>55200</v>
      </c>
      <c r="BZ77" s="71"/>
    </row>
    <row r="78" spans="1:78" ht="25.5" x14ac:dyDescent="0.25">
      <c r="A78" s="30" t="s">
        <v>99</v>
      </c>
      <c r="B78" s="84" t="s">
        <v>227</v>
      </c>
      <c r="C78" s="100">
        <v>1</v>
      </c>
      <c r="D78" s="86">
        <f>AOP_PEP!D81</f>
        <v>314700</v>
      </c>
      <c r="E78" s="85">
        <f t="shared" si="13"/>
        <v>314700</v>
      </c>
      <c r="F78" s="85">
        <v>1</v>
      </c>
      <c r="G78" s="85">
        <f t="shared" si="18"/>
        <v>62940</v>
      </c>
      <c r="H78" s="85"/>
      <c r="I78" s="85"/>
      <c r="J78" s="119">
        <f t="shared" si="19"/>
        <v>5245</v>
      </c>
      <c r="K78" s="85">
        <v>5245</v>
      </c>
      <c r="L78" s="85">
        <v>5245</v>
      </c>
      <c r="M78" s="85">
        <v>5245</v>
      </c>
      <c r="N78" s="85">
        <v>5245</v>
      </c>
      <c r="O78" s="85">
        <v>5245</v>
      </c>
      <c r="P78" s="85">
        <v>5245</v>
      </c>
      <c r="Q78" s="85">
        <v>5245</v>
      </c>
      <c r="R78" s="85">
        <v>5245</v>
      </c>
      <c r="S78" s="85">
        <v>5245</v>
      </c>
      <c r="T78" s="86">
        <v>5245</v>
      </c>
      <c r="U78" s="85">
        <v>5245</v>
      </c>
      <c r="V78" s="85">
        <v>5245</v>
      </c>
      <c r="W78" s="85">
        <v>5245</v>
      </c>
      <c r="X78" s="85">
        <v>5245</v>
      </c>
      <c r="Y78" s="85">
        <v>5245</v>
      </c>
      <c r="Z78" s="85">
        <v>5245</v>
      </c>
      <c r="AA78" s="85">
        <v>5245</v>
      </c>
      <c r="AB78" s="85">
        <v>5245</v>
      </c>
      <c r="AC78" s="85">
        <v>5245</v>
      </c>
      <c r="AD78" s="85">
        <v>5245</v>
      </c>
      <c r="AE78" s="85">
        <v>5245</v>
      </c>
      <c r="AF78" s="85">
        <v>5245</v>
      </c>
      <c r="AG78" s="85">
        <v>5245</v>
      </c>
      <c r="AH78" s="86">
        <v>1</v>
      </c>
      <c r="AI78" s="86">
        <f t="shared" si="14"/>
        <v>62940</v>
      </c>
      <c r="AJ78" s="86">
        <v>5245</v>
      </c>
      <c r="AK78" s="86">
        <v>5245</v>
      </c>
      <c r="AL78" s="86">
        <v>5245</v>
      </c>
      <c r="AM78" s="86">
        <v>5245</v>
      </c>
      <c r="AN78" s="86">
        <v>5245</v>
      </c>
      <c r="AO78" s="86">
        <v>5245</v>
      </c>
      <c r="AP78" s="86">
        <v>5245</v>
      </c>
      <c r="AQ78" s="86">
        <v>5245</v>
      </c>
      <c r="AR78" s="86">
        <v>5245</v>
      </c>
      <c r="AS78" s="86">
        <v>5245</v>
      </c>
      <c r="AT78" s="86">
        <v>5245</v>
      </c>
      <c r="AU78" s="86">
        <v>5245</v>
      </c>
      <c r="AV78" s="86">
        <v>1</v>
      </c>
      <c r="AW78" s="86">
        <f t="shared" si="15"/>
        <v>62940</v>
      </c>
      <c r="AX78" s="86">
        <v>5245</v>
      </c>
      <c r="AY78" s="86">
        <v>5245</v>
      </c>
      <c r="AZ78" s="86">
        <v>5245</v>
      </c>
      <c r="BA78" s="86">
        <v>5245</v>
      </c>
      <c r="BB78" s="86">
        <v>5245</v>
      </c>
      <c r="BC78" s="86">
        <v>5245</v>
      </c>
      <c r="BD78" s="86">
        <v>5245</v>
      </c>
      <c r="BE78" s="86">
        <v>5245</v>
      </c>
      <c r="BF78" s="86">
        <v>5245</v>
      </c>
      <c r="BG78" s="86">
        <v>5245</v>
      </c>
      <c r="BH78" s="86">
        <v>5245</v>
      </c>
      <c r="BI78" s="86">
        <v>5245</v>
      </c>
      <c r="BJ78" s="86">
        <v>1</v>
      </c>
      <c r="BK78" s="86">
        <f t="shared" si="16"/>
        <v>62940</v>
      </c>
      <c r="BL78" s="86">
        <v>5245</v>
      </c>
      <c r="BM78" s="86">
        <v>5245</v>
      </c>
      <c r="BN78" s="86">
        <v>5245</v>
      </c>
      <c r="BO78" s="86">
        <v>5245</v>
      </c>
      <c r="BP78" s="86">
        <v>5245</v>
      </c>
      <c r="BQ78" s="86">
        <v>5245</v>
      </c>
      <c r="BR78" s="86">
        <v>5245</v>
      </c>
      <c r="BS78" s="86">
        <v>5245</v>
      </c>
      <c r="BT78" s="86">
        <v>5245</v>
      </c>
      <c r="BU78" s="86">
        <v>5245</v>
      </c>
      <c r="BV78" s="86">
        <v>5245</v>
      </c>
      <c r="BW78" s="86">
        <v>5245</v>
      </c>
      <c r="BX78" s="86">
        <v>1</v>
      </c>
      <c r="BY78" s="86">
        <f t="shared" si="17"/>
        <v>62940</v>
      </c>
      <c r="BZ78" s="71"/>
    </row>
    <row r="79" spans="1:78" ht="25.5" x14ac:dyDescent="0.25">
      <c r="A79" s="30" t="s">
        <v>100</v>
      </c>
      <c r="B79" s="84" t="s">
        <v>227</v>
      </c>
      <c r="C79" s="100">
        <v>1</v>
      </c>
      <c r="D79" s="86">
        <f>AOP_PEP!D82</f>
        <v>276000</v>
      </c>
      <c r="E79" s="85">
        <f t="shared" si="13"/>
        <v>276000</v>
      </c>
      <c r="F79" s="85">
        <v>1</v>
      </c>
      <c r="G79" s="85">
        <f t="shared" si="18"/>
        <v>55200</v>
      </c>
      <c r="H79" s="85"/>
      <c r="I79" s="85"/>
      <c r="J79" s="119">
        <f t="shared" si="19"/>
        <v>4600</v>
      </c>
      <c r="K79" s="85">
        <v>4600</v>
      </c>
      <c r="L79" s="85">
        <v>4600</v>
      </c>
      <c r="M79" s="85">
        <v>4600</v>
      </c>
      <c r="N79" s="85">
        <v>4600</v>
      </c>
      <c r="O79" s="85">
        <v>4600</v>
      </c>
      <c r="P79" s="85">
        <v>4600</v>
      </c>
      <c r="Q79" s="85">
        <v>4600</v>
      </c>
      <c r="R79" s="85">
        <v>4600</v>
      </c>
      <c r="S79" s="85">
        <v>4600</v>
      </c>
      <c r="T79" s="86">
        <v>4600</v>
      </c>
      <c r="U79" s="85">
        <v>4600</v>
      </c>
      <c r="V79" s="85">
        <v>4600</v>
      </c>
      <c r="W79" s="85">
        <v>4600</v>
      </c>
      <c r="X79" s="85">
        <v>4600</v>
      </c>
      <c r="Y79" s="85">
        <v>4600</v>
      </c>
      <c r="Z79" s="85">
        <v>4600</v>
      </c>
      <c r="AA79" s="85">
        <v>4600</v>
      </c>
      <c r="AB79" s="85">
        <v>4600</v>
      </c>
      <c r="AC79" s="85">
        <v>4600</v>
      </c>
      <c r="AD79" s="85">
        <v>4600</v>
      </c>
      <c r="AE79" s="85">
        <v>4600</v>
      </c>
      <c r="AF79" s="85">
        <v>4600</v>
      </c>
      <c r="AG79" s="85">
        <v>4600</v>
      </c>
      <c r="AH79" s="86">
        <v>1</v>
      </c>
      <c r="AI79" s="86">
        <f t="shared" si="14"/>
        <v>55200</v>
      </c>
      <c r="AJ79" s="86">
        <v>4600</v>
      </c>
      <c r="AK79" s="86">
        <v>4600</v>
      </c>
      <c r="AL79" s="86">
        <v>4600</v>
      </c>
      <c r="AM79" s="86">
        <v>4600</v>
      </c>
      <c r="AN79" s="86">
        <v>4600</v>
      </c>
      <c r="AO79" s="86">
        <v>4600</v>
      </c>
      <c r="AP79" s="86">
        <v>4600</v>
      </c>
      <c r="AQ79" s="86">
        <v>4600</v>
      </c>
      <c r="AR79" s="86">
        <v>4600</v>
      </c>
      <c r="AS79" s="86">
        <v>4600</v>
      </c>
      <c r="AT79" s="86">
        <v>4600</v>
      </c>
      <c r="AU79" s="86">
        <v>4600</v>
      </c>
      <c r="AV79" s="86">
        <v>1</v>
      </c>
      <c r="AW79" s="86">
        <f t="shared" si="15"/>
        <v>55200</v>
      </c>
      <c r="AX79" s="86">
        <v>4600</v>
      </c>
      <c r="AY79" s="86">
        <v>4600</v>
      </c>
      <c r="AZ79" s="86">
        <v>4600</v>
      </c>
      <c r="BA79" s="86">
        <v>4600</v>
      </c>
      <c r="BB79" s="86">
        <v>4600</v>
      </c>
      <c r="BC79" s="86">
        <v>4600</v>
      </c>
      <c r="BD79" s="86">
        <v>4600</v>
      </c>
      <c r="BE79" s="86">
        <v>4600</v>
      </c>
      <c r="BF79" s="86">
        <v>4600</v>
      </c>
      <c r="BG79" s="86">
        <v>4600</v>
      </c>
      <c r="BH79" s="86">
        <v>4600</v>
      </c>
      <c r="BI79" s="86">
        <v>4600</v>
      </c>
      <c r="BJ79" s="86">
        <v>1</v>
      </c>
      <c r="BK79" s="86">
        <f t="shared" si="16"/>
        <v>55200</v>
      </c>
      <c r="BL79" s="86">
        <v>4600</v>
      </c>
      <c r="BM79" s="86">
        <v>4600</v>
      </c>
      <c r="BN79" s="86">
        <v>4600</v>
      </c>
      <c r="BO79" s="86">
        <v>4600</v>
      </c>
      <c r="BP79" s="86">
        <v>4600</v>
      </c>
      <c r="BQ79" s="86">
        <v>4600</v>
      </c>
      <c r="BR79" s="86">
        <v>4600</v>
      </c>
      <c r="BS79" s="86">
        <v>4600</v>
      </c>
      <c r="BT79" s="86">
        <v>4600</v>
      </c>
      <c r="BU79" s="86">
        <v>4600</v>
      </c>
      <c r="BV79" s="86">
        <v>4600</v>
      </c>
      <c r="BW79" s="86">
        <v>4600</v>
      </c>
      <c r="BX79" s="86">
        <v>1</v>
      </c>
      <c r="BY79" s="86">
        <f t="shared" si="17"/>
        <v>55200</v>
      </c>
      <c r="BZ79" s="71"/>
    </row>
    <row r="80" spans="1:78" ht="25.5" x14ac:dyDescent="0.25">
      <c r="A80" s="30" t="s">
        <v>128</v>
      </c>
      <c r="B80" s="84" t="s">
        <v>227</v>
      </c>
      <c r="C80" s="100">
        <v>1</v>
      </c>
      <c r="D80" s="86">
        <f>AOP_PEP!D83</f>
        <v>170000</v>
      </c>
      <c r="E80" s="85">
        <f t="shared" si="13"/>
        <v>170000</v>
      </c>
      <c r="F80" s="85">
        <v>1</v>
      </c>
      <c r="G80" s="85">
        <f t="shared" si="18"/>
        <v>33999.999999999993</v>
      </c>
      <c r="H80" s="85"/>
      <c r="I80" s="85"/>
      <c r="J80" s="119">
        <f t="shared" si="19"/>
        <v>2833.3333333333335</v>
      </c>
      <c r="K80" s="85">
        <v>2833.3333333333335</v>
      </c>
      <c r="L80" s="85">
        <v>2833.3333333333335</v>
      </c>
      <c r="M80" s="85">
        <v>2833.3333333333335</v>
      </c>
      <c r="N80" s="85">
        <v>2833.3333333333335</v>
      </c>
      <c r="O80" s="85">
        <v>2833.3333333333335</v>
      </c>
      <c r="P80" s="85">
        <v>2833.3333333333335</v>
      </c>
      <c r="Q80" s="85">
        <v>2833.3333333333335</v>
      </c>
      <c r="R80" s="85">
        <v>2833.3333333333335</v>
      </c>
      <c r="S80" s="85">
        <v>2833.3333333333335</v>
      </c>
      <c r="T80" s="86">
        <v>2833.3333333333335</v>
      </c>
      <c r="U80" s="85">
        <v>2833.3333333333335</v>
      </c>
      <c r="V80" s="85">
        <v>2833.3333333333335</v>
      </c>
      <c r="W80" s="85">
        <v>2833.3333333333335</v>
      </c>
      <c r="X80" s="85">
        <v>2833.3333333333335</v>
      </c>
      <c r="Y80" s="85">
        <v>2833.3333333333335</v>
      </c>
      <c r="Z80" s="85">
        <v>2833.3333333333335</v>
      </c>
      <c r="AA80" s="85">
        <v>2833.3333333333335</v>
      </c>
      <c r="AB80" s="85">
        <v>2833.3333333333335</v>
      </c>
      <c r="AC80" s="85">
        <v>2833.3333333333335</v>
      </c>
      <c r="AD80" s="85">
        <v>2833.3333333333335</v>
      </c>
      <c r="AE80" s="85">
        <v>2833.3333333333335</v>
      </c>
      <c r="AF80" s="85">
        <v>2833.3333333333335</v>
      </c>
      <c r="AG80" s="85">
        <v>2833.3333333333335</v>
      </c>
      <c r="AH80" s="86">
        <v>1</v>
      </c>
      <c r="AI80" s="86">
        <f t="shared" si="14"/>
        <v>33999.999999999993</v>
      </c>
      <c r="AJ80" s="86">
        <v>2833.3333333333335</v>
      </c>
      <c r="AK80" s="86">
        <v>2833.3333333333335</v>
      </c>
      <c r="AL80" s="86">
        <v>2833.3333333333335</v>
      </c>
      <c r="AM80" s="86">
        <v>2833.3333333333335</v>
      </c>
      <c r="AN80" s="86">
        <v>2833.3333333333335</v>
      </c>
      <c r="AO80" s="86">
        <v>2833.3333333333335</v>
      </c>
      <c r="AP80" s="86">
        <v>2833.3333333333335</v>
      </c>
      <c r="AQ80" s="86">
        <v>2833.3333333333335</v>
      </c>
      <c r="AR80" s="86">
        <v>2833.3333333333335</v>
      </c>
      <c r="AS80" s="86">
        <v>2833.3333333333335</v>
      </c>
      <c r="AT80" s="86">
        <v>2833.3333333333335</v>
      </c>
      <c r="AU80" s="86">
        <v>2833.3333333333335</v>
      </c>
      <c r="AV80" s="86">
        <v>1</v>
      </c>
      <c r="AW80" s="86">
        <f t="shared" si="15"/>
        <v>33999.999999999993</v>
      </c>
      <c r="AX80" s="86">
        <v>2833.3333333333335</v>
      </c>
      <c r="AY80" s="86">
        <v>2833.3333333333335</v>
      </c>
      <c r="AZ80" s="86">
        <v>2833.3333333333335</v>
      </c>
      <c r="BA80" s="86">
        <v>2833.3333333333335</v>
      </c>
      <c r="BB80" s="86">
        <v>2833.3333333333335</v>
      </c>
      <c r="BC80" s="86">
        <v>2833.3333333333335</v>
      </c>
      <c r="BD80" s="86">
        <v>2833.3333333333335</v>
      </c>
      <c r="BE80" s="86">
        <v>2833.3333333333335</v>
      </c>
      <c r="BF80" s="86">
        <v>2833.3333333333335</v>
      </c>
      <c r="BG80" s="86">
        <v>2833.3333333333335</v>
      </c>
      <c r="BH80" s="86">
        <v>2833.3333333333335</v>
      </c>
      <c r="BI80" s="86">
        <v>2833.3333333333335</v>
      </c>
      <c r="BJ80" s="86">
        <v>1</v>
      </c>
      <c r="BK80" s="86">
        <f t="shared" si="16"/>
        <v>33999.999999999993</v>
      </c>
      <c r="BL80" s="86">
        <v>2833.3333333333335</v>
      </c>
      <c r="BM80" s="86">
        <v>2833.3333333333335</v>
      </c>
      <c r="BN80" s="86">
        <v>2833.3333333333335</v>
      </c>
      <c r="BO80" s="86">
        <v>2833.3333333333335</v>
      </c>
      <c r="BP80" s="86">
        <v>2833.3333333333335</v>
      </c>
      <c r="BQ80" s="86">
        <v>2833.3333333333335</v>
      </c>
      <c r="BR80" s="86">
        <v>2833.3333333333335</v>
      </c>
      <c r="BS80" s="86">
        <v>2833.3333333333335</v>
      </c>
      <c r="BT80" s="86">
        <v>2833.3333333333335</v>
      </c>
      <c r="BU80" s="86">
        <v>2833.3333333333335</v>
      </c>
      <c r="BV80" s="86">
        <v>2833.3333333333335</v>
      </c>
      <c r="BW80" s="86">
        <v>2833.3333333333335</v>
      </c>
      <c r="BX80" s="86">
        <v>1</v>
      </c>
      <c r="BY80" s="86">
        <f t="shared" si="17"/>
        <v>33999.999999999993</v>
      </c>
      <c r="BZ80" s="71"/>
    </row>
    <row r="81" spans="1:78" ht="25.5" x14ac:dyDescent="0.25">
      <c r="A81" s="30" t="s">
        <v>129</v>
      </c>
      <c r="B81" s="84" t="s">
        <v>227</v>
      </c>
      <c r="C81" s="100">
        <v>1</v>
      </c>
      <c r="D81" s="86">
        <f>AOP_PEP!D84</f>
        <v>170000</v>
      </c>
      <c r="E81" s="85">
        <f t="shared" si="13"/>
        <v>170000</v>
      </c>
      <c r="F81" s="85">
        <v>1</v>
      </c>
      <c r="G81" s="85">
        <f t="shared" si="18"/>
        <v>33999.999999999993</v>
      </c>
      <c r="H81" s="85"/>
      <c r="I81" s="85"/>
      <c r="J81" s="119">
        <f t="shared" si="19"/>
        <v>2833.3333333333335</v>
      </c>
      <c r="K81" s="85">
        <v>2833.3333333333335</v>
      </c>
      <c r="L81" s="85">
        <v>2833.3333333333335</v>
      </c>
      <c r="M81" s="85">
        <v>2833.3333333333335</v>
      </c>
      <c r="N81" s="85">
        <v>2833.3333333333335</v>
      </c>
      <c r="O81" s="85">
        <v>2833.3333333333335</v>
      </c>
      <c r="P81" s="85">
        <v>2833.3333333333335</v>
      </c>
      <c r="Q81" s="85">
        <v>2833.3333333333335</v>
      </c>
      <c r="R81" s="85">
        <v>2833.3333333333335</v>
      </c>
      <c r="S81" s="85">
        <v>2833.3333333333335</v>
      </c>
      <c r="T81" s="86">
        <v>2833.3333333333335</v>
      </c>
      <c r="U81" s="85">
        <v>2833.3333333333335</v>
      </c>
      <c r="V81" s="85">
        <v>2833.3333333333335</v>
      </c>
      <c r="W81" s="85">
        <v>2833.3333333333335</v>
      </c>
      <c r="X81" s="85">
        <v>2833.3333333333335</v>
      </c>
      <c r="Y81" s="85">
        <v>2833.3333333333335</v>
      </c>
      <c r="Z81" s="85">
        <v>2833.3333333333335</v>
      </c>
      <c r="AA81" s="85">
        <v>2833.3333333333335</v>
      </c>
      <c r="AB81" s="85">
        <v>2833.3333333333335</v>
      </c>
      <c r="AC81" s="85">
        <v>2833.3333333333335</v>
      </c>
      <c r="AD81" s="85">
        <v>2833.3333333333335</v>
      </c>
      <c r="AE81" s="85">
        <v>2833.3333333333335</v>
      </c>
      <c r="AF81" s="85">
        <v>2833.3333333333335</v>
      </c>
      <c r="AG81" s="85">
        <v>2833.3333333333335</v>
      </c>
      <c r="AH81" s="86">
        <v>1</v>
      </c>
      <c r="AI81" s="86">
        <f t="shared" si="14"/>
        <v>33999.999999999993</v>
      </c>
      <c r="AJ81" s="86">
        <v>2833.3333333333335</v>
      </c>
      <c r="AK81" s="86">
        <v>2833.3333333333335</v>
      </c>
      <c r="AL81" s="86">
        <v>2833.3333333333335</v>
      </c>
      <c r="AM81" s="86">
        <v>2833.3333333333335</v>
      </c>
      <c r="AN81" s="86">
        <v>2833.3333333333335</v>
      </c>
      <c r="AO81" s="86">
        <v>2833.3333333333335</v>
      </c>
      <c r="AP81" s="86">
        <v>2833.3333333333335</v>
      </c>
      <c r="AQ81" s="86">
        <v>2833.3333333333335</v>
      </c>
      <c r="AR81" s="86">
        <v>2833.3333333333335</v>
      </c>
      <c r="AS81" s="86">
        <v>2833.3333333333335</v>
      </c>
      <c r="AT81" s="86">
        <v>2833.3333333333335</v>
      </c>
      <c r="AU81" s="86">
        <v>2833.3333333333335</v>
      </c>
      <c r="AV81" s="86">
        <v>1</v>
      </c>
      <c r="AW81" s="86">
        <f t="shared" si="15"/>
        <v>33999.999999999993</v>
      </c>
      <c r="AX81" s="86">
        <v>2833.3333333333335</v>
      </c>
      <c r="AY81" s="86">
        <v>2833.3333333333335</v>
      </c>
      <c r="AZ81" s="86">
        <v>2833.3333333333335</v>
      </c>
      <c r="BA81" s="86">
        <v>2833.3333333333335</v>
      </c>
      <c r="BB81" s="86">
        <v>2833.3333333333335</v>
      </c>
      <c r="BC81" s="86">
        <v>2833.3333333333335</v>
      </c>
      <c r="BD81" s="86">
        <v>2833.3333333333335</v>
      </c>
      <c r="BE81" s="86">
        <v>2833.3333333333335</v>
      </c>
      <c r="BF81" s="86">
        <v>2833.3333333333335</v>
      </c>
      <c r="BG81" s="86">
        <v>2833.3333333333335</v>
      </c>
      <c r="BH81" s="86">
        <v>2833.3333333333335</v>
      </c>
      <c r="BI81" s="86">
        <v>2833.3333333333335</v>
      </c>
      <c r="BJ81" s="86">
        <v>1</v>
      </c>
      <c r="BK81" s="86">
        <f t="shared" si="16"/>
        <v>33999.999999999993</v>
      </c>
      <c r="BL81" s="86">
        <v>2833.3333333333335</v>
      </c>
      <c r="BM81" s="86">
        <v>2833.3333333333335</v>
      </c>
      <c r="BN81" s="86">
        <v>2833.3333333333335</v>
      </c>
      <c r="BO81" s="86">
        <v>2833.3333333333335</v>
      </c>
      <c r="BP81" s="86">
        <v>2833.3333333333335</v>
      </c>
      <c r="BQ81" s="86">
        <v>2833.3333333333335</v>
      </c>
      <c r="BR81" s="86">
        <v>2833.3333333333335</v>
      </c>
      <c r="BS81" s="86">
        <v>2833.3333333333335</v>
      </c>
      <c r="BT81" s="86">
        <v>2833.3333333333335</v>
      </c>
      <c r="BU81" s="86">
        <v>2833.3333333333335</v>
      </c>
      <c r="BV81" s="86">
        <v>2833.3333333333335</v>
      </c>
      <c r="BW81" s="86">
        <v>2833.3333333333335</v>
      </c>
      <c r="BX81" s="86">
        <v>1</v>
      </c>
      <c r="BY81" s="86">
        <f t="shared" si="17"/>
        <v>33999.999999999993</v>
      </c>
      <c r="BZ81" s="71"/>
    </row>
    <row r="82" spans="1:78" ht="25.5" x14ac:dyDescent="0.25">
      <c r="A82" s="30" t="s">
        <v>132</v>
      </c>
      <c r="B82" s="84" t="s">
        <v>227</v>
      </c>
      <c r="C82" s="100">
        <v>1</v>
      </c>
      <c r="D82" s="86">
        <f>AOP_PEP!D85</f>
        <v>118110.23622047243</v>
      </c>
      <c r="E82" s="85">
        <f t="shared" si="13"/>
        <v>118110.23622047243</v>
      </c>
      <c r="F82" s="85">
        <v>1</v>
      </c>
      <c r="G82" s="85">
        <f t="shared" si="18"/>
        <v>23622.047244094487</v>
      </c>
      <c r="H82" s="85"/>
      <c r="I82" s="85"/>
      <c r="J82" s="119">
        <f t="shared" si="19"/>
        <v>1968.5039370078739</v>
      </c>
      <c r="K82" s="85">
        <v>1968.5039370078739</v>
      </c>
      <c r="L82" s="85">
        <v>1968.5039370078739</v>
      </c>
      <c r="M82" s="85">
        <v>1968.5039370078739</v>
      </c>
      <c r="N82" s="85">
        <v>1968.5039370078739</v>
      </c>
      <c r="O82" s="85">
        <v>1968.5039370078739</v>
      </c>
      <c r="P82" s="85">
        <v>1968.5039370078739</v>
      </c>
      <c r="Q82" s="85">
        <v>1968.5039370078739</v>
      </c>
      <c r="R82" s="85">
        <v>1968.5039370078739</v>
      </c>
      <c r="S82" s="85">
        <v>1968.5039370078739</v>
      </c>
      <c r="T82" s="86">
        <v>1968.5039370078739</v>
      </c>
      <c r="U82" s="85">
        <v>1968.5039370078739</v>
      </c>
      <c r="V82" s="85">
        <v>1968.5039370078739</v>
      </c>
      <c r="W82" s="85">
        <v>1968.5039370078739</v>
      </c>
      <c r="X82" s="85">
        <v>1968.5039370078739</v>
      </c>
      <c r="Y82" s="85">
        <v>1968.5039370078739</v>
      </c>
      <c r="Z82" s="85">
        <v>1968.5039370078739</v>
      </c>
      <c r="AA82" s="85">
        <v>1968.5039370078739</v>
      </c>
      <c r="AB82" s="85">
        <v>1968.5039370078739</v>
      </c>
      <c r="AC82" s="85">
        <v>1968.5039370078739</v>
      </c>
      <c r="AD82" s="85">
        <v>1968.5039370078739</v>
      </c>
      <c r="AE82" s="85">
        <v>1968.5039370078739</v>
      </c>
      <c r="AF82" s="85">
        <v>1968.5039370078739</v>
      </c>
      <c r="AG82" s="85">
        <v>1968.5039370078739</v>
      </c>
      <c r="AH82" s="86">
        <v>1</v>
      </c>
      <c r="AI82" s="86">
        <f t="shared" si="14"/>
        <v>23622.047244094487</v>
      </c>
      <c r="AJ82" s="86">
        <v>1968.5039370078739</v>
      </c>
      <c r="AK82" s="86">
        <v>1968.5039370078739</v>
      </c>
      <c r="AL82" s="86">
        <v>1968.5039370078739</v>
      </c>
      <c r="AM82" s="86">
        <v>1968.5039370078739</v>
      </c>
      <c r="AN82" s="86">
        <v>1968.5039370078739</v>
      </c>
      <c r="AO82" s="86">
        <v>1968.5039370078739</v>
      </c>
      <c r="AP82" s="86">
        <v>1968.5039370078739</v>
      </c>
      <c r="AQ82" s="86">
        <v>1968.5039370078739</v>
      </c>
      <c r="AR82" s="86">
        <v>1968.5039370078739</v>
      </c>
      <c r="AS82" s="86">
        <v>1968.5039370078739</v>
      </c>
      <c r="AT82" s="86">
        <v>1968.5039370078739</v>
      </c>
      <c r="AU82" s="86">
        <v>1968.5039370078739</v>
      </c>
      <c r="AV82" s="86">
        <v>1</v>
      </c>
      <c r="AW82" s="86">
        <f t="shared" si="15"/>
        <v>23622.047244094487</v>
      </c>
      <c r="AX82" s="86">
        <v>1968.5039370078739</v>
      </c>
      <c r="AY82" s="86">
        <v>1968.5039370078739</v>
      </c>
      <c r="AZ82" s="86">
        <v>1968.5039370078739</v>
      </c>
      <c r="BA82" s="86">
        <v>1968.5039370078739</v>
      </c>
      <c r="BB82" s="86">
        <v>1968.5039370078739</v>
      </c>
      <c r="BC82" s="86">
        <v>1968.5039370078739</v>
      </c>
      <c r="BD82" s="86">
        <v>1968.5039370078739</v>
      </c>
      <c r="BE82" s="86">
        <v>1968.5039370078739</v>
      </c>
      <c r="BF82" s="86">
        <v>1968.5039370078739</v>
      </c>
      <c r="BG82" s="86">
        <v>1968.5039370078739</v>
      </c>
      <c r="BH82" s="86">
        <v>1968.5039370078739</v>
      </c>
      <c r="BI82" s="86">
        <v>1968.5039370078739</v>
      </c>
      <c r="BJ82" s="86">
        <v>1</v>
      </c>
      <c r="BK82" s="86">
        <f t="shared" si="16"/>
        <v>23622.047244094487</v>
      </c>
      <c r="BL82" s="86">
        <v>1968.5039370078739</v>
      </c>
      <c r="BM82" s="86">
        <v>1968.5039370078739</v>
      </c>
      <c r="BN82" s="86">
        <v>1968.5039370078739</v>
      </c>
      <c r="BO82" s="86">
        <v>1968.5039370078739</v>
      </c>
      <c r="BP82" s="86">
        <v>1968.5039370078739</v>
      </c>
      <c r="BQ82" s="86">
        <v>1968.5039370078739</v>
      </c>
      <c r="BR82" s="86">
        <v>1968.5039370078739</v>
      </c>
      <c r="BS82" s="86">
        <v>1968.5039370078739</v>
      </c>
      <c r="BT82" s="86">
        <v>1968.5039370078739</v>
      </c>
      <c r="BU82" s="86">
        <v>1968.5039370078739</v>
      </c>
      <c r="BV82" s="86">
        <v>1968.5039370078739</v>
      </c>
      <c r="BW82" s="86">
        <v>1968.5039370078739</v>
      </c>
      <c r="BX82" s="86">
        <v>1</v>
      </c>
      <c r="BY82" s="86">
        <f t="shared" si="17"/>
        <v>23622.047244094487</v>
      </c>
      <c r="BZ82" s="71"/>
    </row>
    <row r="83" spans="1:78" ht="25.5" x14ac:dyDescent="0.25">
      <c r="A83" s="30" t="s">
        <v>60</v>
      </c>
      <c r="B83" s="84" t="s">
        <v>227</v>
      </c>
      <c r="C83" s="100">
        <v>1</v>
      </c>
      <c r="D83" s="86">
        <f>AOP_PEP!D86</f>
        <v>60000</v>
      </c>
      <c r="E83" s="85">
        <f t="shared" si="13"/>
        <v>60000</v>
      </c>
      <c r="F83" s="85">
        <v>1</v>
      </c>
      <c r="G83" s="85">
        <f t="shared" si="18"/>
        <v>12000</v>
      </c>
      <c r="H83" s="85"/>
      <c r="I83" s="85"/>
      <c r="J83" s="119"/>
      <c r="K83" s="85"/>
      <c r="L83" s="85"/>
      <c r="M83" s="85"/>
      <c r="N83" s="85"/>
      <c r="O83" s="85"/>
      <c r="P83" s="85"/>
      <c r="Q83" s="85">
        <f>E83/5</f>
        <v>12000</v>
      </c>
      <c r="R83" s="85"/>
      <c r="S83" s="85"/>
      <c r="T83" s="86"/>
      <c r="U83" s="85"/>
      <c r="V83" s="85"/>
      <c r="W83" s="85"/>
      <c r="X83" s="85"/>
      <c r="Y83" s="85"/>
      <c r="Z83" s="85"/>
      <c r="AA83" s="85"/>
      <c r="AB83" s="85"/>
      <c r="AC83" s="85">
        <f>D83/5</f>
        <v>12000</v>
      </c>
      <c r="AD83" s="85"/>
      <c r="AE83" s="85"/>
      <c r="AF83" s="85"/>
      <c r="AG83" s="85"/>
      <c r="AH83" s="86">
        <v>1</v>
      </c>
      <c r="AI83" s="86">
        <f t="shared" si="14"/>
        <v>12000</v>
      </c>
      <c r="AJ83" s="86"/>
      <c r="AK83" s="86"/>
      <c r="AL83" s="86"/>
      <c r="AM83" s="86"/>
      <c r="AN83" s="86"/>
      <c r="AO83" s="86"/>
      <c r="AP83" s="86"/>
      <c r="AQ83" s="86">
        <f>D83/5</f>
        <v>12000</v>
      </c>
      <c r="AR83" s="86"/>
      <c r="AS83" s="86"/>
      <c r="AT83" s="86"/>
      <c r="AU83" s="86"/>
      <c r="AV83" s="86">
        <v>1</v>
      </c>
      <c r="AW83" s="86">
        <f t="shared" si="15"/>
        <v>12000</v>
      </c>
      <c r="AX83" s="86"/>
      <c r="AY83" s="86"/>
      <c r="AZ83" s="86"/>
      <c r="BA83" s="86"/>
      <c r="BB83" s="86"/>
      <c r="BC83" s="86"/>
      <c r="BD83" s="86"/>
      <c r="BE83" s="86">
        <f>D83/5</f>
        <v>12000</v>
      </c>
      <c r="BF83" s="86"/>
      <c r="BG83" s="86"/>
      <c r="BH83" s="86"/>
      <c r="BI83" s="86"/>
      <c r="BJ83" s="86">
        <v>1</v>
      </c>
      <c r="BK83" s="86">
        <f t="shared" si="16"/>
        <v>12000</v>
      </c>
      <c r="BL83" s="86"/>
      <c r="BM83" s="86"/>
      <c r="BN83" s="86"/>
      <c r="BO83" s="86"/>
      <c r="BP83" s="86"/>
      <c r="BQ83" s="86"/>
      <c r="BR83" s="86"/>
      <c r="BS83" s="86">
        <f>D83/5</f>
        <v>12000</v>
      </c>
      <c r="BT83" s="86"/>
      <c r="BU83" s="86"/>
      <c r="BV83" s="86"/>
      <c r="BW83" s="86"/>
      <c r="BX83" s="86">
        <v>1</v>
      </c>
      <c r="BY83" s="86">
        <f t="shared" si="17"/>
        <v>12000</v>
      </c>
      <c r="BZ83" s="71"/>
    </row>
    <row r="84" spans="1:78" ht="35.25" customHeight="1" x14ac:dyDescent="0.25">
      <c r="A84" s="97" t="s">
        <v>308</v>
      </c>
      <c r="B84" s="84"/>
      <c r="C84" s="102"/>
      <c r="D84" s="80"/>
      <c r="E84" s="85">
        <f>AOP_PEP!D87</f>
        <v>300000</v>
      </c>
      <c r="F84" s="85">
        <v>1</v>
      </c>
      <c r="G84" s="85">
        <f>U84</f>
        <v>0</v>
      </c>
      <c r="H84" s="85"/>
      <c r="I84" s="85"/>
      <c r="J84" s="119">
        <f t="shared" si="19"/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5">
        <v>0</v>
      </c>
      <c r="S84" s="85">
        <v>0</v>
      </c>
      <c r="T84" s="86">
        <v>0</v>
      </c>
      <c r="U84" s="85">
        <v>0</v>
      </c>
      <c r="V84" s="85">
        <v>0</v>
      </c>
      <c r="W84" s="85">
        <v>0</v>
      </c>
      <c r="X84" s="85">
        <v>0</v>
      </c>
      <c r="Y84" s="85">
        <v>0</v>
      </c>
      <c r="Z84" s="85">
        <v>0</v>
      </c>
      <c r="AA84" s="85">
        <v>0</v>
      </c>
      <c r="AB84" s="85">
        <v>0</v>
      </c>
      <c r="AC84" s="85">
        <v>0</v>
      </c>
      <c r="AD84" s="85">
        <v>0</v>
      </c>
      <c r="AE84" s="85">
        <v>0</v>
      </c>
      <c r="AF84" s="85">
        <v>0</v>
      </c>
      <c r="AG84" s="85">
        <v>0</v>
      </c>
      <c r="AH84" s="86">
        <v>1</v>
      </c>
      <c r="AI84" s="86">
        <f t="shared" si="14"/>
        <v>0</v>
      </c>
      <c r="AJ84" s="86">
        <f>E84/2</f>
        <v>150000</v>
      </c>
      <c r="AK84" s="86">
        <v>0</v>
      </c>
      <c r="AL84" s="86">
        <v>0</v>
      </c>
      <c r="AM84" s="86">
        <v>0</v>
      </c>
      <c r="AN84" s="86">
        <v>0</v>
      </c>
      <c r="AO84" s="86">
        <v>0</v>
      </c>
      <c r="AP84" s="86">
        <v>0</v>
      </c>
      <c r="AQ84" s="86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1</v>
      </c>
      <c r="AW84" s="86">
        <f>AU84+AT84+AS84+AR84+AQ84+AP84+AO84+AN84+AM84+AL84+AK84+AJ84</f>
        <v>150000</v>
      </c>
      <c r="AX84" s="86">
        <v>0</v>
      </c>
      <c r="AY84" s="86">
        <v>0</v>
      </c>
      <c r="AZ84" s="86">
        <f>E84/2</f>
        <v>150000</v>
      </c>
      <c r="BA84" s="86">
        <v>0</v>
      </c>
      <c r="BB84" s="86">
        <v>0</v>
      </c>
      <c r="BC84" s="86">
        <v>0</v>
      </c>
      <c r="BD84" s="86">
        <v>0</v>
      </c>
      <c r="BE84" s="86">
        <v>0</v>
      </c>
      <c r="BF84" s="86">
        <v>0</v>
      </c>
      <c r="BG84" s="86">
        <v>0</v>
      </c>
      <c r="BH84" s="86">
        <v>0</v>
      </c>
      <c r="BI84" s="86">
        <v>0</v>
      </c>
      <c r="BJ84" s="86">
        <v>1</v>
      </c>
      <c r="BK84" s="86">
        <f t="shared" si="16"/>
        <v>150000</v>
      </c>
      <c r="BL84" s="86">
        <v>0</v>
      </c>
      <c r="BM84" s="86">
        <v>0</v>
      </c>
      <c r="BN84" s="86">
        <v>0</v>
      </c>
      <c r="BO84" s="86">
        <v>0</v>
      </c>
      <c r="BP84" s="86">
        <v>0</v>
      </c>
      <c r="BQ84" s="86">
        <v>0</v>
      </c>
      <c r="BR84" s="86">
        <v>0</v>
      </c>
      <c r="BS84" s="86">
        <v>0</v>
      </c>
      <c r="BT84" s="86">
        <v>0</v>
      </c>
      <c r="BU84" s="86">
        <v>0</v>
      </c>
      <c r="BV84" s="86">
        <v>0</v>
      </c>
      <c r="BW84" s="86">
        <v>0</v>
      </c>
      <c r="BX84" s="86">
        <v>1</v>
      </c>
      <c r="BY84" s="86">
        <f t="shared" si="17"/>
        <v>0</v>
      </c>
      <c r="BZ84" s="71"/>
    </row>
    <row r="85" spans="1:78" s="61" customFormat="1" ht="31.5" customHeight="1" x14ac:dyDescent="0.25">
      <c r="A85" s="174" t="s">
        <v>66</v>
      </c>
      <c r="B85" s="172"/>
      <c r="C85" s="173"/>
      <c r="D85" s="172"/>
      <c r="E85" s="167">
        <f>AOP_PEP!D88</f>
        <v>500000</v>
      </c>
      <c r="F85" s="172">
        <v>1</v>
      </c>
      <c r="G85" s="172">
        <f>U85</f>
        <v>0</v>
      </c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83"/>
    </row>
    <row r="86" spans="1:78" x14ac:dyDescent="0.25">
      <c r="A86" s="35"/>
      <c r="B86" s="84"/>
      <c r="C86" s="102"/>
      <c r="D86" s="80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6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71"/>
    </row>
    <row r="87" spans="1:78" s="171" customFormat="1" ht="36" customHeight="1" x14ac:dyDescent="0.25">
      <c r="A87" s="96" t="s">
        <v>310</v>
      </c>
      <c r="B87" s="85"/>
      <c r="C87" s="168"/>
      <c r="D87" s="85"/>
      <c r="E87" s="169">
        <f>SUM(E75:E86)</f>
        <v>2800000.1742049688</v>
      </c>
      <c r="F87" s="85"/>
      <c r="G87" s="85">
        <f>(J87+K87+L87+M87+N87+O87+P87+Q87+R87+S87+T87+U87)+H87</f>
        <v>565950.43484099372</v>
      </c>
      <c r="H87" s="85">
        <f>H75</f>
        <v>207438</v>
      </c>
      <c r="I87" s="85"/>
      <c r="J87" s="169">
        <f>SUM(J75:J86)</f>
        <v>28876.036236749474</v>
      </c>
      <c r="K87" s="169">
        <f>SUM(K75:K86)</f>
        <v>28876.036236749474</v>
      </c>
      <c r="L87" s="169">
        <f t="shared" ref="L87:N87" si="20">SUM(L75:L86)</f>
        <v>28876.036236749474</v>
      </c>
      <c r="M87" s="169">
        <f t="shared" si="20"/>
        <v>28876.036236749474</v>
      </c>
      <c r="N87" s="169">
        <f t="shared" si="20"/>
        <v>28876.036236749474</v>
      </c>
      <c r="O87" s="169">
        <f>SUM(O75:O86)</f>
        <v>28876.036236749474</v>
      </c>
      <c r="P87" s="169">
        <f>SUM(P75:P86)</f>
        <v>28876.036236749474</v>
      </c>
      <c r="Q87" s="169">
        <f>SUM(Q75:Q86)</f>
        <v>40876.036236749474</v>
      </c>
      <c r="R87" s="169">
        <f t="shared" ref="R87:BW87" si="21">SUM(R75:R86)</f>
        <v>28876.036236749474</v>
      </c>
      <c r="S87" s="169">
        <f t="shared" si="21"/>
        <v>28876.036236749474</v>
      </c>
      <c r="T87" s="169">
        <f t="shared" si="21"/>
        <v>28876.036236749474</v>
      </c>
      <c r="U87" s="169">
        <f t="shared" si="21"/>
        <v>28876.036236749474</v>
      </c>
      <c r="V87" s="169">
        <f t="shared" si="21"/>
        <v>28876.036236749474</v>
      </c>
      <c r="W87" s="169">
        <f t="shared" si="21"/>
        <v>28876.036236749474</v>
      </c>
      <c r="X87" s="169">
        <f t="shared" si="21"/>
        <v>28876.036236749474</v>
      </c>
      <c r="Y87" s="169">
        <f t="shared" si="21"/>
        <v>28876.036236749474</v>
      </c>
      <c r="Z87" s="169">
        <f t="shared" si="21"/>
        <v>28876.036236749474</v>
      </c>
      <c r="AA87" s="169">
        <f t="shared" si="21"/>
        <v>28876.036236749474</v>
      </c>
      <c r="AB87" s="169">
        <f t="shared" si="21"/>
        <v>28876.036236749474</v>
      </c>
      <c r="AC87" s="169">
        <f t="shared" si="21"/>
        <v>40876.036236749474</v>
      </c>
      <c r="AD87" s="169">
        <f t="shared" si="21"/>
        <v>28876.036236749474</v>
      </c>
      <c r="AE87" s="169">
        <f t="shared" si="21"/>
        <v>28876.036236749474</v>
      </c>
      <c r="AF87" s="169">
        <f t="shared" si="21"/>
        <v>28876.036236749474</v>
      </c>
      <c r="AG87" s="169">
        <f t="shared" si="21"/>
        <v>28876.036236749474</v>
      </c>
      <c r="AH87" s="169"/>
      <c r="AI87" s="169">
        <f>AG87+AF87+AE87+AD87+AC87+AB87+AA87+Z87+Y87+X87+W87+V87</f>
        <v>358512.43484099372</v>
      </c>
      <c r="AJ87" s="169">
        <f t="shared" si="21"/>
        <v>178876.03623674947</v>
      </c>
      <c r="AK87" s="169">
        <f t="shared" si="21"/>
        <v>28876.036236749474</v>
      </c>
      <c r="AL87" s="169">
        <f t="shared" si="21"/>
        <v>28876.036236749474</v>
      </c>
      <c r="AM87" s="169">
        <f t="shared" si="21"/>
        <v>28876.036236749474</v>
      </c>
      <c r="AN87" s="169">
        <f t="shared" si="21"/>
        <v>28876.036236749474</v>
      </c>
      <c r="AO87" s="169">
        <f t="shared" si="21"/>
        <v>28876.036236749474</v>
      </c>
      <c r="AP87" s="169">
        <f t="shared" si="21"/>
        <v>28876.036236749474</v>
      </c>
      <c r="AQ87" s="169">
        <f t="shared" si="21"/>
        <v>40876.036236749474</v>
      </c>
      <c r="AR87" s="169">
        <f t="shared" si="21"/>
        <v>28876.036236749474</v>
      </c>
      <c r="AS87" s="169">
        <f t="shared" si="21"/>
        <v>28876.036236749474</v>
      </c>
      <c r="AT87" s="169">
        <f t="shared" si="21"/>
        <v>28876.036236749474</v>
      </c>
      <c r="AU87" s="169">
        <f t="shared" si="21"/>
        <v>28876.036236749474</v>
      </c>
      <c r="AV87" s="169"/>
      <c r="AW87" s="169">
        <f>AU87+AT87+AS87+AR87+AQ87+AP87+AO87+AN87+AM87+AL87+AK87+AJ87</f>
        <v>508512.43484099372</v>
      </c>
      <c r="AX87" s="169">
        <f t="shared" si="21"/>
        <v>28876.036236749474</v>
      </c>
      <c r="AY87" s="169">
        <f t="shared" si="21"/>
        <v>28876.036236749474</v>
      </c>
      <c r="AZ87" s="169">
        <f t="shared" si="21"/>
        <v>178876.03623674947</v>
      </c>
      <c r="BA87" s="169">
        <f t="shared" si="21"/>
        <v>28876.036236749474</v>
      </c>
      <c r="BB87" s="169">
        <f t="shared" si="21"/>
        <v>28876.036236749474</v>
      </c>
      <c r="BC87" s="169">
        <f t="shared" si="21"/>
        <v>28876.036236749474</v>
      </c>
      <c r="BD87" s="169">
        <f t="shared" si="21"/>
        <v>28876.036236749474</v>
      </c>
      <c r="BE87" s="169">
        <f t="shared" si="21"/>
        <v>40876.036236749474</v>
      </c>
      <c r="BF87" s="169">
        <f t="shared" si="21"/>
        <v>28876.036236749474</v>
      </c>
      <c r="BG87" s="169">
        <f t="shared" si="21"/>
        <v>28876.036236749474</v>
      </c>
      <c r="BH87" s="169">
        <f t="shared" si="21"/>
        <v>28876.036236749474</v>
      </c>
      <c r="BI87" s="169">
        <f t="shared" si="21"/>
        <v>28876.036236749474</v>
      </c>
      <c r="BJ87" s="169"/>
      <c r="BK87" s="169">
        <f>BI87+BH87+BG87+BF87+BE87+BD87+BC87+BB87+BA87+AZ87+AY87+AX87</f>
        <v>508512.43484099372</v>
      </c>
      <c r="BL87" s="169">
        <f t="shared" si="21"/>
        <v>28876.036236749474</v>
      </c>
      <c r="BM87" s="169">
        <f t="shared" si="21"/>
        <v>28876.036236749474</v>
      </c>
      <c r="BN87" s="169">
        <f t="shared" si="21"/>
        <v>28876.036236749474</v>
      </c>
      <c r="BO87" s="169">
        <f t="shared" si="21"/>
        <v>28876.036236749474</v>
      </c>
      <c r="BP87" s="169">
        <f t="shared" si="21"/>
        <v>28876.036236749474</v>
      </c>
      <c r="BQ87" s="169">
        <f t="shared" si="21"/>
        <v>28876.036236749474</v>
      </c>
      <c r="BR87" s="169">
        <f t="shared" si="21"/>
        <v>28876.036236749474</v>
      </c>
      <c r="BS87" s="169">
        <f t="shared" si="21"/>
        <v>40876.036236749474</v>
      </c>
      <c r="BT87" s="169">
        <f t="shared" si="21"/>
        <v>28876.036236749474</v>
      </c>
      <c r="BU87" s="169">
        <f t="shared" si="21"/>
        <v>28876.036236749474</v>
      </c>
      <c r="BV87" s="169">
        <f t="shared" si="21"/>
        <v>28876.036236749474</v>
      </c>
      <c r="BW87" s="169">
        <f t="shared" si="21"/>
        <v>28876.036236749474</v>
      </c>
      <c r="BX87" s="169"/>
      <c r="BY87" s="169">
        <f>BW87+BV87+BU87+BT87+BS87+BR87+BQ87+BP87+BO87+BN87+BM87+BL87</f>
        <v>358512.43484099372</v>
      </c>
      <c r="BZ87" s="170"/>
    </row>
    <row r="88" spans="1:78" ht="13.5" thickBot="1" x14ac:dyDescent="0.3">
      <c r="A88" s="96"/>
      <c r="B88" s="84"/>
      <c r="C88" s="102"/>
      <c r="D88" s="86"/>
      <c r="E88" s="85"/>
      <c r="F88" s="85"/>
      <c r="G88" s="182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6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6"/>
      <c r="AI88" s="185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185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185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185"/>
      <c r="BZ88" s="71"/>
    </row>
    <row r="89" spans="1:78" s="179" customFormat="1" ht="36.75" customHeight="1" thickBot="1" x14ac:dyDescent="0.3">
      <c r="A89" s="176" t="s">
        <v>311</v>
      </c>
      <c r="B89" s="177"/>
      <c r="C89" s="178"/>
      <c r="D89" s="177"/>
      <c r="E89" s="177"/>
      <c r="F89" s="180"/>
      <c r="G89" s="184">
        <f>G87+G71</f>
        <v>3426492.0581849599</v>
      </c>
      <c r="H89" s="181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80"/>
      <c r="AI89" s="184">
        <f>AI87+AI71</f>
        <v>5447160.2232005289</v>
      </c>
      <c r="AJ89" s="181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80"/>
      <c r="AW89" s="184">
        <f>AW87+AW71</f>
        <v>6612712.10150766</v>
      </c>
      <c r="AX89" s="181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80"/>
      <c r="BK89" s="184">
        <f>BK87+BK71</f>
        <v>3020524.1307474263</v>
      </c>
      <c r="BL89" s="181"/>
      <c r="BM89" s="177"/>
      <c r="BN89" s="177"/>
      <c r="BO89" s="177"/>
      <c r="BP89" s="177"/>
      <c r="BQ89" s="177"/>
      <c r="BR89" s="177"/>
      <c r="BS89" s="177"/>
      <c r="BT89" s="177"/>
      <c r="BU89" s="177"/>
      <c r="BV89" s="177"/>
      <c r="BW89" s="177"/>
      <c r="BX89" s="180"/>
      <c r="BY89" s="184">
        <f>(BY87+BY71)+E85</f>
        <v>1493111.4323347281</v>
      </c>
      <c r="BZ89" s="187">
        <f>BY89+BK89+AW89+AI89+G89</f>
        <v>19999999.945975304</v>
      </c>
    </row>
    <row r="90" spans="1:78" ht="18.75" customHeight="1" x14ac:dyDescent="0.25">
      <c r="A90" s="96"/>
      <c r="B90" s="84"/>
      <c r="C90" s="102"/>
      <c r="D90" s="86"/>
      <c r="E90" s="85"/>
      <c r="F90" s="85"/>
      <c r="G90" s="183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6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6"/>
      <c r="AI90" s="1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1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1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186"/>
      <c r="BZ90" s="170"/>
    </row>
    <row r="91" spans="1:78" ht="21" customHeight="1" x14ac:dyDescent="0.25">
      <c r="A91" s="96"/>
      <c r="B91" s="84"/>
      <c r="C91" s="102"/>
      <c r="D91" s="86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6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170"/>
    </row>
    <row r="92" spans="1:78" x14ac:dyDescent="0.25">
      <c r="A92" s="98" t="s">
        <v>101</v>
      </c>
      <c r="B92" s="98"/>
      <c r="C92" s="104"/>
      <c r="D92" s="98"/>
      <c r="E92" s="98">
        <f>E85+E84+E83+E82+E81+E80+E79+E78+E77+E76+E75+E71</f>
        <v>20000000.174204968</v>
      </c>
      <c r="F92" s="85"/>
      <c r="G92" s="85"/>
      <c r="H92" s="85">
        <f>H75+H84</f>
        <v>207438</v>
      </c>
      <c r="I92" s="118">
        <f>I53</f>
        <v>5000</v>
      </c>
      <c r="J92" s="85">
        <f>J53+J76+J77+J78+J79+J80+J81+J82+J83</f>
        <v>33876.036236749474</v>
      </c>
      <c r="K92" s="85">
        <f>K53+K76+K77+K78+K79+K80+K81+K82+K83+K84</f>
        <v>33876.036236749474</v>
      </c>
      <c r="L92" s="119">
        <f>L28+L52+L53+L67+L76+L77+L78+L79+L80+L81+L82+L83+L84</f>
        <v>445745.79496690817</v>
      </c>
      <c r="M92" s="85"/>
      <c r="N92" s="85"/>
      <c r="O92" s="85"/>
      <c r="P92" s="85"/>
      <c r="Q92" s="85"/>
      <c r="R92" s="85"/>
      <c r="S92" s="85"/>
      <c r="T92" s="86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170"/>
    </row>
    <row r="93" spans="1:78" x14ac:dyDescent="0.25">
      <c r="E93" s="112"/>
      <c r="H93" s="315" t="s">
        <v>197</v>
      </c>
      <c r="I93" s="316"/>
      <c r="J93" s="316"/>
      <c r="K93" s="316"/>
      <c r="L93" s="316"/>
      <c r="M93" s="73">
        <f>M28+M39+M46+M53+M76+M77+M78+M79+M80+M81+M82+M83+M84</f>
        <v>50469.603488211469</v>
      </c>
      <c r="N93" s="73">
        <f>N28+N39+N46+N51+N53+N76+N77+N78+N79+N80+N81+N82+N83+N84</f>
        <v>175469.60348821146</v>
      </c>
      <c r="O93" s="73">
        <f>O28+O39+O46+O53+O61+O76+O77+O78+O79+O80+O81+O82+O83+O84</f>
        <v>140469.60348821146</v>
      </c>
      <c r="P93" s="73">
        <f>P28+P39+P46+P53+P76+P77+P78+P79+P80+P81+P82+P83+P84</f>
        <v>50469.603488211469</v>
      </c>
      <c r="Q93" s="73">
        <f>Q17+Q19+Q27+Q39+Q46+Q53+Q76+Q77+Q79+Q80+Q81+Q82+Q83+Q84</f>
        <v>318574.6034882114</v>
      </c>
      <c r="R93" s="73">
        <f>R15+R18+R27+R29+R30+R39+R41+R44+R46+R53+R76+R77+R78+R79+R80+R81+R82+R83+R84</f>
        <v>682492.43205963995</v>
      </c>
      <c r="S93" s="73">
        <f>S28+S30+S39+S46+S53+S76+S77+S78+S79+S80+S81+S82+S83+S84</f>
        <v>55407.628033666013</v>
      </c>
      <c r="T93" s="73">
        <f>T20+T22+T23+T24+T27+T30+T39+T46+T53+T60+T76+T77+T78+T79+T80+T81+T82+T83+T84</f>
        <v>1071479.0566050943</v>
      </c>
      <c r="U93" s="73">
        <f>U20+U27+U30+U39+U42+U46+U53+U61+U76+U77+U78+U79+U80+U81+U83+U84</f>
        <v>148510.55266808672</v>
      </c>
      <c r="V93" s="73">
        <f>V16+V25+V27+V20+V30+V26+V39+V43+V46+V51+V52+V53+V56+V57+V58+V59</f>
        <v>1077446.0203683451</v>
      </c>
      <c r="W93" s="73">
        <f>W20+W27+W30+W39+W46+W53+W55+W67+W76+W77+W78+W79+W80+W81+W82+W83+W84</f>
        <v>151479.05660509458</v>
      </c>
      <c r="X93" s="73">
        <f>X20+X27+X30+X39+X46+X53+X64+X76+X77+X78+X79+X80+X81+X82+X83+X84</f>
        <v>161479.05660509458</v>
      </c>
      <c r="Y93" s="73">
        <f>Y20+Y27+Y30+Y39+Y46+Y53+Y76+Y77+Y78+Y79+Y80+Y81+Y82+Y83+Y84</f>
        <v>61479.056605094585</v>
      </c>
      <c r="BZ93" s="175"/>
    </row>
    <row r="94" spans="1:78" x14ac:dyDescent="0.25">
      <c r="H94" s="317" t="s">
        <v>198</v>
      </c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9"/>
    </row>
    <row r="95" spans="1:78" x14ac:dyDescent="0.25">
      <c r="I95" s="73"/>
    </row>
    <row r="96" spans="1:78" ht="12.75" customHeight="1" x14ac:dyDescent="0.25">
      <c r="I96" s="73"/>
      <c r="Q96" s="73"/>
    </row>
    <row r="97" spans="8:10" x14ac:dyDescent="0.25">
      <c r="H97" s="73"/>
      <c r="I97" s="73"/>
    </row>
    <row r="98" spans="8:10" x14ac:dyDescent="0.25">
      <c r="H98" s="73"/>
      <c r="I98" s="73"/>
    </row>
    <row r="99" spans="8:10" x14ac:dyDescent="0.25">
      <c r="H99" s="73"/>
      <c r="I99" s="73"/>
      <c r="J99" s="73"/>
    </row>
    <row r="100" spans="8:10" x14ac:dyDescent="0.25">
      <c r="H100" s="73"/>
      <c r="I100" s="73"/>
    </row>
    <row r="101" spans="8:10" x14ac:dyDescent="0.25">
      <c r="H101" s="73"/>
      <c r="I101" s="73"/>
    </row>
  </sheetData>
  <mergeCells count="14">
    <mergeCell ref="H93:L93"/>
    <mergeCell ref="H94:Y94"/>
    <mergeCell ref="A9:BY9"/>
    <mergeCell ref="A1:BK1"/>
    <mergeCell ref="A2:BK2"/>
    <mergeCell ref="A34:BY34"/>
    <mergeCell ref="A74:BY74"/>
    <mergeCell ref="A50:BY50"/>
    <mergeCell ref="H6:K6"/>
    <mergeCell ref="L6:S6"/>
    <mergeCell ref="T6:W6"/>
    <mergeCell ref="X6:Y6"/>
    <mergeCell ref="H4:L4"/>
    <mergeCell ref="H5:Y5"/>
  </mergeCells>
  <phoneticPr fontId="2" type="noConversion"/>
  <printOptions gridLines="1"/>
  <pageMargins left="0.7" right="0.7" top="0.75" bottom="0.75" header="0.3" footer="0.3"/>
  <pageSetup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Y113"/>
  <sheetViews>
    <sheetView tabSelected="1" topLeftCell="A4" zoomScaleNormal="100" workbookViewId="0">
      <pane xSplit="1" ySplit="4" topLeftCell="B8" activePane="bottomRight" state="frozen"/>
      <selection activeCell="A4" sqref="A4"/>
      <selection pane="topRight" activeCell="B4" sqref="B4"/>
      <selection pane="bottomLeft" activeCell="A6" sqref="A6"/>
      <selection pane="bottomRight" activeCell="D113" sqref="D113"/>
    </sheetView>
  </sheetViews>
  <sheetFormatPr defaultColWidth="8.85546875" defaultRowHeight="15" x14ac:dyDescent="0.25"/>
  <cols>
    <col min="1" max="1" width="6.5703125" customWidth="1"/>
    <col min="2" max="2" width="10.85546875" customWidth="1"/>
    <col min="3" max="3" width="20.7109375" customWidth="1"/>
    <col min="4" max="4" width="15.5703125" customWidth="1"/>
    <col min="5" max="5" width="10.7109375" customWidth="1"/>
    <col min="6" max="6" width="12.140625" customWidth="1"/>
    <col min="7" max="7" width="10.5703125" bestFit="1" customWidth="1"/>
    <col min="8" max="8" width="21.140625" bestFit="1" customWidth="1"/>
    <col min="9" max="9" width="9.140625"/>
    <col min="10" max="10" width="12.140625" customWidth="1"/>
    <col min="11" max="11" width="14.28515625" customWidth="1"/>
    <col min="14" max="14" width="17.85546875" customWidth="1"/>
  </cols>
  <sheetData>
    <row r="1" spans="2:25" ht="15.75" x14ac:dyDescent="0.25">
      <c r="B1" s="358" t="s">
        <v>2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</row>
    <row r="2" spans="2:25" ht="15.75" customHeight="1" thickBot="1" x14ac:dyDescent="0.3"/>
    <row r="3" spans="2:25" ht="15" customHeight="1" x14ac:dyDescent="0.25">
      <c r="B3" s="360" t="s">
        <v>3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2"/>
    </row>
    <row r="4" spans="2:25" ht="15" customHeight="1" x14ac:dyDescent="0.25">
      <c r="B4" s="189"/>
      <c r="C4" s="190"/>
      <c r="D4" s="190"/>
      <c r="E4" s="191"/>
      <c r="F4" s="190"/>
      <c r="G4" s="191"/>
      <c r="H4" s="192"/>
      <c r="I4" s="193"/>
      <c r="J4" s="194"/>
      <c r="K4" s="190"/>
      <c r="L4" s="191"/>
      <c r="M4" s="190"/>
      <c r="N4" s="190"/>
      <c r="O4" s="195"/>
    </row>
    <row r="5" spans="2:25" ht="15" customHeight="1" x14ac:dyDescent="0.25">
      <c r="B5" s="189"/>
      <c r="C5" s="190"/>
      <c r="D5" s="190"/>
      <c r="E5" s="191"/>
      <c r="F5" s="190"/>
      <c r="G5" s="191"/>
      <c r="H5" s="192"/>
      <c r="I5" s="193"/>
      <c r="J5" s="194"/>
      <c r="K5" s="190"/>
      <c r="L5" s="191"/>
      <c r="M5" s="190"/>
      <c r="N5" s="190"/>
      <c r="O5" s="195"/>
    </row>
    <row r="6" spans="2:25" ht="24.75" customHeight="1" x14ac:dyDescent="0.25">
      <c r="B6" s="353" t="s">
        <v>4</v>
      </c>
      <c r="C6" s="341" t="s">
        <v>5</v>
      </c>
      <c r="D6" s="341" t="s">
        <v>6</v>
      </c>
      <c r="E6" s="342" t="s">
        <v>7</v>
      </c>
      <c r="F6" s="341" t="s">
        <v>40</v>
      </c>
      <c r="G6" s="364" t="s">
        <v>8</v>
      </c>
      <c r="H6" s="349" t="s">
        <v>9</v>
      </c>
      <c r="I6" s="350"/>
      <c r="J6" s="351"/>
      <c r="K6" s="341" t="s">
        <v>10</v>
      </c>
      <c r="L6" s="342" t="s">
        <v>11</v>
      </c>
      <c r="M6" s="341" t="s">
        <v>12</v>
      </c>
      <c r="N6" s="341"/>
      <c r="O6" s="352" t="s">
        <v>13</v>
      </c>
    </row>
    <row r="7" spans="2:25" ht="60.75" customHeight="1" x14ac:dyDescent="0.25">
      <c r="B7" s="353"/>
      <c r="C7" s="341"/>
      <c r="D7" s="341"/>
      <c r="E7" s="363"/>
      <c r="F7" s="341"/>
      <c r="G7" s="365"/>
      <c r="H7" s="17" t="s">
        <v>14</v>
      </c>
      <c r="I7" s="16" t="s">
        <v>15</v>
      </c>
      <c r="J7" s="16" t="s">
        <v>16</v>
      </c>
      <c r="K7" s="341"/>
      <c r="L7" s="363"/>
      <c r="M7" s="16" t="s">
        <v>17</v>
      </c>
      <c r="N7" s="16" t="s">
        <v>18</v>
      </c>
      <c r="O7" s="352"/>
    </row>
    <row r="8" spans="2:25" ht="23.25" customHeight="1" x14ac:dyDescent="0.25">
      <c r="B8" s="336" t="s">
        <v>300</v>
      </c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8"/>
    </row>
    <row r="9" spans="2:25" ht="46.5" customHeight="1" x14ac:dyDescent="0.25">
      <c r="B9" s="339" t="str">
        <f>AOP_PEP!A5</f>
        <v>Subcomponent 1.1. Support for the implementation of problem-oriented policing for crime prevention, including hot-spot policing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57"/>
    </row>
    <row r="10" spans="2:25" s="40" customFormat="1" ht="38.25" x14ac:dyDescent="0.2">
      <c r="B10" s="53" t="s">
        <v>41</v>
      </c>
      <c r="C10" s="29" t="s">
        <v>108</v>
      </c>
      <c r="D10" s="36"/>
      <c r="E10" s="36" t="s">
        <v>272</v>
      </c>
      <c r="F10" s="36" t="s">
        <v>273</v>
      </c>
      <c r="G10" s="36"/>
      <c r="H10" s="149">
        <f>(400*1800)*1.5</f>
        <v>1080000</v>
      </c>
      <c r="I10" s="37"/>
      <c r="J10" s="36"/>
      <c r="K10" s="36" t="s">
        <v>19</v>
      </c>
      <c r="L10" s="36" t="s">
        <v>42</v>
      </c>
      <c r="M10" s="38"/>
      <c r="N10" s="39"/>
      <c r="O10" s="42"/>
    </row>
    <row r="11" spans="2:25" s="40" customFormat="1" ht="38.25" x14ac:dyDescent="0.2">
      <c r="B11" s="53" t="s">
        <v>41</v>
      </c>
      <c r="C11" s="29" t="s">
        <v>109</v>
      </c>
      <c r="D11" s="36"/>
      <c r="E11" s="36" t="s">
        <v>324</v>
      </c>
      <c r="F11" s="36" t="s">
        <v>273</v>
      </c>
      <c r="G11" s="36"/>
      <c r="H11" s="149">
        <f>1507*20</f>
        <v>30140</v>
      </c>
      <c r="I11" s="37"/>
      <c r="J11" s="36"/>
      <c r="K11" s="36" t="s">
        <v>19</v>
      </c>
      <c r="L11" s="36" t="s">
        <v>42</v>
      </c>
      <c r="M11" s="38"/>
      <c r="N11" s="39"/>
      <c r="O11" s="42"/>
    </row>
    <row r="12" spans="2:25" s="40" customFormat="1" ht="51" x14ac:dyDescent="0.2">
      <c r="B12" s="53" t="s">
        <v>41</v>
      </c>
      <c r="C12" s="29" t="s">
        <v>113</v>
      </c>
      <c r="D12" s="36"/>
      <c r="E12" s="36" t="s">
        <v>272</v>
      </c>
      <c r="F12" s="36" t="s">
        <v>274</v>
      </c>
      <c r="G12" s="36"/>
      <c r="H12" s="149">
        <v>3000000</v>
      </c>
      <c r="I12" s="37"/>
      <c r="J12" s="36"/>
      <c r="K12" s="36" t="s">
        <v>19</v>
      </c>
      <c r="L12" s="36" t="s">
        <v>42</v>
      </c>
      <c r="M12" s="38"/>
      <c r="N12" s="39"/>
      <c r="O12" s="42"/>
    </row>
    <row r="13" spans="2:25" s="40" customFormat="1" ht="25.5" x14ac:dyDescent="0.2">
      <c r="B13" s="53" t="s">
        <v>41</v>
      </c>
      <c r="C13" s="29" t="s">
        <v>70</v>
      </c>
      <c r="D13" s="36"/>
      <c r="E13" s="36" t="s">
        <v>272</v>
      </c>
      <c r="F13" s="36" t="s">
        <v>275</v>
      </c>
      <c r="G13" s="36"/>
      <c r="H13" s="149">
        <v>1372922</v>
      </c>
      <c r="I13" s="37"/>
      <c r="J13" s="36"/>
      <c r="K13" s="36" t="s">
        <v>19</v>
      </c>
      <c r="L13" s="36" t="s">
        <v>42</v>
      </c>
      <c r="M13" s="38"/>
      <c r="N13" s="39"/>
      <c r="O13" s="42"/>
    </row>
    <row r="14" spans="2:25" s="40" customFormat="1" ht="38.25" x14ac:dyDescent="0.2">
      <c r="B14" s="53" t="s">
        <v>41</v>
      </c>
      <c r="C14" s="29" t="s">
        <v>288</v>
      </c>
      <c r="D14" s="36"/>
      <c r="E14" s="36" t="s">
        <v>272</v>
      </c>
      <c r="F14" s="36" t="s">
        <v>275</v>
      </c>
      <c r="G14" s="36"/>
      <c r="H14" s="149">
        <v>407000</v>
      </c>
      <c r="I14" s="37"/>
      <c r="J14" s="36"/>
      <c r="K14" s="36" t="s">
        <v>19</v>
      </c>
      <c r="L14" s="36" t="s">
        <v>42</v>
      </c>
      <c r="M14" s="38"/>
      <c r="N14" s="39"/>
      <c r="O14" s="42"/>
    </row>
    <row r="15" spans="2:25" s="40" customFormat="1" ht="12.75" x14ac:dyDescent="0.2">
      <c r="B15" s="53" t="s">
        <v>41</v>
      </c>
      <c r="C15" s="29" t="s">
        <v>110</v>
      </c>
      <c r="D15" s="36"/>
      <c r="E15" s="36" t="s">
        <v>272</v>
      </c>
      <c r="F15" s="36" t="s">
        <v>276</v>
      </c>
      <c r="G15" s="36"/>
      <c r="H15" s="149">
        <v>500000</v>
      </c>
      <c r="I15" s="37"/>
      <c r="J15" s="36"/>
      <c r="K15" s="36" t="s">
        <v>19</v>
      </c>
      <c r="L15" s="36" t="s">
        <v>42</v>
      </c>
      <c r="M15" s="38"/>
      <c r="N15" s="39"/>
      <c r="O15" s="42"/>
    </row>
    <row r="16" spans="2:25" s="40" customFormat="1" ht="51" x14ac:dyDescent="0.2">
      <c r="B16" s="53" t="s">
        <v>41</v>
      </c>
      <c r="C16" s="29" t="s">
        <v>134</v>
      </c>
      <c r="D16" s="36"/>
      <c r="E16" s="36" t="s">
        <v>272</v>
      </c>
      <c r="F16" s="36" t="s">
        <v>277</v>
      </c>
      <c r="G16" s="36"/>
      <c r="H16" s="149">
        <v>590600</v>
      </c>
      <c r="I16" s="37"/>
      <c r="J16" s="36"/>
      <c r="K16" s="36" t="s">
        <v>19</v>
      </c>
      <c r="L16" s="36" t="s">
        <v>42</v>
      </c>
      <c r="M16" s="38"/>
      <c r="N16" s="39"/>
      <c r="O16" s="42"/>
    </row>
    <row r="17" spans="2:15" s="40" customFormat="1" ht="25.5" x14ac:dyDescent="0.2">
      <c r="B17" s="53" t="s">
        <v>41</v>
      </c>
      <c r="C17" s="29" t="s">
        <v>68</v>
      </c>
      <c r="D17" s="36"/>
      <c r="E17" s="36" t="s">
        <v>324</v>
      </c>
      <c r="F17" s="36" t="s">
        <v>275</v>
      </c>
      <c r="G17" s="36"/>
      <c r="H17" s="149">
        <v>45400</v>
      </c>
      <c r="I17" s="37"/>
      <c r="J17" s="36"/>
      <c r="K17" s="36" t="s">
        <v>19</v>
      </c>
      <c r="L17" s="36" t="s">
        <v>42</v>
      </c>
      <c r="M17" s="38"/>
      <c r="N17" s="39"/>
      <c r="O17" s="42"/>
    </row>
    <row r="18" spans="2:15" s="40" customFormat="1" ht="18.75" x14ac:dyDescent="0.2">
      <c r="B18" s="53"/>
      <c r="C18" s="29"/>
      <c r="D18" s="36"/>
      <c r="E18" s="36"/>
      <c r="F18" s="36"/>
      <c r="G18" s="36"/>
      <c r="H18" s="150">
        <f>H10+H11+H12+H13+H14+H15+H16+H17</f>
        <v>7026062</v>
      </c>
      <c r="I18" s="37"/>
      <c r="J18" s="36"/>
      <c r="K18" s="36"/>
      <c r="L18" s="36"/>
      <c r="M18" s="38"/>
      <c r="N18" s="39"/>
      <c r="O18" s="42"/>
    </row>
    <row r="19" spans="2:15" ht="23.25" customHeight="1" x14ac:dyDescent="0.25">
      <c r="B19" s="335" t="str">
        <f>AOP_PEP!A17</f>
        <v>Subcomponent 1.2. Equip and connect police stations, prisons, and the National Police College of Jamaica</v>
      </c>
      <c r="C19" s="335"/>
      <c r="D19" s="335"/>
      <c r="E19" s="335"/>
      <c r="F19" s="335"/>
      <c r="G19" s="335"/>
      <c r="H19" s="335"/>
      <c r="I19" s="335"/>
      <c r="J19" s="335"/>
      <c r="K19" s="335"/>
      <c r="L19" s="89"/>
      <c r="M19" s="89"/>
      <c r="N19" s="89"/>
      <c r="O19" s="89"/>
    </row>
    <row r="20" spans="2:15" s="40" customFormat="1" ht="51" x14ac:dyDescent="0.2">
      <c r="B20" s="53" t="s">
        <v>41</v>
      </c>
      <c r="C20" s="29" t="s">
        <v>268</v>
      </c>
      <c r="D20" s="45"/>
      <c r="E20" s="36" t="s">
        <v>272</v>
      </c>
      <c r="F20" s="45" t="s">
        <v>273</v>
      </c>
      <c r="G20" s="45"/>
      <c r="H20" s="149">
        <v>2000000</v>
      </c>
      <c r="I20" s="37"/>
      <c r="J20" s="36"/>
      <c r="K20" s="36" t="s">
        <v>19</v>
      </c>
      <c r="L20" s="36" t="s">
        <v>42</v>
      </c>
      <c r="M20" s="38"/>
      <c r="N20" s="39"/>
      <c r="O20" s="42"/>
    </row>
    <row r="21" spans="2:15" s="40" customFormat="1" ht="25.5" x14ac:dyDescent="0.2">
      <c r="B21" s="53" t="s">
        <v>41</v>
      </c>
      <c r="C21" s="29" t="s">
        <v>111</v>
      </c>
      <c r="D21" s="45"/>
      <c r="E21" s="36" t="s">
        <v>272</v>
      </c>
      <c r="F21" s="45" t="s">
        <v>274</v>
      </c>
      <c r="G21" s="45"/>
      <c r="H21" s="149">
        <v>600000</v>
      </c>
      <c r="I21" s="37"/>
      <c r="J21" s="36"/>
      <c r="K21" s="36" t="s">
        <v>19</v>
      </c>
      <c r="L21" s="36" t="s">
        <v>42</v>
      </c>
      <c r="M21" s="38"/>
      <c r="N21" s="39"/>
      <c r="O21" s="42"/>
    </row>
    <row r="22" spans="2:15" s="40" customFormat="1" ht="25.5" x14ac:dyDescent="0.2">
      <c r="B22" s="53" t="s">
        <v>41</v>
      </c>
      <c r="C22" s="29" t="s">
        <v>112</v>
      </c>
      <c r="D22" s="45"/>
      <c r="E22" s="36" t="s">
        <v>272</v>
      </c>
      <c r="F22" s="45" t="s">
        <v>275</v>
      </c>
      <c r="G22" s="45"/>
      <c r="H22" s="149">
        <v>250000</v>
      </c>
      <c r="I22" s="37"/>
      <c r="J22" s="36"/>
      <c r="K22" s="36" t="s">
        <v>19</v>
      </c>
      <c r="L22" s="36" t="s">
        <v>42</v>
      </c>
      <c r="M22" s="38"/>
      <c r="N22" s="39"/>
      <c r="O22" s="42"/>
    </row>
    <row r="23" spans="2:15" s="40" customFormat="1" ht="38.25" x14ac:dyDescent="0.2">
      <c r="B23" s="53" t="s">
        <v>41</v>
      </c>
      <c r="C23" s="29" t="s">
        <v>135</v>
      </c>
      <c r="D23" s="45"/>
      <c r="E23" s="36" t="s">
        <v>324</v>
      </c>
      <c r="F23" s="45" t="s">
        <v>276</v>
      </c>
      <c r="G23" s="45"/>
      <c r="H23" s="149">
        <v>60000</v>
      </c>
      <c r="I23" s="37"/>
      <c r="J23" s="36"/>
      <c r="K23" s="36" t="s">
        <v>19</v>
      </c>
      <c r="L23" s="36" t="s">
        <v>42</v>
      </c>
      <c r="M23" s="38"/>
      <c r="N23" s="39"/>
      <c r="O23" s="42"/>
    </row>
    <row r="24" spans="2:15" s="40" customFormat="1" ht="127.5" x14ac:dyDescent="0.2">
      <c r="B24" s="53" t="s">
        <v>41</v>
      </c>
      <c r="C24" s="29" t="s">
        <v>136</v>
      </c>
      <c r="D24" s="45"/>
      <c r="E24" s="36" t="s">
        <v>272</v>
      </c>
      <c r="F24" s="45" t="s">
        <v>277</v>
      </c>
      <c r="G24" s="45"/>
      <c r="H24" s="151">
        <v>1200000</v>
      </c>
      <c r="I24" s="37"/>
      <c r="J24" s="36"/>
      <c r="K24" s="36" t="s">
        <v>19</v>
      </c>
      <c r="L24" s="36" t="s">
        <v>42</v>
      </c>
      <c r="M24" s="38"/>
      <c r="N24" s="39"/>
      <c r="O24" s="42"/>
    </row>
    <row r="25" spans="2:15" s="40" customFormat="1" ht="18.75" x14ac:dyDescent="0.2">
      <c r="B25" s="53"/>
      <c r="C25" s="29"/>
      <c r="D25" s="45"/>
      <c r="E25" s="36"/>
      <c r="F25" s="45"/>
      <c r="G25" s="45"/>
      <c r="H25" s="152">
        <f>H20+H21+H22+H23+H24</f>
        <v>4110000</v>
      </c>
      <c r="I25" s="37"/>
      <c r="J25" s="36"/>
      <c r="K25" s="36"/>
      <c r="L25" s="36"/>
      <c r="M25" s="38"/>
      <c r="N25" s="39"/>
      <c r="O25" s="42"/>
    </row>
    <row r="26" spans="2:15" ht="21" customHeight="1" x14ac:dyDescent="0.25">
      <c r="B26" s="335" t="str">
        <f>AOP_PEP!A24</f>
        <v>Subcomponent 1.3. Share information with the public through open data</v>
      </c>
      <c r="C26" s="335"/>
      <c r="D26" s="335"/>
      <c r="E26" s="335"/>
      <c r="F26" s="335"/>
      <c r="G26" s="335"/>
      <c r="H26" s="335"/>
      <c r="I26" s="335"/>
      <c r="J26" s="335"/>
      <c r="K26" s="89"/>
      <c r="L26" s="89"/>
      <c r="M26" s="89"/>
      <c r="N26" s="89"/>
      <c r="O26" s="89"/>
    </row>
    <row r="27" spans="2:15" s="40" customFormat="1" ht="12.75" x14ac:dyDescent="0.2">
      <c r="B27" s="53" t="s">
        <v>41</v>
      </c>
      <c r="C27" s="29" t="s">
        <v>91</v>
      </c>
      <c r="D27" s="45"/>
      <c r="E27" s="36" t="s">
        <v>272</v>
      </c>
      <c r="F27" s="45" t="s">
        <v>273</v>
      </c>
      <c r="G27" s="45"/>
      <c r="H27" s="166">
        <v>336296</v>
      </c>
      <c r="I27" s="45"/>
      <c r="J27" s="45"/>
      <c r="K27" s="36" t="s">
        <v>19</v>
      </c>
      <c r="L27" s="36" t="s">
        <v>42</v>
      </c>
      <c r="M27" s="38"/>
      <c r="N27" s="39"/>
      <c r="O27" s="42"/>
    </row>
    <row r="28" spans="2:15" s="40" customFormat="1" ht="18.75" x14ac:dyDescent="0.2">
      <c r="B28" s="53"/>
      <c r="C28" s="29"/>
      <c r="D28" s="45"/>
      <c r="E28" s="36"/>
      <c r="F28" s="45"/>
      <c r="G28" s="45"/>
      <c r="H28" s="150">
        <f>SUM(H27:H27)</f>
        <v>336296</v>
      </c>
      <c r="I28" s="45"/>
      <c r="J28" s="45"/>
      <c r="K28" s="36"/>
      <c r="L28" s="36"/>
      <c r="M28" s="38"/>
      <c r="N28" s="39"/>
      <c r="O28" s="42"/>
    </row>
    <row r="29" spans="2:15" ht="23.25" customHeight="1" x14ac:dyDescent="0.25">
      <c r="B29" s="335" t="s">
        <v>318</v>
      </c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</row>
    <row r="30" spans="2:15" ht="23.25" customHeight="1" x14ac:dyDescent="0.25">
      <c r="B30" s="335" t="str">
        <f>AOP_PEP!A34</f>
        <v>Subcomponent 2.1. Increase the quality of casefiles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89"/>
    </row>
    <row r="31" spans="2:15" s="40" customFormat="1" ht="89.25" x14ac:dyDescent="0.2">
      <c r="B31" s="53" t="s">
        <v>41</v>
      </c>
      <c r="C31" s="29" t="s">
        <v>87</v>
      </c>
      <c r="D31" s="45"/>
      <c r="E31" s="36" t="s">
        <v>272</v>
      </c>
      <c r="F31" s="45" t="s">
        <v>273</v>
      </c>
      <c r="G31" s="45"/>
      <c r="H31" s="154">
        <v>500000</v>
      </c>
      <c r="I31" s="45"/>
      <c r="J31" s="45"/>
      <c r="K31" s="45" t="s">
        <v>20</v>
      </c>
      <c r="L31" s="36" t="s">
        <v>42</v>
      </c>
      <c r="M31" s="38"/>
      <c r="N31" s="39"/>
      <c r="O31" s="42"/>
    </row>
    <row r="32" spans="2:15" s="40" customFormat="1" ht="25.5" x14ac:dyDescent="0.2">
      <c r="B32" s="53" t="s">
        <v>41</v>
      </c>
      <c r="C32" s="155" t="s">
        <v>71</v>
      </c>
      <c r="D32" s="45"/>
      <c r="E32" s="36" t="s">
        <v>272</v>
      </c>
      <c r="F32" s="45" t="s">
        <v>273</v>
      </c>
      <c r="G32" s="45"/>
      <c r="H32" s="154">
        <v>250000</v>
      </c>
      <c r="I32" s="45"/>
      <c r="J32" s="45"/>
      <c r="K32" s="45" t="s">
        <v>20</v>
      </c>
      <c r="L32" s="36" t="s">
        <v>42</v>
      </c>
      <c r="M32" s="38"/>
      <c r="N32" s="39"/>
      <c r="O32" s="42"/>
    </row>
    <row r="33" spans="2:15" s="40" customFormat="1" ht="25.5" x14ac:dyDescent="0.2">
      <c r="B33" s="53" t="s">
        <v>41</v>
      </c>
      <c r="C33" s="29" t="s">
        <v>114</v>
      </c>
      <c r="D33" s="45"/>
      <c r="E33" s="36" t="s">
        <v>324</v>
      </c>
      <c r="F33" s="45" t="s">
        <v>274</v>
      </c>
      <c r="G33" s="45"/>
      <c r="H33" s="154">
        <v>50000</v>
      </c>
      <c r="I33" s="45"/>
      <c r="J33" s="45"/>
      <c r="K33" s="45" t="s">
        <v>20</v>
      </c>
      <c r="L33" s="36" t="s">
        <v>42</v>
      </c>
      <c r="M33" s="38"/>
      <c r="N33" s="39"/>
      <c r="O33" s="42"/>
    </row>
    <row r="34" spans="2:15" s="40" customFormat="1" ht="12.75" x14ac:dyDescent="0.2">
      <c r="B34" s="53" t="s">
        <v>41</v>
      </c>
      <c r="C34" s="29" t="s">
        <v>115</v>
      </c>
      <c r="D34" s="45"/>
      <c r="E34" s="36" t="s">
        <v>272</v>
      </c>
      <c r="F34" s="45" t="s">
        <v>275</v>
      </c>
      <c r="G34" s="45"/>
      <c r="H34" s="154">
        <v>350000</v>
      </c>
      <c r="I34" s="45"/>
      <c r="J34" s="45"/>
      <c r="K34" s="45" t="s">
        <v>20</v>
      </c>
      <c r="L34" s="36" t="s">
        <v>42</v>
      </c>
      <c r="M34" s="38"/>
      <c r="N34" s="39"/>
      <c r="O34" s="42"/>
    </row>
    <row r="35" spans="2:15" s="40" customFormat="1" ht="18.75" x14ac:dyDescent="0.2">
      <c r="B35" s="53"/>
      <c r="C35" s="29"/>
      <c r="D35" s="45"/>
      <c r="E35" s="36"/>
      <c r="F35" s="45"/>
      <c r="G35" s="45"/>
      <c r="H35" s="153">
        <f>H31+H32+H33+H34</f>
        <v>1150000</v>
      </c>
      <c r="I35" s="45"/>
      <c r="J35" s="45"/>
      <c r="K35" s="45"/>
      <c r="L35" s="36"/>
      <c r="M35" s="38"/>
      <c r="N35" s="39"/>
      <c r="O35" s="42"/>
    </row>
    <row r="36" spans="2:15" ht="23.25" customHeight="1" x14ac:dyDescent="0.25">
      <c r="B36" s="335" t="str">
        <f>AOP_PEP!A40</f>
        <v>Subcomponent 2.2. Design and implementation of digital registries</v>
      </c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89"/>
    </row>
    <row r="37" spans="2:15" s="40" customFormat="1" ht="25.5" x14ac:dyDescent="0.2">
      <c r="B37" s="53" t="s">
        <v>41</v>
      </c>
      <c r="C37" s="156" t="s">
        <v>88</v>
      </c>
      <c r="D37" s="45"/>
      <c r="E37" s="36" t="s">
        <v>324</v>
      </c>
      <c r="F37" s="45" t="s">
        <v>273</v>
      </c>
      <c r="G37" s="45"/>
      <c r="H37" s="149">
        <v>74981</v>
      </c>
      <c r="I37" s="45"/>
      <c r="J37" s="45"/>
      <c r="K37" s="45" t="s">
        <v>20</v>
      </c>
      <c r="L37" s="36" t="s">
        <v>42</v>
      </c>
      <c r="M37" s="38"/>
      <c r="N37" s="39"/>
      <c r="O37" s="42"/>
    </row>
    <row r="38" spans="2:15" s="40" customFormat="1" ht="12.75" x14ac:dyDescent="0.2">
      <c r="B38" s="53" t="s">
        <v>41</v>
      </c>
      <c r="C38" s="156" t="s">
        <v>89</v>
      </c>
      <c r="D38" s="45"/>
      <c r="E38" s="36" t="s">
        <v>324</v>
      </c>
      <c r="F38" s="45" t="s">
        <v>273</v>
      </c>
      <c r="G38" s="45"/>
      <c r="H38" s="151">
        <v>29000</v>
      </c>
      <c r="I38" s="45"/>
      <c r="J38" s="45"/>
      <c r="K38" s="45" t="s">
        <v>20</v>
      </c>
      <c r="L38" s="36" t="s">
        <v>42</v>
      </c>
      <c r="M38" s="38"/>
      <c r="N38" s="39"/>
      <c r="O38" s="42"/>
    </row>
    <row r="39" spans="2:15" s="40" customFormat="1" ht="25.5" x14ac:dyDescent="0.2">
      <c r="B39" s="53" t="s">
        <v>41</v>
      </c>
      <c r="C39" s="156" t="s">
        <v>90</v>
      </c>
      <c r="D39" s="45"/>
      <c r="E39" s="36" t="s">
        <v>324</v>
      </c>
      <c r="F39" s="45" t="s">
        <v>273</v>
      </c>
      <c r="G39" s="45"/>
      <c r="H39" s="149">
        <v>52343</v>
      </c>
      <c r="I39" s="45"/>
      <c r="J39" s="45"/>
      <c r="K39" s="45" t="s">
        <v>20</v>
      </c>
      <c r="L39" s="36" t="s">
        <v>42</v>
      </c>
      <c r="M39" s="38"/>
      <c r="N39" s="39"/>
      <c r="O39" s="42"/>
    </row>
    <row r="40" spans="2:15" s="40" customFormat="1" ht="25.5" x14ac:dyDescent="0.2">
      <c r="B40" s="53" t="s">
        <v>41</v>
      </c>
      <c r="C40" s="157" t="s">
        <v>85</v>
      </c>
      <c r="D40" s="45"/>
      <c r="E40" s="36" t="s">
        <v>324</v>
      </c>
      <c r="F40" s="45" t="s">
        <v>273</v>
      </c>
      <c r="G40" s="45"/>
      <c r="H40" s="149">
        <v>25000</v>
      </c>
      <c r="I40" s="45"/>
      <c r="J40" s="45"/>
      <c r="K40" s="45" t="s">
        <v>20</v>
      </c>
      <c r="L40" s="36" t="s">
        <v>42</v>
      </c>
      <c r="M40" s="38"/>
      <c r="N40" s="39"/>
      <c r="O40" s="42"/>
    </row>
    <row r="41" spans="2:15" s="40" customFormat="1" ht="18.75" x14ac:dyDescent="0.2">
      <c r="B41" s="53"/>
      <c r="C41" s="29"/>
      <c r="D41" s="45"/>
      <c r="E41" s="36"/>
      <c r="F41" s="45"/>
      <c r="G41" s="45"/>
      <c r="H41" s="153">
        <f>SUM(H37:H40)</f>
        <v>181324</v>
      </c>
      <c r="I41" s="45"/>
      <c r="J41" s="45"/>
      <c r="K41" s="45"/>
      <c r="L41" s="36"/>
      <c r="M41" s="38"/>
      <c r="N41" s="39"/>
      <c r="O41" s="42"/>
    </row>
    <row r="42" spans="2:15" ht="23.25" customHeight="1" x14ac:dyDescent="0.25">
      <c r="B42" s="335" t="s">
        <v>320</v>
      </c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</row>
    <row r="43" spans="2:15" ht="23.25" customHeight="1" x14ac:dyDescent="0.25">
      <c r="B43" s="335" t="str">
        <f>AOP_PEP!A53</f>
        <v>Subcomponent 3.1. Change Management and Communications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89"/>
    </row>
    <row r="44" spans="2:15" s="40" customFormat="1" ht="12.75" x14ac:dyDescent="0.2">
      <c r="B44" s="53" t="s">
        <v>41</v>
      </c>
      <c r="C44" s="158" t="s">
        <v>116</v>
      </c>
      <c r="D44" s="45"/>
      <c r="E44" s="36" t="s">
        <v>272</v>
      </c>
      <c r="F44" s="45" t="s">
        <v>273</v>
      </c>
      <c r="G44" s="45"/>
      <c r="H44" s="165">
        <v>500000</v>
      </c>
      <c r="I44" s="45"/>
      <c r="J44" s="45"/>
      <c r="K44" s="45" t="s">
        <v>279</v>
      </c>
      <c r="L44" s="36" t="s">
        <v>42</v>
      </c>
      <c r="M44" s="38"/>
      <c r="N44" s="39"/>
      <c r="O44" s="42"/>
    </row>
    <row r="45" spans="2:15" s="40" customFormat="1" ht="25.5" x14ac:dyDescent="0.2">
      <c r="B45" s="53" t="s">
        <v>41</v>
      </c>
      <c r="C45" s="158" t="s">
        <v>117</v>
      </c>
      <c r="D45" s="45"/>
      <c r="E45" s="36" t="s">
        <v>272</v>
      </c>
      <c r="F45" s="45" t="s">
        <v>273</v>
      </c>
      <c r="G45" s="45"/>
      <c r="H45" s="165">
        <v>400000</v>
      </c>
      <c r="I45" s="45"/>
      <c r="J45" s="45"/>
      <c r="K45" s="45" t="s">
        <v>279</v>
      </c>
      <c r="L45" s="36" t="s">
        <v>42</v>
      </c>
      <c r="M45" s="38"/>
      <c r="N45" s="39"/>
      <c r="O45" s="42"/>
    </row>
    <row r="46" spans="2:15" s="40" customFormat="1" ht="18.75" x14ac:dyDescent="0.2">
      <c r="B46" s="53"/>
      <c r="C46" s="29"/>
      <c r="D46" s="45"/>
      <c r="E46" s="36"/>
      <c r="F46" s="45"/>
      <c r="G46" s="45"/>
      <c r="H46" s="150">
        <f>H44+H45</f>
        <v>900000</v>
      </c>
      <c r="I46" s="45"/>
      <c r="J46" s="45"/>
      <c r="K46" s="45"/>
      <c r="L46" s="36"/>
      <c r="M46" s="38"/>
      <c r="N46" s="39"/>
      <c r="O46" s="42"/>
    </row>
    <row r="47" spans="2:15" ht="23.25" customHeight="1" x14ac:dyDescent="0.25">
      <c r="B47" s="335" t="str">
        <f>AOP_PEP!A57</f>
        <v>Subcomponent 3.2. Training in collaboration with the National Police College of Jamaica</v>
      </c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89"/>
    </row>
    <row r="48" spans="2:15" s="40" customFormat="1" ht="38.25" x14ac:dyDescent="0.2">
      <c r="B48" s="53" t="s">
        <v>41</v>
      </c>
      <c r="C48" s="158" t="s">
        <v>118</v>
      </c>
      <c r="D48" s="45"/>
      <c r="E48" s="36" t="s">
        <v>324</v>
      </c>
      <c r="F48" s="45" t="s">
        <v>273</v>
      </c>
      <c r="G48" s="45"/>
      <c r="H48" s="154">
        <v>20000</v>
      </c>
      <c r="I48" s="45"/>
      <c r="J48" s="45"/>
      <c r="K48" s="45" t="s">
        <v>279</v>
      </c>
      <c r="L48" s="36" t="s">
        <v>42</v>
      </c>
      <c r="M48" s="38"/>
      <c r="N48" s="39"/>
      <c r="O48" s="42"/>
    </row>
    <row r="49" spans="2:15" s="40" customFormat="1" ht="51" x14ac:dyDescent="0.2">
      <c r="B49" s="53" t="s">
        <v>41</v>
      </c>
      <c r="C49" s="158" t="s">
        <v>119</v>
      </c>
      <c r="D49" s="45"/>
      <c r="E49" s="36" t="s">
        <v>324</v>
      </c>
      <c r="F49" s="45" t="s">
        <v>273</v>
      </c>
      <c r="G49" s="45"/>
      <c r="H49" s="154">
        <v>120000</v>
      </c>
      <c r="I49" s="45"/>
      <c r="J49" s="45"/>
      <c r="K49" s="45" t="s">
        <v>279</v>
      </c>
      <c r="L49" s="36" t="s">
        <v>42</v>
      </c>
      <c r="M49" s="38"/>
      <c r="N49" s="39"/>
      <c r="O49" s="42"/>
    </row>
    <row r="50" spans="2:15" s="40" customFormat="1" ht="25.5" x14ac:dyDescent="0.2">
      <c r="B50" s="53" t="s">
        <v>41</v>
      </c>
      <c r="C50" s="155" t="s">
        <v>120</v>
      </c>
      <c r="D50" s="45"/>
      <c r="E50" s="36" t="s">
        <v>324</v>
      </c>
      <c r="F50" s="45" t="s">
        <v>274</v>
      </c>
      <c r="G50" s="45"/>
      <c r="H50" s="154">
        <v>95000</v>
      </c>
      <c r="I50" s="45"/>
      <c r="J50" s="45"/>
      <c r="K50" s="45" t="s">
        <v>279</v>
      </c>
      <c r="L50" s="36" t="s">
        <v>42</v>
      </c>
      <c r="M50" s="38"/>
      <c r="N50" s="39"/>
      <c r="O50" s="42"/>
    </row>
    <row r="51" spans="2:15" s="40" customFormat="1" ht="51" x14ac:dyDescent="0.2">
      <c r="B51" s="53" t="s">
        <v>41</v>
      </c>
      <c r="C51" s="158" t="s">
        <v>121</v>
      </c>
      <c r="D51" s="45"/>
      <c r="E51" s="36" t="s">
        <v>324</v>
      </c>
      <c r="F51" s="45" t="s">
        <v>275</v>
      </c>
      <c r="G51" s="45"/>
      <c r="H51" s="154">
        <v>50000</v>
      </c>
      <c r="I51" s="45"/>
      <c r="J51" s="45"/>
      <c r="K51" s="45" t="s">
        <v>279</v>
      </c>
      <c r="L51" s="36" t="s">
        <v>42</v>
      </c>
      <c r="M51" s="38"/>
      <c r="N51" s="39"/>
      <c r="O51" s="42"/>
    </row>
    <row r="52" spans="2:15" s="40" customFormat="1" ht="25.5" x14ac:dyDescent="0.2">
      <c r="B52" s="53" t="s">
        <v>41</v>
      </c>
      <c r="C52" s="158" t="s">
        <v>122</v>
      </c>
      <c r="D52" s="45"/>
      <c r="E52" s="36" t="s">
        <v>272</v>
      </c>
      <c r="F52" s="45" t="s">
        <v>276</v>
      </c>
      <c r="G52" s="45"/>
      <c r="H52" s="154">
        <v>180000</v>
      </c>
      <c r="I52" s="45"/>
      <c r="J52" s="45"/>
      <c r="K52" s="45" t="s">
        <v>279</v>
      </c>
      <c r="L52" s="36" t="s">
        <v>42</v>
      </c>
      <c r="M52" s="38"/>
      <c r="N52" s="39"/>
      <c r="O52" s="42"/>
    </row>
    <row r="53" spans="2:15" s="40" customFormat="1" ht="63.75" x14ac:dyDescent="0.2">
      <c r="B53" s="53" t="s">
        <v>41</v>
      </c>
      <c r="C53" s="158" t="s">
        <v>123</v>
      </c>
      <c r="D53" s="45"/>
      <c r="E53" s="36" t="s">
        <v>324</v>
      </c>
      <c r="F53" s="45" t="s">
        <v>277</v>
      </c>
      <c r="G53" s="45"/>
      <c r="H53" s="154">
        <v>80000</v>
      </c>
      <c r="I53" s="45"/>
      <c r="J53" s="45"/>
      <c r="K53" s="45" t="s">
        <v>279</v>
      </c>
      <c r="L53" s="36" t="s">
        <v>42</v>
      </c>
      <c r="M53" s="38"/>
      <c r="N53" s="39"/>
      <c r="O53" s="42"/>
    </row>
    <row r="54" spans="2:15" s="40" customFormat="1" ht="38.25" x14ac:dyDescent="0.2">
      <c r="B54" s="53" t="s">
        <v>41</v>
      </c>
      <c r="C54" s="158" t="s">
        <v>124</v>
      </c>
      <c r="D54" s="45"/>
      <c r="E54" s="36" t="s">
        <v>272</v>
      </c>
      <c r="F54" s="45" t="s">
        <v>278</v>
      </c>
      <c r="G54" s="45"/>
      <c r="H54" s="154">
        <v>500000</v>
      </c>
      <c r="I54" s="45"/>
      <c r="J54" s="45"/>
      <c r="K54" s="45" t="s">
        <v>279</v>
      </c>
      <c r="L54" s="36" t="s">
        <v>42</v>
      </c>
      <c r="M54" s="38"/>
      <c r="N54" s="39"/>
      <c r="O54" s="42"/>
    </row>
    <row r="55" spans="2:15" s="40" customFormat="1" ht="12.75" x14ac:dyDescent="0.2">
      <c r="B55" s="53" t="s">
        <v>41</v>
      </c>
      <c r="C55" s="155" t="s">
        <v>125</v>
      </c>
      <c r="D55" s="45"/>
      <c r="E55" s="36" t="s">
        <v>272</v>
      </c>
      <c r="F55" s="45" t="s">
        <v>303</v>
      </c>
      <c r="G55" s="45"/>
      <c r="H55" s="154">
        <v>200000</v>
      </c>
      <c r="I55" s="45"/>
      <c r="J55" s="45"/>
      <c r="K55" s="45" t="s">
        <v>279</v>
      </c>
      <c r="L55" s="36" t="s">
        <v>42</v>
      </c>
      <c r="M55" s="38"/>
      <c r="N55" s="39"/>
      <c r="O55" s="42"/>
    </row>
    <row r="56" spans="2:15" s="40" customFormat="1" ht="51" x14ac:dyDescent="0.2">
      <c r="B56" s="53" t="s">
        <v>41</v>
      </c>
      <c r="C56" s="155" t="s">
        <v>69</v>
      </c>
      <c r="D56" s="45"/>
      <c r="E56" s="36" t="s">
        <v>324</v>
      </c>
      <c r="F56" s="45" t="s">
        <v>304</v>
      </c>
      <c r="G56" s="45"/>
      <c r="H56" s="154">
        <v>90000</v>
      </c>
      <c r="I56" s="45"/>
      <c r="J56" s="45"/>
      <c r="K56" s="45" t="s">
        <v>279</v>
      </c>
      <c r="L56" s="36" t="s">
        <v>42</v>
      </c>
      <c r="M56" s="38"/>
      <c r="N56" s="39"/>
      <c r="O56" s="42"/>
    </row>
    <row r="57" spans="2:15" s="40" customFormat="1" ht="63.75" x14ac:dyDescent="0.2">
      <c r="B57" s="53" t="s">
        <v>41</v>
      </c>
      <c r="C57" s="155" t="s">
        <v>287</v>
      </c>
      <c r="D57" s="45"/>
      <c r="E57" s="36" t="s">
        <v>272</v>
      </c>
      <c r="F57" s="45" t="s">
        <v>305</v>
      </c>
      <c r="G57" s="45"/>
      <c r="H57" s="154">
        <v>200000</v>
      </c>
      <c r="I57" s="45"/>
      <c r="J57" s="45"/>
      <c r="K57" s="45" t="s">
        <v>279</v>
      </c>
      <c r="L57" s="36" t="s">
        <v>42</v>
      </c>
      <c r="M57" s="38"/>
      <c r="N57" s="39"/>
      <c r="O57" s="42"/>
    </row>
    <row r="58" spans="2:15" s="40" customFormat="1" ht="19.5" thickBot="1" x14ac:dyDescent="0.25">
      <c r="B58" s="120"/>
      <c r="C58" s="126"/>
      <c r="D58" s="121"/>
      <c r="E58" s="122"/>
      <c r="F58" s="121"/>
      <c r="G58" s="121"/>
      <c r="H58" s="147">
        <f>H48+H49+H50+H51+H52+H53+H54+H56+H57+H55</f>
        <v>1535000</v>
      </c>
      <c r="I58" s="121"/>
      <c r="J58" s="121"/>
      <c r="K58" s="121"/>
      <c r="L58" s="122"/>
      <c r="M58" s="123"/>
      <c r="N58" s="124"/>
      <c r="O58" s="125"/>
    </row>
    <row r="59" spans="2:15" ht="38.25" thickBot="1" x14ac:dyDescent="0.35">
      <c r="B59" s="58" t="s">
        <v>271</v>
      </c>
      <c r="C59" s="56"/>
      <c r="D59" s="56"/>
      <c r="E59" s="56"/>
      <c r="F59" s="56"/>
      <c r="G59" s="56"/>
      <c r="H59" s="127">
        <f>H58+H46+H41+H35+H28+H25+H18</f>
        <v>15238682</v>
      </c>
      <c r="I59" s="56"/>
      <c r="J59" s="56"/>
      <c r="K59" s="56"/>
      <c r="L59" s="56"/>
      <c r="M59" s="56"/>
      <c r="N59" s="56"/>
      <c r="O59" s="57"/>
    </row>
    <row r="60" spans="2:15" x14ac:dyDescent="0.25">
      <c r="B60" s="21"/>
      <c r="C60" s="21"/>
      <c r="D60" s="22"/>
      <c r="E60" s="23"/>
      <c r="F60" s="23"/>
      <c r="G60" s="24"/>
      <c r="H60" s="25"/>
      <c r="I60" s="26"/>
      <c r="J60" s="146"/>
      <c r="K60" s="26"/>
      <c r="L60" s="26"/>
      <c r="M60" s="26"/>
      <c r="N60" s="27"/>
      <c r="O60" s="28"/>
    </row>
    <row r="61" spans="2:15" ht="15.75" thickBot="1" x14ac:dyDescent="0.3"/>
    <row r="62" spans="2:15" ht="15.75" customHeight="1" x14ac:dyDescent="0.25">
      <c r="B62" s="347" t="s">
        <v>56</v>
      </c>
      <c r="C62" s="348"/>
      <c r="D62" s="348"/>
      <c r="E62" s="348"/>
      <c r="F62" s="348"/>
      <c r="G62" s="348"/>
      <c r="H62" s="18"/>
      <c r="I62" s="18"/>
      <c r="J62" s="18"/>
      <c r="K62" s="18"/>
      <c r="L62" s="18"/>
      <c r="M62" s="18"/>
      <c r="N62" s="18"/>
      <c r="O62" s="5"/>
    </row>
    <row r="63" spans="2:15" ht="24.75" customHeight="1" x14ac:dyDescent="0.25">
      <c r="B63" s="353" t="s">
        <v>4</v>
      </c>
      <c r="C63" s="341" t="s">
        <v>5</v>
      </c>
      <c r="D63" s="341" t="s">
        <v>6</v>
      </c>
      <c r="E63" s="342" t="s">
        <v>7</v>
      </c>
      <c r="F63" s="342" t="s">
        <v>40</v>
      </c>
      <c r="G63" s="349" t="s">
        <v>9</v>
      </c>
      <c r="H63" s="350"/>
      <c r="I63" s="351"/>
      <c r="J63" s="341" t="s">
        <v>23</v>
      </c>
      <c r="K63" s="341" t="s">
        <v>10</v>
      </c>
      <c r="L63" s="342" t="s">
        <v>11</v>
      </c>
      <c r="M63" s="341" t="s">
        <v>12</v>
      </c>
      <c r="N63" s="341"/>
      <c r="O63" s="352" t="s">
        <v>13</v>
      </c>
    </row>
    <row r="64" spans="2:15" ht="45" x14ac:dyDescent="0.25">
      <c r="B64" s="353"/>
      <c r="C64" s="341"/>
      <c r="D64" s="341"/>
      <c r="E64" s="343"/>
      <c r="F64" s="343"/>
      <c r="G64" s="16" t="s">
        <v>24</v>
      </c>
      <c r="H64" s="16" t="s">
        <v>15</v>
      </c>
      <c r="I64" s="16" t="s">
        <v>16</v>
      </c>
      <c r="J64" s="341"/>
      <c r="K64" s="341"/>
      <c r="L64" s="343"/>
      <c r="M64" s="16" t="s">
        <v>25</v>
      </c>
      <c r="N64" s="16" t="s">
        <v>18</v>
      </c>
      <c r="O64" s="352"/>
    </row>
    <row r="65" spans="2:15" ht="23.25" customHeight="1" x14ac:dyDescent="0.25">
      <c r="B65" s="336" t="s">
        <v>269</v>
      </c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8"/>
    </row>
    <row r="66" spans="2:15" ht="23.25" customHeight="1" x14ac:dyDescent="0.25">
      <c r="B66" s="339" t="str">
        <f>AOP_PEP!A5</f>
        <v>Subcomponent 1.1. Support for the implementation of problem-oriented policing for crime prevention, including hot-spot policing</v>
      </c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1"/>
    </row>
    <row r="67" spans="2:15" s="40" customFormat="1" ht="60.75" customHeight="1" x14ac:dyDescent="0.2">
      <c r="B67" s="2" t="s">
        <v>41</v>
      </c>
      <c r="C67" s="54" t="str">
        <f>AOP_PEP!C8</f>
        <v>Technical Specialist Consultant - Georeferencing  (24 months)</v>
      </c>
      <c r="D67" s="36"/>
      <c r="E67" s="36" t="s">
        <v>325</v>
      </c>
      <c r="F67" s="36" t="s">
        <v>273</v>
      </c>
      <c r="G67" s="37"/>
      <c r="H67" s="163">
        <f>AOP_PEP!D8</f>
        <v>120000</v>
      </c>
      <c r="I67" s="43"/>
      <c r="J67" s="36"/>
      <c r="K67" s="43" t="s">
        <v>19</v>
      </c>
      <c r="L67" s="43" t="s">
        <v>42</v>
      </c>
      <c r="M67" s="49"/>
      <c r="N67" s="49"/>
      <c r="O67" s="46"/>
    </row>
    <row r="68" spans="2:15" s="40" customFormat="1" ht="60.75" customHeight="1" x14ac:dyDescent="0.2">
      <c r="B68" s="2" t="s">
        <v>41</v>
      </c>
      <c r="C68" s="54" t="str">
        <f>AOP_PEP!C10</f>
        <v xml:space="preserve">Technical Specialist Consultant - Fleet Management (28 months) </v>
      </c>
      <c r="D68" s="36"/>
      <c r="E68" s="36" t="s">
        <v>325</v>
      </c>
      <c r="F68" s="36" t="s">
        <v>274</v>
      </c>
      <c r="G68" s="37"/>
      <c r="H68" s="163">
        <f>AOP_PEP!D10</f>
        <v>170000</v>
      </c>
      <c r="I68" s="43"/>
      <c r="J68" s="36"/>
      <c r="K68" s="43" t="s">
        <v>19</v>
      </c>
      <c r="L68" s="43" t="s">
        <v>42</v>
      </c>
      <c r="M68" s="49"/>
      <c r="N68" s="49"/>
      <c r="O68" s="46"/>
    </row>
    <row r="69" spans="2:15" s="40" customFormat="1" ht="60.75" customHeight="1" x14ac:dyDescent="0.2">
      <c r="B69" s="2" t="s">
        <v>41</v>
      </c>
      <c r="C69" s="54" t="str">
        <f>AOP_PEP!C16</f>
        <v xml:space="preserve">Technical Specialist Consultant - Surveillance (28 months) </v>
      </c>
      <c r="D69" s="36"/>
      <c r="E69" s="36" t="s">
        <v>325</v>
      </c>
      <c r="F69" s="36" t="s">
        <v>275</v>
      </c>
      <c r="G69" s="37"/>
      <c r="H69" s="163">
        <f>AOP_PEP!D16</f>
        <v>170000</v>
      </c>
      <c r="I69" s="43"/>
      <c r="J69" s="36"/>
      <c r="K69" s="43" t="s">
        <v>19</v>
      </c>
      <c r="L69" s="43" t="s">
        <v>42</v>
      </c>
      <c r="M69" s="49"/>
      <c r="N69" s="49"/>
      <c r="O69" s="46"/>
    </row>
    <row r="70" spans="2:15" ht="21.75" customHeight="1" x14ac:dyDescent="0.25">
      <c r="B70" s="339" t="str">
        <f>AOP_PEP!A17</f>
        <v>Subcomponent 1.2. Equip and connect police stations, prisons, and the National Police College of Jamaica</v>
      </c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1"/>
    </row>
    <row r="71" spans="2:15" s="40" customFormat="1" ht="60.75" customHeight="1" x14ac:dyDescent="0.2">
      <c r="B71" s="2" t="s">
        <v>41</v>
      </c>
      <c r="C71" s="54" t="str">
        <f>AOP_PEP!C23</f>
        <v>Technical Specialist Consultant - Connectivity (36 months)</v>
      </c>
      <c r="D71" s="36"/>
      <c r="E71" s="36" t="s">
        <v>325</v>
      </c>
      <c r="F71" s="55" t="s">
        <v>273</v>
      </c>
      <c r="G71" s="50"/>
      <c r="H71" s="163">
        <f>AOP_PEP!D23</f>
        <v>190000</v>
      </c>
      <c r="I71" s="43"/>
      <c r="J71" s="36"/>
      <c r="K71" s="43" t="s">
        <v>19</v>
      </c>
      <c r="L71" s="43" t="s">
        <v>42</v>
      </c>
      <c r="M71" s="38"/>
      <c r="N71" s="39"/>
      <c r="O71" s="46"/>
    </row>
    <row r="72" spans="2:15" ht="60.75" customHeight="1" x14ac:dyDescent="0.25">
      <c r="B72" s="339" t="str">
        <f>AOP_PEP!A24</f>
        <v>Subcomponent 1.3. Share information with the public through open data</v>
      </c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1"/>
    </row>
    <row r="73" spans="2:15" s="40" customFormat="1" ht="60.75" customHeight="1" x14ac:dyDescent="0.2">
      <c r="B73" s="2" t="s">
        <v>41</v>
      </c>
      <c r="C73" s="54" t="str">
        <f>AOP_PEP!C26</f>
        <v xml:space="preserve">Technical Specialist Consultant - Open Data Initiative (11 months) </v>
      </c>
      <c r="D73" s="36"/>
      <c r="E73" s="36" t="s">
        <v>325</v>
      </c>
      <c r="F73" s="41" t="s">
        <v>273</v>
      </c>
      <c r="G73" s="50"/>
      <c r="H73" s="163">
        <f>AOP_PEP!D26</f>
        <v>54318</v>
      </c>
      <c r="I73" s="43"/>
      <c r="J73" s="36"/>
      <c r="K73" s="43" t="s">
        <v>19</v>
      </c>
      <c r="L73" s="43" t="s">
        <v>42</v>
      </c>
      <c r="M73" s="38"/>
      <c r="N73" s="39"/>
      <c r="O73" s="3"/>
    </row>
    <row r="74" spans="2:15" ht="60.75" customHeight="1" x14ac:dyDescent="0.25">
      <c r="B74" s="336" t="s">
        <v>270</v>
      </c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8"/>
    </row>
    <row r="75" spans="2:15" ht="60.75" customHeight="1" x14ac:dyDescent="0.25">
      <c r="B75" s="333" t="str">
        <f>AOP_PEP!A34</f>
        <v>Subcomponent 2.1. Increase the quality of casefiles</v>
      </c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4"/>
    </row>
    <row r="76" spans="2:15" s="40" customFormat="1" ht="60.75" customHeight="1" x14ac:dyDescent="0.2">
      <c r="B76" s="2" t="s">
        <v>41</v>
      </c>
      <c r="C76" s="47" t="str">
        <f>AOP_PEP!C39</f>
        <v xml:space="preserve">Technical Specialist Consultant - Case Management &amp; Digital Registries (60 months) </v>
      </c>
      <c r="D76" s="36"/>
      <c r="E76" s="36" t="s">
        <v>326</v>
      </c>
      <c r="F76" s="36" t="s">
        <v>273</v>
      </c>
      <c r="G76" s="44"/>
      <c r="H76" s="163">
        <f>AOP_PEP!D39</f>
        <v>360000</v>
      </c>
      <c r="I76" s="43"/>
      <c r="J76" s="36"/>
      <c r="K76" s="43" t="s">
        <v>20</v>
      </c>
      <c r="L76" s="43" t="s">
        <v>42</v>
      </c>
      <c r="M76" s="49"/>
      <c r="N76" s="39"/>
      <c r="O76" s="51"/>
    </row>
    <row r="77" spans="2:15" ht="60.75" customHeight="1" x14ac:dyDescent="0.25">
      <c r="B77" s="333" t="str">
        <f>AOP_PEP!A45</f>
        <v>Subcomponent 2.3. Design and implement a data sharing exchange protocol</v>
      </c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4"/>
    </row>
    <row r="78" spans="2:15" s="40" customFormat="1" ht="60.75" customHeight="1" x14ac:dyDescent="0.2">
      <c r="B78" s="2" t="s">
        <v>41</v>
      </c>
      <c r="C78" s="47" t="str">
        <f>AOP_PEP!C46</f>
        <v>Technical Specialist Consultant - Data Sharing (24 months)</v>
      </c>
      <c r="D78" s="36"/>
      <c r="E78" s="36" t="s">
        <v>325</v>
      </c>
      <c r="F78" s="36" t="s">
        <v>273</v>
      </c>
      <c r="G78" s="44"/>
      <c r="H78" s="163">
        <f>AOP_PEP!D46</f>
        <v>120000</v>
      </c>
      <c r="I78" s="43"/>
      <c r="J78" s="36"/>
      <c r="K78" s="43" t="s">
        <v>20</v>
      </c>
      <c r="L78" s="43" t="s">
        <v>42</v>
      </c>
      <c r="M78" s="49"/>
      <c r="N78" s="39"/>
      <c r="O78" s="51"/>
    </row>
    <row r="79" spans="2:15" ht="60.75" customHeight="1" x14ac:dyDescent="0.25">
      <c r="B79" s="336" t="str">
        <f>AOP_PEP!A52</f>
        <v xml:space="preserve">Component 3 - Change Management &amp; Training (US$3,212,000 million). 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8"/>
    </row>
    <row r="80" spans="2:15" ht="60.75" customHeight="1" x14ac:dyDescent="0.25">
      <c r="B80" s="333" t="str">
        <f>AOP_PEP!A53</f>
        <v>Subcomponent 3.1. Change Management and Communications</v>
      </c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4"/>
    </row>
    <row r="81" spans="1:15" s="40" customFormat="1" ht="60.75" customHeight="1" x14ac:dyDescent="0.2">
      <c r="B81" s="2" t="s">
        <v>41</v>
      </c>
      <c r="C81" s="47" t="str">
        <f>AOP_PEP!C56</f>
        <v xml:space="preserve">Technical Specialist Consultant - Change Management &amp; Communications (60 months) </v>
      </c>
      <c r="D81" s="36"/>
      <c r="E81" s="36" t="s">
        <v>326</v>
      </c>
      <c r="F81" s="36" t="s">
        <v>273</v>
      </c>
      <c r="G81" s="44"/>
      <c r="H81" s="163">
        <f>AOP_PEP!D56</f>
        <v>300000</v>
      </c>
      <c r="I81" s="43"/>
      <c r="J81" s="36">
        <v>1</v>
      </c>
      <c r="K81" s="43" t="s">
        <v>279</v>
      </c>
      <c r="L81" s="43" t="s">
        <v>42</v>
      </c>
      <c r="M81" s="49"/>
      <c r="N81" s="39"/>
      <c r="O81" s="51"/>
    </row>
    <row r="82" spans="1:15" ht="60.75" customHeight="1" x14ac:dyDescent="0.25">
      <c r="B82" s="333" t="str">
        <f>AOP_PEP!A57</f>
        <v>Subcomponent 3.2. Training in collaboration with the National Police College of Jamaica</v>
      </c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4"/>
    </row>
    <row r="83" spans="1:15" s="40" customFormat="1" ht="60.75" customHeight="1" x14ac:dyDescent="0.2">
      <c r="B83" s="53" t="s">
        <v>41</v>
      </c>
      <c r="C83" s="47" t="str">
        <f>AOP_PEP!C60</f>
        <v xml:space="preserve">Technical Specialist Consultant - Assessment Training (30 months) </v>
      </c>
      <c r="D83" s="36"/>
      <c r="E83" s="36" t="s">
        <v>325</v>
      </c>
      <c r="F83" s="36" t="s">
        <v>273</v>
      </c>
      <c r="G83" s="44"/>
      <c r="H83" s="163">
        <f>AOP_PEP!D60</f>
        <v>147000</v>
      </c>
      <c r="I83" s="43"/>
      <c r="J83" s="36"/>
      <c r="K83" s="43" t="s">
        <v>279</v>
      </c>
      <c r="L83" s="43" t="s">
        <v>42</v>
      </c>
      <c r="M83" s="49"/>
      <c r="N83" s="39"/>
      <c r="O83" s="36"/>
    </row>
    <row r="84" spans="1:15" s="40" customFormat="1" ht="60.75" customHeight="1" x14ac:dyDescent="0.2">
      <c r="B84" s="53" t="s">
        <v>41</v>
      </c>
      <c r="C84" s="47" t="str">
        <f>AOP_PEP!C63</f>
        <v xml:space="preserve">Technical Specialist Consultant - NPCJ &amp; VC Equipment (24 months) </v>
      </c>
      <c r="D84" s="36"/>
      <c r="E84" s="36" t="s">
        <v>325</v>
      </c>
      <c r="F84" s="36" t="s">
        <v>275</v>
      </c>
      <c r="G84" s="44"/>
      <c r="H84" s="163">
        <f>AOP_PEP!D63</f>
        <v>120000</v>
      </c>
      <c r="I84" s="43"/>
      <c r="J84" s="36"/>
      <c r="K84" s="43" t="s">
        <v>279</v>
      </c>
      <c r="L84" s="43" t="s">
        <v>42</v>
      </c>
      <c r="M84" s="49"/>
      <c r="N84" s="39"/>
      <c r="O84" s="36"/>
    </row>
    <row r="85" spans="1:15" s="40" customFormat="1" ht="60.75" customHeight="1" thickBot="1" x14ac:dyDescent="0.25">
      <c r="B85" s="53" t="s">
        <v>41</v>
      </c>
      <c r="C85" s="47" t="str">
        <f>AOP_PEP!C70</f>
        <v>Technical Specialist TRAINING Consultant for Sub-component 3114 and provide management over all other training components (38 months)</v>
      </c>
      <c r="D85" s="36"/>
      <c r="E85" s="36" t="s">
        <v>325</v>
      </c>
      <c r="F85" s="36" t="s">
        <v>301</v>
      </c>
      <c r="G85" s="44"/>
      <c r="H85" s="163">
        <f>AOP_PEP!D70</f>
        <v>210000</v>
      </c>
      <c r="I85" s="43"/>
      <c r="J85" s="36"/>
      <c r="K85" s="43" t="s">
        <v>279</v>
      </c>
      <c r="L85" s="43" t="s">
        <v>42</v>
      </c>
      <c r="M85" s="49"/>
      <c r="N85" s="39"/>
      <c r="O85" s="36"/>
    </row>
    <row r="86" spans="1:15" ht="60.75" customHeight="1" thickBot="1" x14ac:dyDescent="0.35">
      <c r="B86" s="58" t="s">
        <v>104</v>
      </c>
      <c r="C86" s="56"/>
      <c r="D86" s="56"/>
      <c r="E86" s="56"/>
      <c r="F86" s="56"/>
      <c r="G86" s="56"/>
      <c r="H86" s="164">
        <f>H85+H84+H83+H81+H78+H76+H73+H71+H69+H68+H67</f>
        <v>1961318</v>
      </c>
      <c r="I86" s="56"/>
      <c r="J86" s="56"/>
      <c r="K86" s="56"/>
      <c r="L86" s="56"/>
      <c r="M86" s="56"/>
      <c r="N86" s="56"/>
      <c r="O86" s="57"/>
    </row>
    <row r="87" spans="1:15" ht="15.75" thickBot="1" x14ac:dyDescent="0.3">
      <c r="B87" s="22"/>
      <c r="C87" s="21"/>
      <c r="D87" s="22"/>
      <c r="E87" s="22"/>
      <c r="F87" s="23"/>
      <c r="G87" s="25"/>
      <c r="H87" s="26"/>
      <c r="I87" s="26"/>
      <c r="J87" s="26"/>
      <c r="K87" s="26"/>
      <c r="L87" s="26"/>
      <c r="M87" s="26"/>
      <c r="N87" s="26"/>
      <c r="O87" s="28"/>
    </row>
    <row r="88" spans="1:15" ht="55.5" customHeight="1" x14ac:dyDescent="0.25">
      <c r="B88" s="347" t="s">
        <v>62</v>
      </c>
      <c r="C88" s="348"/>
      <c r="D88" s="348"/>
      <c r="E88" s="348"/>
      <c r="F88" s="348"/>
      <c r="G88" s="348"/>
      <c r="H88" s="20"/>
      <c r="I88" s="20"/>
      <c r="J88" s="20"/>
      <c r="K88" s="20"/>
      <c r="L88" s="20"/>
      <c r="M88" s="20"/>
      <c r="N88" s="20"/>
      <c r="O88" s="5"/>
    </row>
    <row r="89" spans="1:15" ht="24.75" customHeight="1" x14ac:dyDescent="0.25">
      <c r="B89" s="366" t="s">
        <v>4</v>
      </c>
      <c r="C89" s="342" t="s">
        <v>5</v>
      </c>
      <c r="D89" s="342" t="s">
        <v>6</v>
      </c>
      <c r="E89" s="342" t="s">
        <v>7</v>
      </c>
      <c r="F89" s="342" t="s">
        <v>40</v>
      </c>
      <c r="G89" s="349" t="s">
        <v>9</v>
      </c>
      <c r="H89" s="368"/>
      <c r="I89" s="356"/>
      <c r="J89" s="342" t="s">
        <v>23</v>
      </c>
      <c r="K89" s="342" t="s">
        <v>10</v>
      </c>
      <c r="L89" s="342" t="s">
        <v>11</v>
      </c>
      <c r="M89" s="349" t="s">
        <v>12</v>
      </c>
      <c r="N89" s="356"/>
      <c r="O89" s="354" t="s">
        <v>13</v>
      </c>
    </row>
    <row r="90" spans="1:15" ht="45" x14ac:dyDescent="0.25">
      <c r="B90" s="367"/>
      <c r="C90" s="343"/>
      <c r="D90" s="343"/>
      <c r="E90" s="343"/>
      <c r="F90" s="343"/>
      <c r="G90" s="19" t="s">
        <v>24</v>
      </c>
      <c r="H90" s="19" t="s">
        <v>15</v>
      </c>
      <c r="I90" s="19" t="s">
        <v>16</v>
      </c>
      <c r="J90" s="343"/>
      <c r="K90" s="343"/>
      <c r="L90" s="343"/>
      <c r="M90" s="19" t="s">
        <v>25</v>
      </c>
      <c r="N90" s="19" t="s">
        <v>18</v>
      </c>
      <c r="O90" s="355"/>
    </row>
    <row r="91" spans="1:15" ht="23.25" customHeight="1" x14ac:dyDescent="0.25">
      <c r="A91" t="s">
        <v>61</v>
      </c>
      <c r="B91" s="336" t="s">
        <v>57</v>
      </c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8"/>
    </row>
    <row r="92" spans="1:15" s="40" customFormat="1" ht="42.75" customHeight="1" thickBot="1" x14ac:dyDescent="0.25">
      <c r="B92" s="2" t="s">
        <v>41</v>
      </c>
      <c r="C92" s="35" t="str">
        <f>AOP_PEP!A87</f>
        <v>Audits and M&amp;E</v>
      </c>
      <c r="D92" s="36"/>
      <c r="E92" s="36" t="s">
        <v>326</v>
      </c>
      <c r="F92" s="36" t="s">
        <v>273</v>
      </c>
      <c r="G92" s="36"/>
      <c r="H92" s="159">
        <f>AOP_PEP!D87</f>
        <v>300000</v>
      </c>
      <c r="I92" s="43"/>
      <c r="J92" s="43"/>
      <c r="K92" s="43" t="s">
        <v>58</v>
      </c>
      <c r="L92" s="43" t="s">
        <v>42</v>
      </c>
      <c r="M92" s="43"/>
      <c r="N92" s="39"/>
      <c r="O92" s="46"/>
    </row>
    <row r="93" spans="1:15" ht="38.25" thickBot="1" x14ac:dyDescent="0.35">
      <c r="B93" s="58" t="s">
        <v>105</v>
      </c>
      <c r="C93" s="56"/>
      <c r="D93" s="56"/>
      <c r="E93" s="56"/>
      <c r="F93" s="56"/>
      <c r="G93" s="56"/>
      <c r="H93" s="160">
        <f>H92</f>
        <v>300000</v>
      </c>
      <c r="I93" s="56"/>
      <c r="J93" s="56"/>
      <c r="K93" s="56"/>
      <c r="L93" s="56"/>
      <c r="M93" s="56"/>
      <c r="N93" s="56"/>
      <c r="O93" s="57"/>
    </row>
    <row r="94" spans="1:15" ht="23.25" customHeight="1" x14ac:dyDescent="0.25">
      <c r="A94" t="s">
        <v>61</v>
      </c>
      <c r="B94" s="344" t="s">
        <v>59</v>
      </c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6"/>
    </row>
    <row r="95" spans="1:15" s="40" customFormat="1" ht="25.5" x14ac:dyDescent="0.2">
      <c r="B95" s="2" t="s">
        <v>41</v>
      </c>
      <c r="C95" s="34" t="str">
        <f>AOP_PEP!C78</f>
        <v xml:space="preserve">Project Execution Unit </v>
      </c>
      <c r="D95" s="36"/>
      <c r="E95" s="36" t="s">
        <v>326</v>
      </c>
      <c r="F95" s="48" t="s">
        <v>302</v>
      </c>
      <c r="G95" s="52"/>
      <c r="H95" s="133">
        <f>AOP_PEP!D78</f>
        <v>207438</v>
      </c>
      <c r="I95" s="43"/>
      <c r="J95" s="43"/>
      <c r="K95" s="43" t="s">
        <v>59</v>
      </c>
      <c r="L95" s="43" t="s">
        <v>42</v>
      </c>
      <c r="M95" s="43"/>
      <c r="N95" s="39"/>
      <c r="O95" s="46"/>
    </row>
    <row r="96" spans="1:15" s="40" customFormat="1" ht="25.5" x14ac:dyDescent="0.2">
      <c r="B96" s="2" t="s">
        <v>41</v>
      </c>
      <c r="C96" s="34" t="str">
        <f>AOP_PEP!C79</f>
        <v>Project Director</v>
      </c>
      <c r="D96" s="36"/>
      <c r="E96" s="36" t="s">
        <v>326</v>
      </c>
      <c r="F96" s="48" t="s">
        <v>302</v>
      </c>
      <c r="G96" s="52"/>
      <c r="H96" s="133">
        <f>AOP_PEP!D79</f>
        <v>407751.93798449612</v>
      </c>
      <c r="I96" s="43"/>
      <c r="J96" s="43"/>
      <c r="K96" s="43" t="s">
        <v>59</v>
      </c>
      <c r="L96" s="43" t="s">
        <v>42</v>
      </c>
      <c r="M96" s="43"/>
      <c r="N96" s="39"/>
      <c r="O96" s="46"/>
    </row>
    <row r="97" spans="2:15" s="40" customFormat="1" ht="25.5" x14ac:dyDescent="0.2">
      <c r="B97" s="2" t="s">
        <v>41</v>
      </c>
      <c r="C97" s="148" t="str">
        <f>AOP_PEP!C80</f>
        <v xml:space="preserve">Procurement Specialist - Manager </v>
      </c>
      <c r="D97" s="36"/>
      <c r="E97" s="36" t="s">
        <v>326</v>
      </c>
      <c r="F97" s="48" t="s">
        <v>302</v>
      </c>
      <c r="G97" s="52"/>
      <c r="H97" s="133">
        <f>AOP_PEP!D80</f>
        <v>276000</v>
      </c>
      <c r="I97" s="43"/>
      <c r="J97" s="43"/>
      <c r="K97" s="43" t="s">
        <v>59</v>
      </c>
      <c r="L97" s="43" t="s">
        <v>42</v>
      </c>
      <c r="M97" s="43"/>
      <c r="N97" s="39"/>
      <c r="O97" s="46"/>
    </row>
    <row r="98" spans="2:15" s="40" customFormat="1" ht="25.5" x14ac:dyDescent="0.2">
      <c r="B98" s="2" t="s">
        <v>41</v>
      </c>
      <c r="C98" s="148" t="str">
        <f>AOP_PEP!C81</f>
        <v xml:space="preserve">Financial Specialist - Manager </v>
      </c>
      <c r="D98" s="36"/>
      <c r="E98" s="36" t="s">
        <v>326</v>
      </c>
      <c r="F98" s="48" t="s">
        <v>302</v>
      </c>
      <c r="G98" s="52"/>
      <c r="H98" s="133">
        <f>AOP_PEP!D81</f>
        <v>314700</v>
      </c>
      <c r="I98" s="43"/>
      <c r="J98" s="43"/>
      <c r="K98" s="43" t="s">
        <v>59</v>
      </c>
      <c r="L98" s="43" t="s">
        <v>42</v>
      </c>
      <c r="M98" s="43"/>
      <c r="N98" s="39"/>
      <c r="O98" s="46"/>
    </row>
    <row r="99" spans="2:15" s="40" customFormat="1" ht="25.5" x14ac:dyDescent="0.2">
      <c r="B99" s="2" t="s">
        <v>41</v>
      </c>
      <c r="C99" s="148" t="str">
        <f>AOP_PEP!C82</f>
        <v>Monitoring &amp; Evaluation Specialist</v>
      </c>
      <c r="D99" s="36"/>
      <c r="E99" s="36" t="s">
        <v>326</v>
      </c>
      <c r="F99" s="48" t="s">
        <v>302</v>
      </c>
      <c r="G99" s="52"/>
      <c r="H99" s="133">
        <f>AOP_PEP!D82</f>
        <v>276000</v>
      </c>
      <c r="I99" s="43"/>
      <c r="J99" s="43"/>
      <c r="K99" s="43" t="s">
        <v>59</v>
      </c>
      <c r="L99" s="43" t="s">
        <v>42</v>
      </c>
      <c r="M99" s="43"/>
      <c r="N99" s="39"/>
      <c r="O99" s="46"/>
    </row>
    <row r="100" spans="2:15" s="40" customFormat="1" ht="25.5" x14ac:dyDescent="0.2">
      <c r="B100" s="2" t="s">
        <v>41</v>
      </c>
      <c r="C100" s="148" t="str">
        <f>AOP_PEP!C83</f>
        <v xml:space="preserve">Administrative &amp; Procurement Officer </v>
      </c>
      <c r="D100" s="36"/>
      <c r="E100" s="36" t="s">
        <v>325</v>
      </c>
      <c r="F100" s="48" t="s">
        <v>302</v>
      </c>
      <c r="G100" s="52"/>
      <c r="H100" s="133">
        <f>AOP_PEP!D83</f>
        <v>170000</v>
      </c>
      <c r="I100" s="43"/>
      <c r="J100" s="43"/>
      <c r="K100" s="43" t="s">
        <v>59</v>
      </c>
      <c r="L100" s="43" t="s">
        <v>42</v>
      </c>
      <c r="M100" s="43"/>
      <c r="N100" s="39"/>
      <c r="O100" s="46"/>
    </row>
    <row r="101" spans="2:15" s="40" customFormat="1" ht="25.5" x14ac:dyDescent="0.2">
      <c r="B101" s="2" t="s">
        <v>41</v>
      </c>
      <c r="C101" s="148" t="str">
        <f>AOP_PEP!C84</f>
        <v>Finance &amp; Logistics Officer</v>
      </c>
      <c r="D101" s="36"/>
      <c r="E101" s="36" t="s">
        <v>325</v>
      </c>
      <c r="F101" s="48" t="s">
        <v>302</v>
      </c>
      <c r="G101" s="52"/>
      <c r="H101" s="133">
        <f>AOP_PEP!D84</f>
        <v>170000</v>
      </c>
      <c r="I101" s="43"/>
      <c r="J101" s="43"/>
      <c r="K101" s="43" t="s">
        <v>59</v>
      </c>
      <c r="L101" s="43" t="s">
        <v>42</v>
      </c>
      <c r="M101" s="43"/>
      <c r="N101" s="39"/>
      <c r="O101" s="46"/>
    </row>
    <row r="102" spans="2:15" s="40" customFormat="1" ht="38.25" x14ac:dyDescent="0.2">
      <c r="B102" s="2" t="s">
        <v>41</v>
      </c>
      <c r="C102" s="148" t="str">
        <f>AOP_PEP!C85</f>
        <v>Project Coordinator Assistant (PCA) &amp; HR Liaison</v>
      </c>
      <c r="D102" s="36"/>
      <c r="E102" s="36" t="s">
        <v>325</v>
      </c>
      <c r="F102" s="48" t="s">
        <v>302</v>
      </c>
      <c r="G102" s="52"/>
      <c r="H102" s="133">
        <f>AOP_PEP!D85</f>
        <v>118110.23622047243</v>
      </c>
      <c r="I102" s="43"/>
      <c r="J102" s="43"/>
      <c r="K102" s="43" t="s">
        <v>59</v>
      </c>
      <c r="L102" s="43" t="s">
        <v>42</v>
      </c>
      <c r="M102" s="43"/>
      <c r="N102" s="39"/>
      <c r="O102" s="46"/>
    </row>
    <row r="103" spans="2:15" ht="26.25" thickBot="1" x14ac:dyDescent="0.3">
      <c r="B103" s="2" t="s">
        <v>41</v>
      </c>
      <c r="C103" s="148" t="str">
        <f>AOP_PEP!C86</f>
        <v>Audit</v>
      </c>
      <c r="D103" s="36"/>
      <c r="E103" s="36" t="s">
        <v>325</v>
      </c>
      <c r="F103" s="48" t="s">
        <v>302</v>
      </c>
      <c r="G103" s="52"/>
      <c r="H103" s="133">
        <f>AOP_PEP!D86</f>
        <v>60000</v>
      </c>
      <c r="I103" s="43"/>
      <c r="J103" s="43"/>
      <c r="K103" s="43" t="s">
        <v>59</v>
      </c>
      <c r="L103" s="43" t="s">
        <v>42</v>
      </c>
      <c r="M103" s="43"/>
      <c r="N103" s="39"/>
      <c r="O103" s="46"/>
    </row>
    <row r="104" spans="2:15" ht="60.75" customHeight="1" thickBot="1" x14ac:dyDescent="0.35">
      <c r="B104" s="58" t="s">
        <v>104</v>
      </c>
      <c r="C104" s="56"/>
      <c r="D104" s="56"/>
      <c r="E104" s="56"/>
      <c r="F104" s="56"/>
      <c r="G104" s="56"/>
      <c r="H104" s="161">
        <f>H95+H96+H97+H98+H99+H100+H101+H102+H103</f>
        <v>2000000.1742049686</v>
      </c>
      <c r="I104" s="56"/>
      <c r="J104" s="56"/>
      <c r="K104" s="56"/>
      <c r="L104" s="56"/>
      <c r="M104" s="56"/>
      <c r="N104" s="56"/>
      <c r="O104" s="57"/>
    </row>
    <row r="108" spans="2:15" x14ac:dyDescent="0.25">
      <c r="C108" t="str">
        <f>AOP_PEP!A88</f>
        <v>Contingency</v>
      </c>
      <c r="H108" s="162">
        <f>AOP_PEP!D88</f>
        <v>500000</v>
      </c>
    </row>
    <row r="110" spans="2:15" x14ac:dyDescent="0.25">
      <c r="C110" t="s">
        <v>272</v>
      </c>
      <c r="D110" t="s">
        <v>327</v>
      </c>
    </row>
    <row r="111" spans="2:15" x14ac:dyDescent="0.25">
      <c r="C111" t="s">
        <v>324</v>
      </c>
      <c r="D111" t="s">
        <v>328</v>
      </c>
    </row>
    <row r="112" spans="2:15" x14ac:dyDescent="0.25">
      <c r="C112" t="s">
        <v>325</v>
      </c>
      <c r="D112" t="s">
        <v>329</v>
      </c>
    </row>
    <row r="113" spans="3:4" x14ac:dyDescent="0.25">
      <c r="C113" t="s">
        <v>326</v>
      </c>
      <c r="D113" t="s">
        <v>330</v>
      </c>
    </row>
  </sheetData>
  <mergeCells count="59">
    <mergeCell ref="D89:D90"/>
    <mergeCell ref="C89:C90"/>
    <mergeCell ref="B89:B90"/>
    <mergeCell ref="K89:K90"/>
    <mergeCell ref="J89:J90"/>
    <mergeCell ref="G89:I89"/>
    <mergeCell ref="F89:F90"/>
    <mergeCell ref="E89:E90"/>
    <mergeCell ref="B1:Y1"/>
    <mergeCell ref="B3:O3"/>
    <mergeCell ref="B6:B7"/>
    <mergeCell ref="C6:C7"/>
    <mergeCell ref="D6:D7"/>
    <mergeCell ref="E6:E7"/>
    <mergeCell ref="F6:F7"/>
    <mergeCell ref="G6:G7"/>
    <mergeCell ref="H6:J6"/>
    <mergeCell ref="K6:K7"/>
    <mergeCell ref="L6:L7"/>
    <mergeCell ref="M6:N6"/>
    <mergeCell ref="O6:O7"/>
    <mergeCell ref="B8:O8"/>
    <mergeCell ref="B19:K19"/>
    <mergeCell ref="B26:J26"/>
    <mergeCell ref="F63:F64"/>
    <mergeCell ref="K63:K64"/>
    <mergeCell ref="L63:L64"/>
    <mergeCell ref="B47:N47"/>
    <mergeCell ref="B9:O9"/>
    <mergeCell ref="B94:O94"/>
    <mergeCell ref="B91:O91"/>
    <mergeCell ref="B62:G62"/>
    <mergeCell ref="B29:O29"/>
    <mergeCell ref="B36:N36"/>
    <mergeCell ref="M63:N63"/>
    <mergeCell ref="G63:I63"/>
    <mergeCell ref="O63:O64"/>
    <mergeCell ref="B65:O65"/>
    <mergeCell ref="J63:J64"/>
    <mergeCell ref="B63:B64"/>
    <mergeCell ref="B88:G88"/>
    <mergeCell ref="O89:O90"/>
    <mergeCell ref="M89:N89"/>
    <mergeCell ref="L89:L90"/>
    <mergeCell ref="B79:O79"/>
    <mergeCell ref="B80:N80"/>
    <mergeCell ref="B82:N82"/>
    <mergeCell ref="B77:N77"/>
    <mergeCell ref="B75:N75"/>
    <mergeCell ref="B30:N30"/>
    <mergeCell ref="B74:O74"/>
    <mergeCell ref="B66:N66"/>
    <mergeCell ref="B70:N70"/>
    <mergeCell ref="B72:N72"/>
    <mergeCell ref="C63:C64"/>
    <mergeCell ref="D63:D64"/>
    <mergeCell ref="E63:E64"/>
    <mergeCell ref="B42:O42"/>
    <mergeCell ref="B43:N4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00"/>
  </sheetPr>
  <dimension ref="B1:D26"/>
  <sheetViews>
    <sheetView workbookViewId="0">
      <selection activeCell="C30" sqref="C30"/>
    </sheetView>
  </sheetViews>
  <sheetFormatPr defaultColWidth="8.85546875" defaultRowHeight="15" x14ac:dyDescent="0.25"/>
  <cols>
    <col min="2" max="2" width="51.85546875" customWidth="1"/>
    <col min="3" max="3" width="40.85546875" customWidth="1"/>
    <col min="4" max="4" width="53.42578125" customWidth="1"/>
  </cols>
  <sheetData>
    <row r="1" spans="2:4" x14ac:dyDescent="0.25">
      <c r="B1" s="372" t="s">
        <v>280</v>
      </c>
      <c r="C1" s="372"/>
      <c r="D1" s="372"/>
    </row>
    <row r="2" spans="2:4" x14ac:dyDescent="0.25">
      <c r="B2" s="372" t="s">
        <v>94</v>
      </c>
      <c r="C2" s="372"/>
      <c r="D2" s="372"/>
    </row>
    <row r="3" spans="2:4" ht="15.75" x14ac:dyDescent="0.25">
      <c r="B3" s="373" t="s">
        <v>28</v>
      </c>
      <c r="C3" s="374"/>
      <c r="D3" s="375"/>
    </row>
    <row r="4" spans="2:4" ht="15.75" x14ac:dyDescent="0.25">
      <c r="B4" s="7" t="s">
        <v>29</v>
      </c>
      <c r="C4" s="8" t="s">
        <v>30</v>
      </c>
      <c r="D4" s="9" t="s">
        <v>31</v>
      </c>
    </row>
    <row r="5" spans="2:4" ht="15.75" thickBot="1" x14ac:dyDescent="0.3">
      <c r="B5" s="10" t="s">
        <v>32</v>
      </c>
      <c r="C5" s="11" t="s">
        <v>65</v>
      </c>
      <c r="D5" s="11" t="s">
        <v>95</v>
      </c>
    </row>
    <row r="6" spans="2:4" ht="15.75" thickBot="1" x14ac:dyDescent="0.3">
      <c r="B6" s="12"/>
      <c r="C6" s="6"/>
      <c r="D6" s="6"/>
    </row>
    <row r="7" spans="2:4" ht="15.75" x14ac:dyDescent="0.25">
      <c r="B7" s="376" t="s">
        <v>33</v>
      </c>
      <c r="C7" s="377"/>
      <c r="D7" s="378"/>
    </row>
    <row r="8" spans="2:4" ht="15.75" thickBot="1" x14ac:dyDescent="0.3">
      <c r="B8" s="10" t="s">
        <v>281</v>
      </c>
      <c r="C8" s="379"/>
      <c r="D8" s="380"/>
    </row>
    <row r="9" spans="2:4" ht="15.75" thickBot="1" x14ac:dyDescent="0.3">
      <c r="B9" s="381"/>
      <c r="C9" s="381"/>
      <c r="D9" s="381"/>
    </row>
    <row r="10" spans="2:4" ht="15.75" x14ac:dyDescent="0.25">
      <c r="B10" s="369" t="s">
        <v>34</v>
      </c>
      <c r="C10" s="370"/>
      <c r="D10" s="371"/>
    </row>
    <row r="11" spans="2:4" ht="15.75" x14ac:dyDescent="0.25">
      <c r="B11" s="7" t="s">
        <v>35</v>
      </c>
      <c r="C11" s="8" t="s">
        <v>36</v>
      </c>
      <c r="D11" s="9" t="s">
        <v>37</v>
      </c>
    </row>
    <row r="12" spans="2:4" x14ac:dyDescent="0.25">
      <c r="B12" s="31" t="s">
        <v>22</v>
      </c>
      <c r="C12" s="59">
        <f>'Procurement Plan'!H86</f>
        <v>1961318</v>
      </c>
      <c r="D12" s="32">
        <v>0</v>
      </c>
    </row>
    <row r="13" spans="2:4" x14ac:dyDescent="0.25">
      <c r="B13" s="31" t="s">
        <v>21</v>
      </c>
      <c r="C13" s="32"/>
      <c r="D13" s="32">
        <v>0</v>
      </c>
    </row>
    <row r="14" spans="2:4" x14ac:dyDescent="0.25">
      <c r="B14" s="31" t="s">
        <v>26</v>
      </c>
      <c r="C14" s="59">
        <f>'Procurement Plan'!H59</f>
        <v>15238682</v>
      </c>
      <c r="D14" s="32">
        <v>0</v>
      </c>
    </row>
    <row r="15" spans="2:4" ht="26.25" x14ac:dyDescent="0.25">
      <c r="B15" s="33" t="s">
        <v>67</v>
      </c>
      <c r="C15" s="59">
        <f>'Procurement Plan'!H108+'Procurement Plan'!H104+'Procurement Plan'!H93</f>
        <v>2800000.1742049688</v>
      </c>
      <c r="D15" s="32">
        <v>0</v>
      </c>
    </row>
    <row r="16" spans="2:4" ht="15.75" x14ac:dyDescent="0.25">
      <c r="B16" s="8" t="s">
        <v>27</v>
      </c>
      <c r="C16" s="60">
        <f>C14+C12+C15</f>
        <v>20000000.174204968</v>
      </c>
      <c r="D16" s="14">
        <v>0</v>
      </c>
    </row>
    <row r="17" spans="2:4" ht="15.75" thickBot="1" x14ac:dyDescent="0.3"/>
    <row r="18" spans="2:4" ht="15.75" x14ac:dyDescent="0.25">
      <c r="B18" s="369" t="s">
        <v>38</v>
      </c>
      <c r="C18" s="370"/>
      <c r="D18" s="371"/>
    </row>
    <row r="19" spans="2:4" ht="15.75" x14ac:dyDescent="0.25">
      <c r="B19" s="7" t="s">
        <v>39</v>
      </c>
      <c r="C19" s="8" t="s">
        <v>36</v>
      </c>
      <c r="D19" s="9" t="s">
        <v>37</v>
      </c>
    </row>
    <row r="20" spans="2:4" x14ac:dyDescent="0.25">
      <c r="B20" s="15" t="s">
        <v>96</v>
      </c>
      <c r="C20" s="128">
        <f>Budget!E33</f>
        <v>12176676</v>
      </c>
      <c r="D20" s="13">
        <v>0</v>
      </c>
    </row>
    <row r="21" spans="2:4" ht="26.25" x14ac:dyDescent="0.25">
      <c r="B21" s="15" t="s">
        <v>321</v>
      </c>
      <c r="C21" s="128">
        <f>Budget!E49</f>
        <v>1811324</v>
      </c>
      <c r="D21" s="13">
        <v>0</v>
      </c>
    </row>
    <row r="22" spans="2:4" x14ac:dyDescent="0.25">
      <c r="B22" s="15" t="s">
        <v>322</v>
      </c>
      <c r="C22" s="128">
        <f>Budget!E69</f>
        <v>3212000</v>
      </c>
      <c r="D22" s="13"/>
    </row>
    <row r="23" spans="2:4" x14ac:dyDescent="0.25">
      <c r="B23" s="15" t="s">
        <v>57</v>
      </c>
      <c r="C23" s="128">
        <f>'Procurement Plan'!H92</f>
        <v>300000</v>
      </c>
      <c r="D23" s="13">
        <v>0</v>
      </c>
    </row>
    <row r="24" spans="2:4" x14ac:dyDescent="0.25">
      <c r="B24" s="15" t="s">
        <v>59</v>
      </c>
      <c r="C24" s="128">
        <f>'Procurement Plan'!H104</f>
        <v>2000000.1742049686</v>
      </c>
      <c r="D24" s="13">
        <v>0</v>
      </c>
    </row>
    <row r="25" spans="2:4" x14ac:dyDescent="0.25">
      <c r="B25" s="15" t="s">
        <v>66</v>
      </c>
      <c r="C25" s="128">
        <f>AOP_PEP!D88</f>
        <v>500000</v>
      </c>
      <c r="D25" s="13">
        <v>0</v>
      </c>
    </row>
    <row r="26" spans="2:4" ht="15.75" x14ac:dyDescent="0.25">
      <c r="B26" s="8" t="s">
        <v>27</v>
      </c>
      <c r="C26" s="60">
        <f>SUM(C20:C25)</f>
        <v>20000000.174204968</v>
      </c>
      <c r="D26" s="14">
        <f>SUM(D20:D21)</f>
        <v>0</v>
      </c>
    </row>
  </sheetData>
  <mergeCells count="8">
    <mergeCell ref="B10:D10"/>
    <mergeCell ref="B18:D18"/>
    <mergeCell ref="B1:D1"/>
    <mergeCell ref="B2:D2"/>
    <mergeCell ref="B3:D3"/>
    <mergeCell ref="B7:D7"/>
    <mergeCell ref="C8:D8"/>
    <mergeCell ref="B9:D9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IFD/ICS</Division_x0020_or_x0020_Unit>
    <Other_x0020_Author xmlns="9c571b2f-e523-4ab2-ba2e-09e151a03ef4" xsi:nil="true"/>
    <Region xmlns="9c571b2f-e523-4ab2-ba2e-09e151a03ef4" xsi:nil="true"/>
    <IDBDocs_x0020_Number xmlns="9c571b2f-e523-4ab2-ba2e-09e151a03ef4">38309419</IDBDocs_x0020_Number>
    <Document_x0020_Author xmlns="9c571b2f-e523-4ab2-ba2e-09e151a03ef4">Posadas, Arnaldo Enrique</Document_x0020_Author>
    <Publication_x0020_Type xmlns="9c571b2f-e523-4ab2-ba2e-09e151a03ef4" xsi:nil="true"/>
    <Operation_x0020_Type xmlns="9c571b2f-e523-4ab2-ba2e-09e151a03ef4" xsi:nil="true"/>
    <TaxCatchAll xmlns="9c571b2f-e523-4ab2-ba2e-09e151a03ef4">
      <Value>5</Value>
      <Value>4</Value>
    </TaxCatchAll>
    <Fiscal_x0020_Year_x0020_IDB xmlns="9c571b2f-e523-4ab2-ba2e-09e151a03ef4">2013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JA-L1043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Loan Proposal</TermName>
          <TermId xmlns="http://schemas.microsoft.com/office/infopath/2007/PartnerControls">6ee86b6f-6e46-485b-8bfb-87a1f44622ac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Proposal&lt;/USER_STAGE&gt;&lt;APPROVAL_CODE&gt;DE&lt;/APPROVAL_CODE&gt;&lt;APPROVAL_DESC&gt;Board of Executive Directors&lt;/APPROVAL_DESC&gt;&lt;PD_OBJ_TYPE&gt;0&lt;/PD_OBJ_TYPE&gt;&lt;DTAPPROVAL&gt;Jun 18 2014 12:00AM&lt;/DTAPPROVAL&gt;&lt;MAKERECORD&gt;N&lt;/MAKERECORD&gt;&lt;PD_FILEPT_NO&gt;PO-JA-L1043-Anl&lt;/PD_FILEPT_NO&gt;&lt;/Data&gt;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DS-SEC</Webtopic>
    <Identifier xmlns="9c571b2f-e523-4ab2-ba2e-09e151a03ef4"> TECFILE</Identifier>
    <Publishing_x0020_House xmlns="9c571b2f-e523-4ab2-ba2e-09e151a03ef4" xsi:nil="true"/>
    <Document_x0020_Language_x0020_IDB xmlns="9c571b2f-e523-4ab2-ba2e-09e151a03ef4">English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FEC1AFA8051C3E48B43CDC3339411595" ma:contentTypeVersion="0" ma:contentTypeDescription="A content type to manage public (operations) IDB documents" ma:contentTypeScope="" ma:versionID="45d4ea492f3c115f16256cfedcb2e9d4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715504bedee01fe1cafbd7d595838e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abfbde5-068d-4f6b-ad92-5c0ced9bc7cd}" ma:internalName="TaxCatchAll" ma:showField="CatchAllData" ma:web="edb8aa25-03e6-4ac4-acc1-a0f11093d2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abfbde5-068d-4f6b-ad92-5c0ced9bc7cd}" ma:internalName="TaxCatchAllLabel" ma:readOnly="true" ma:showField="CatchAllDataLabel" ma:web="edb8aa25-03e6-4ac4-acc1-a0f11093d2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A55EA3-EF34-4C54-8DEE-A21D212B2E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B129F8-C3E0-4E8E-BAB6-1E987A4C814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D7ABEDD-971C-4C49-A896-3A193FE0934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9F924CA-D3C0-4EAB-A901-E6A986DD13B0}">
  <ds:schemaRefs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9c571b2f-e523-4ab2-ba2e-09e151a03ef4"/>
    <ds:schemaRef ds:uri="http://schemas.microsoft.com/office/2006/metadata/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8F8E6D0-DEDD-4EB5-876D-C0F4691E0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71b2f-e523-4ab2-ba2e-09e151a03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AOP_PEP</vt:lpstr>
      <vt:lpstr>Budget</vt:lpstr>
      <vt:lpstr>Procurement Plan</vt:lpstr>
      <vt:lpstr>Procurement Plan - intro</vt:lpstr>
      <vt:lpstr>Budget!Print_Area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Budget and Procurement Plan</dc:title>
  <dc:creator>osimmonds</dc:creator>
  <cp:lastModifiedBy>Hoffman, Nathalie Alexandra</cp:lastModifiedBy>
  <cp:lastPrinted>2017-08-29T17:49:07Z</cp:lastPrinted>
  <dcterms:created xsi:type="dcterms:W3CDTF">2013-11-18T16:14:01Z</dcterms:created>
  <dcterms:modified xsi:type="dcterms:W3CDTF">2017-12-05T21:00:19Z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0x01010046CF21643EE8D14686A648AA6DAD089200FEC1AFA8051C3E48B43CDC3339411595</vt:lpwstr>
  </property>
  <property fmtid="{D5CDD505-2E9C-101B-9397-08002B2CF9AE}" pid="5" name="TaxKeywordTaxHTField">
    <vt:lpwstr/>
  </property>
  <property fmtid="{D5CDD505-2E9C-101B-9397-08002B2CF9AE}" pid="6" name="Series Operations IDB">
    <vt:lpwstr>4;#Loan Proposal|6ee86b6f-6e46-485b-8bfb-87a1f44622ac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4;#Loan Proposal|6ee86b6f-6e46-485b-8bfb-87a1f44622ac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5;#Project Preparation, Planning and Design|29ca0c72-1fc4-435f-a09c-28585cb5eac9</vt:lpwstr>
  </property>
</Properties>
</file>