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bg-my.sharepoint.com/personal/nathalieh_iadb_org/Documents/HO-L1187/"/>
    </mc:Choice>
  </mc:AlternateContent>
  <bookViews>
    <workbookView xWindow="0" yWindow="0" windowWidth="23040" windowHeight="9105" activeTab="3"/>
  </bookViews>
  <sheets>
    <sheet name="Consumo papel" sheetId="1" r:id="rId1"/>
    <sheet name="RRHH Manejo HC" sheetId="2" r:id="rId2"/>
    <sheet name="Consumo placas" sheetId="3" r:id="rId3"/>
    <sheet name="Costos" sheetId="4" r:id="rId4"/>
    <sheet name="Resumen" sheetId="5" r:id="rId5"/>
  </sheets>
  <definedNames>
    <definedName name="_xlnm.Print_Area" localSheetId="0">'Consumo papel'!$B$1:$N$47</definedName>
    <definedName name="_xlnm.Print_Area" localSheetId="2">'Consumo placas'!$A$1:$M$45</definedName>
    <definedName name="_xlnm.Print_Area" localSheetId="4">Resumen!$A$1:$M$35</definedName>
    <definedName name="_xlnm.Print_Area" localSheetId="1">'RRHH Manejo HC'!$A$1:$N$51</definedName>
  </definedNames>
  <calcPr calcId="171026"/>
</workbook>
</file>

<file path=xl/calcChain.xml><?xml version="1.0" encoding="utf-8"?>
<calcChain xmlns="http://schemas.openxmlformats.org/spreadsheetml/2006/main">
  <c r="I9" i="4" l="1"/>
  <c r="H9" i="4"/>
  <c r="G9" i="4"/>
  <c r="F9" i="4"/>
  <c r="E9" i="4"/>
  <c r="D9" i="4"/>
  <c r="B53" i="3" l="1"/>
  <c r="B44" i="3"/>
  <c r="D52" i="2"/>
  <c r="D50" i="1"/>
  <c r="N27" i="1"/>
  <c r="M27" i="1"/>
  <c r="L27" i="1"/>
  <c r="J27" i="3"/>
  <c r="J23" i="3" l="1"/>
  <c r="K23" i="3" s="1"/>
  <c r="L23" i="3" s="1"/>
  <c r="I23" i="3"/>
  <c r="J17" i="3"/>
  <c r="K17" i="3" s="1"/>
  <c r="I22" i="1"/>
  <c r="J22" i="1" s="1"/>
  <c r="K22" i="1" s="1"/>
  <c r="L22" i="1" s="1"/>
  <c r="M22" i="1" s="1"/>
  <c r="N22" i="1" s="1"/>
  <c r="G27" i="5"/>
  <c r="G30" i="5" s="1"/>
  <c r="J29" i="5"/>
  <c r="I29" i="5"/>
  <c r="H29" i="5"/>
  <c r="J28" i="5"/>
  <c r="I28" i="5"/>
  <c r="I27" i="5" s="1"/>
  <c r="H28" i="5"/>
  <c r="J27" i="5" l="1"/>
  <c r="H27" i="5"/>
  <c r="G23" i="3"/>
  <c r="H23" i="3" s="1"/>
  <c r="F23" i="3"/>
  <c r="C23" i="3"/>
  <c r="C27" i="3" s="1"/>
  <c r="M26" i="3"/>
  <c r="L22" i="3"/>
  <c r="M22" i="3" s="1"/>
  <c r="I17" i="3"/>
  <c r="D14" i="3"/>
  <c r="F22" i="3" s="1"/>
  <c r="G22" i="3" s="1"/>
  <c r="H22" i="3" s="1"/>
  <c r="I22" i="3" s="1"/>
  <c r="J22" i="3" s="1"/>
  <c r="C21" i="3"/>
  <c r="N30" i="2"/>
  <c r="N28" i="2"/>
  <c r="N24" i="2"/>
  <c r="D19" i="2"/>
  <c r="E19" i="2"/>
  <c r="K19" i="2"/>
  <c r="H31" i="2"/>
  <c r="G31" i="2"/>
  <c r="F31" i="2"/>
  <c r="E31" i="2"/>
  <c r="D31" i="2"/>
  <c r="A31" i="2"/>
  <c r="M30" i="2"/>
  <c r="A30" i="2"/>
  <c r="D29" i="2"/>
  <c r="A29" i="2"/>
  <c r="M28" i="2"/>
  <c r="L28" i="2"/>
  <c r="K28" i="2"/>
  <c r="J28" i="2"/>
  <c r="I28" i="2"/>
  <c r="H28" i="2"/>
  <c r="G28" i="2"/>
  <c r="F28" i="2"/>
  <c r="E28" i="2"/>
  <c r="D28" i="2"/>
  <c r="A28" i="2"/>
  <c r="H26" i="2"/>
  <c r="G26" i="2"/>
  <c r="F26" i="2"/>
  <c r="E26" i="2"/>
  <c r="D26" i="2"/>
  <c r="C26" i="2"/>
  <c r="A26" i="2"/>
  <c r="I25" i="2"/>
  <c r="H25" i="2"/>
  <c r="G25" i="2"/>
  <c r="F25" i="2"/>
  <c r="E25" i="2"/>
  <c r="D25" i="2"/>
  <c r="C25" i="2"/>
  <c r="A25" i="2"/>
  <c r="M24" i="2"/>
  <c r="L24" i="2"/>
  <c r="K24" i="2"/>
  <c r="J24" i="2"/>
  <c r="I24" i="2"/>
  <c r="H24" i="2"/>
  <c r="G24" i="2"/>
  <c r="F24" i="2"/>
  <c r="E24" i="2"/>
  <c r="D24" i="2"/>
  <c r="C24" i="2"/>
  <c r="A24" i="2"/>
  <c r="A23" i="2"/>
  <c r="A22" i="2"/>
  <c r="D20" i="2"/>
  <c r="C20" i="2"/>
  <c r="A20" i="2"/>
  <c r="H47" i="1"/>
  <c r="G47" i="1"/>
  <c r="F47" i="1"/>
  <c r="E47" i="1"/>
  <c r="N46" i="1"/>
  <c r="M46" i="1"/>
  <c r="D47" i="1"/>
  <c r="N40" i="1"/>
  <c r="M40" i="1"/>
  <c r="L40" i="1"/>
  <c r="K40" i="1"/>
  <c r="J40" i="1"/>
  <c r="I40" i="1"/>
  <c r="H40" i="1"/>
  <c r="G40" i="1"/>
  <c r="F40" i="1"/>
  <c r="E40" i="1"/>
  <c r="D40" i="1"/>
  <c r="D39" i="1"/>
  <c r="F25" i="1"/>
  <c r="F29" i="2" s="1"/>
  <c r="D22" i="1"/>
  <c r="D26" i="1"/>
  <c r="D46" i="1" s="1"/>
  <c r="D25" i="1"/>
  <c r="K23" i="1"/>
  <c r="I23" i="1"/>
  <c r="H22" i="1"/>
  <c r="G22" i="1"/>
  <c r="F22" i="1"/>
  <c r="E22" i="1"/>
  <c r="H21" i="1"/>
  <c r="I21" i="1" s="1"/>
  <c r="J21" i="1" s="1"/>
  <c r="K21" i="1" s="1"/>
  <c r="E17" i="1"/>
  <c r="F17" i="1" s="1"/>
  <c r="G17" i="1" s="1"/>
  <c r="H17" i="1" s="1"/>
  <c r="I17" i="1" s="1"/>
  <c r="J17" i="1" s="1"/>
  <c r="K17" i="1" s="1"/>
  <c r="L17" i="1" s="1"/>
  <c r="D30" i="2" l="1"/>
  <c r="K39" i="1"/>
  <c r="J23" i="1"/>
  <c r="J26" i="2" s="1"/>
  <c r="K25" i="2"/>
  <c r="K26" i="2"/>
  <c r="L25" i="2"/>
  <c r="L23" i="1"/>
  <c r="K26" i="1"/>
  <c r="I26" i="2"/>
  <c r="J25" i="2"/>
  <c r="J25" i="1"/>
  <c r="J29" i="2" s="1"/>
  <c r="F20" i="2"/>
  <c r="F26" i="1"/>
  <c r="F30" i="2" s="1"/>
  <c r="F39" i="1"/>
  <c r="J20" i="2"/>
  <c r="E25" i="1"/>
  <c r="E29" i="2" s="1"/>
  <c r="G26" i="1"/>
  <c r="J39" i="1"/>
  <c r="K20" i="2"/>
  <c r="I25" i="1"/>
  <c r="I29" i="2" s="1"/>
  <c r="J26" i="1"/>
  <c r="G39" i="1"/>
  <c r="G20" i="2"/>
  <c r="M17" i="1"/>
  <c r="L25" i="1"/>
  <c r="L29" i="2" s="1"/>
  <c r="L20" i="2"/>
  <c r="L39" i="1"/>
  <c r="L41" i="1" s="1"/>
  <c r="K7" i="5" s="1"/>
  <c r="G25" i="1"/>
  <c r="G29" i="2" s="1"/>
  <c r="K25" i="1"/>
  <c r="K29" i="2" s="1"/>
  <c r="H26" i="1"/>
  <c r="H39" i="1"/>
  <c r="H20" i="2"/>
  <c r="H25" i="1"/>
  <c r="H29" i="2" s="1"/>
  <c r="E26" i="1"/>
  <c r="I26" i="1"/>
  <c r="I27" i="1" s="1"/>
  <c r="I47" i="1" s="1"/>
  <c r="H24" i="5" s="1"/>
  <c r="E39" i="1"/>
  <c r="I39" i="1"/>
  <c r="E20" i="2"/>
  <c r="I20" i="2"/>
  <c r="H24" i="3"/>
  <c r="C26" i="3"/>
  <c r="D22" i="3"/>
  <c r="J12" i="5"/>
  <c r="I12" i="5"/>
  <c r="H12" i="5"/>
  <c r="G12" i="5"/>
  <c r="F12" i="5"/>
  <c r="E12" i="5"/>
  <c r="D12" i="5"/>
  <c r="C12" i="5"/>
  <c r="J11" i="5"/>
  <c r="J10" i="5" s="1"/>
  <c r="I11" i="5"/>
  <c r="I10" i="5" s="1"/>
  <c r="H11" i="5"/>
  <c r="G11" i="5"/>
  <c r="G10" i="5" s="1"/>
  <c r="F11" i="5"/>
  <c r="E11" i="5"/>
  <c r="D11" i="5"/>
  <c r="D10" i="5" s="1"/>
  <c r="C11" i="5"/>
  <c r="B18" i="5"/>
  <c r="B10" i="4"/>
  <c r="B11" i="4" s="1"/>
  <c r="B45" i="2"/>
  <c r="B11" i="2"/>
  <c r="B36" i="2" s="1"/>
  <c r="C9" i="5"/>
  <c r="C8" i="5"/>
  <c r="C7" i="5"/>
  <c r="C10" i="5"/>
  <c r="F10" i="5"/>
  <c r="E10" i="5"/>
  <c r="C13" i="5"/>
  <c r="B9" i="4"/>
  <c r="C9" i="4"/>
  <c r="D4" i="4"/>
  <c r="E4" i="4"/>
  <c r="F4" i="4"/>
  <c r="G4" i="4"/>
  <c r="H4" i="4"/>
  <c r="I4" i="4"/>
  <c r="F40" i="2"/>
  <c r="F19" i="2" s="1"/>
  <c r="B34" i="2"/>
  <c r="B35" i="2"/>
  <c r="B18" i="2"/>
  <c r="B45" i="3"/>
  <c r="E42" i="3"/>
  <c r="F20" i="3"/>
  <c r="F42" i="3" s="1"/>
  <c r="C34" i="3"/>
  <c r="A34" i="3"/>
  <c r="C6" i="3"/>
  <c r="B6" i="3"/>
  <c r="A6" i="3"/>
  <c r="F38" i="1"/>
  <c r="G38" i="1"/>
  <c r="H38" i="1" s="1"/>
  <c r="I38" i="1" s="1"/>
  <c r="J38" i="1" s="1"/>
  <c r="C31" i="1"/>
  <c r="B34" i="3" s="1"/>
  <c r="B36" i="3" s="1"/>
  <c r="B38" i="3" s="1"/>
  <c r="C30" i="1"/>
  <c r="C33" i="1"/>
  <c r="C34" i="1"/>
  <c r="J30" i="2" l="1"/>
  <c r="J27" i="1"/>
  <c r="F46" i="1"/>
  <c r="K46" i="1"/>
  <c r="K27" i="1"/>
  <c r="K47" i="1" s="1"/>
  <c r="J24" i="5" s="1"/>
  <c r="J31" i="2"/>
  <c r="J49" i="2" s="1"/>
  <c r="I25" i="5" s="1"/>
  <c r="M27" i="3"/>
  <c r="B37" i="2"/>
  <c r="L42" i="2" s="1"/>
  <c r="G40" i="2"/>
  <c r="B35" i="5"/>
  <c r="B27" i="5"/>
  <c r="H10" i="5"/>
  <c r="B10" i="5"/>
  <c r="K30" i="2"/>
  <c r="K31" i="2" s="1"/>
  <c r="K49" i="2" s="1"/>
  <c r="J25" i="5" s="1"/>
  <c r="L26" i="2"/>
  <c r="J47" i="1"/>
  <c r="I24" i="5" s="1"/>
  <c r="M25" i="2"/>
  <c r="M23" i="1"/>
  <c r="M26" i="2" s="1"/>
  <c r="G46" i="1"/>
  <c r="G30" i="2"/>
  <c r="G48" i="2" s="1"/>
  <c r="J46" i="1"/>
  <c r="E46" i="1"/>
  <c r="E30" i="2"/>
  <c r="E48" i="2" s="1"/>
  <c r="L30" i="2"/>
  <c r="L48" i="2" s="1"/>
  <c r="L46" i="1"/>
  <c r="N17" i="1"/>
  <c r="M20" i="2"/>
  <c r="M41" i="2" s="1"/>
  <c r="M39" i="1"/>
  <c r="M41" i="1" s="1"/>
  <c r="L7" i="5" s="1"/>
  <c r="M25" i="1"/>
  <c r="M29" i="2" s="1"/>
  <c r="M31" i="2" s="1"/>
  <c r="H30" i="2"/>
  <c r="H46" i="1"/>
  <c r="I30" i="2"/>
  <c r="I48" i="2" s="1"/>
  <c r="I46" i="1"/>
  <c r="E22" i="3"/>
  <c r="D21" i="3"/>
  <c r="E21" i="3" s="1"/>
  <c r="F21" i="3" s="1"/>
  <c r="D26" i="3"/>
  <c r="D23" i="3"/>
  <c r="I24" i="3"/>
  <c r="N48" i="2"/>
  <c r="D49" i="2"/>
  <c r="D42" i="2"/>
  <c r="K41" i="2"/>
  <c r="J48" i="2"/>
  <c r="F48" i="2"/>
  <c r="J41" i="2"/>
  <c r="F41" i="2"/>
  <c r="N42" i="2"/>
  <c r="J42" i="2"/>
  <c r="E41" i="2"/>
  <c r="M42" i="2"/>
  <c r="I42" i="2"/>
  <c r="H41" i="2"/>
  <c r="D41" i="2"/>
  <c r="G20" i="3"/>
  <c r="H20" i="3" s="1"/>
  <c r="H42" i="3" s="1"/>
  <c r="C32" i="1"/>
  <c r="C35" i="1" s="1"/>
  <c r="B35" i="3"/>
  <c r="B37" i="3" s="1"/>
  <c r="B39" i="3" s="1"/>
  <c r="L49" i="3" s="1"/>
  <c r="L41" i="2" l="1"/>
  <c r="D48" i="2"/>
  <c r="I41" i="2"/>
  <c r="I43" i="2" s="1"/>
  <c r="M48" i="2"/>
  <c r="G42" i="2"/>
  <c r="G49" i="2"/>
  <c r="H42" i="2"/>
  <c r="H43" i="2" s="1"/>
  <c r="H48" i="2"/>
  <c r="K48" i="2"/>
  <c r="J49" i="3"/>
  <c r="D43" i="3"/>
  <c r="M43" i="3"/>
  <c r="M9" i="5" s="1"/>
  <c r="K49" i="3"/>
  <c r="H49" i="2"/>
  <c r="E42" i="2"/>
  <c r="E43" i="2" s="1"/>
  <c r="E49" i="2"/>
  <c r="F42" i="2"/>
  <c r="F49" i="2"/>
  <c r="K42" i="2"/>
  <c r="G41" i="2"/>
  <c r="I31" i="2"/>
  <c r="I49" i="2" s="1"/>
  <c r="H25" i="5" s="1"/>
  <c r="L31" i="2"/>
  <c r="L49" i="2" s="1"/>
  <c r="K25" i="5" s="1"/>
  <c r="M49" i="3"/>
  <c r="M28" i="3"/>
  <c r="M50" i="3" s="1"/>
  <c r="M26" i="5" s="1"/>
  <c r="G19" i="2"/>
  <c r="H40" i="2"/>
  <c r="L47" i="1"/>
  <c r="K24" i="5" s="1"/>
  <c r="N25" i="2"/>
  <c r="N23" i="1"/>
  <c r="N26" i="2" s="1"/>
  <c r="M49" i="2"/>
  <c r="L25" i="5" s="1"/>
  <c r="M47" i="1"/>
  <c r="L24" i="5" s="1"/>
  <c r="N20" i="2"/>
  <c r="N41" i="2" s="1"/>
  <c r="N43" i="2" s="1"/>
  <c r="M8" i="5" s="1"/>
  <c r="N25" i="1"/>
  <c r="N29" i="2" s="1"/>
  <c r="N31" i="2" s="1"/>
  <c r="N39" i="1"/>
  <c r="N41" i="1" s="1"/>
  <c r="M7" i="5" s="1"/>
  <c r="G21" i="3"/>
  <c r="F27" i="3"/>
  <c r="F49" i="3" s="1"/>
  <c r="F26" i="3"/>
  <c r="F43" i="3" s="1"/>
  <c r="F9" i="5" s="1"/>
  <c r="J24" i="3"/>
  <c r="E23" i="3"/>
  <c r="E27" i="3" s="1"/>
  <c r="E49" i="3" s="1"/>
  <c r="E26" i="3"/>
  <c r="E43" i="3" s="1"/>
  <c r="E9" i="5" s="1"/>
  <c r="I20" i="3"/>
  <c r="I42" i="3" s="1"/>
  <c r="D27" i="3"/>
  <c r="F43" i="2"/>
  <c r="G43" i="2"/>
  <c r="J43" i="2"/>
  <c r="K43" i="2"/>
  <c r="L43" i="2"/>
  <c r="K8" i="5" s="1"/>
  <c r="M43" i="2"/>
  <c r="L8" i="5" s="1"/>
  <c r="G42" i="3"/>
  <c r="J20" i="3"/>
  <c r="J42" i="3" s="1"/>
  <c r="H19" i="2" l="1"/>
  <c r="I40" i="2"/>
  <c r="N49" i="2"/>
  <c r="M25" i="5" s="1"/>
  <c r="B25" i="5" s="1"/>
  <c r="N47" i="1"/>
  <c r="M24" i="5" s="1"/>
  <c r="B24" i="5" s="1"/>
  <c r="M6" i="5"/>
  <c r="M13" i="5" s="1"/>
  <c r="K24" i="3"/>
  <c r="H21" i="3"/>
  <c r="G26" i="3"/>
  <c r="G43" i="3" s="1"/>
  <c r="G9" i="5" s="1"/>
  <c r="G27" i="3"/>
  <c r="G49" i="3" s="1"/>
  <c r="D44" i="2"/>
  <c r="E41" i="1"/>
  <c r="I8" i="5"/>
  <c r="H8" i="5"/>
  <c r="J8" i="5"/>
  <c r="E8" i="5"/>
  <c r="G8" i="5"/>
  <c r="D8" i="5"/>
  <c r="F8" i="5"/>
  <c r="D9" i="5"/>
  <c r="I19" i="2" l="1"/>
  <c r="J40" i="2"/>
  <c r="J19" i="2" s="1"/>
  <c r="M23" i="5"/>
  <c r="M30" i="5" s="1"/>
  <c r="I21" i="3"/>
  <c r="H27" i="3"/>
  <c r="H49" i="3" s="1"/>
  <c r="H26" i="3"/>
  <c r="H43" i="3" s="1"/>
  <c r="H9" i="5" s="1"/>
  <c r="M24" i="3"/>
  <c r="L24" i="3"/>
  <c r="B8" i="5"/>
  <c r="D7" i="5"/>
  <c r="H41" i="1"/>
  <c r="G7" i="5" s="1"/>
  <c r="G6" i="5" s="1"/>
  <c r="G13" i="5" s="1"/>
  <c r="J41" i="1"/>
  <c r="I7" i="5" s="1"/>
  <c r="I41" i="1"/>
  <c r="H7" i="5" s="1"/>
  <c r="K41" i="1"/>
  <c r="J7" i="5" s="1"/>
  <c r="G41" i="1"/>
  <c r="F7" i="5" s="1"/>
  <c r="F6" i="5" s="1"/>
  <c r="F13" i="5" s="1"/>
  <c r="F41" i="1"/>
  <c r="E7" i="5" s="1"/>
  <c r="H6" i="5" l="1"/>
  <c r="H13" i="5" s="1"/>
  <c r="D42" i="1"/>
  <c r="D6" i="5"/>
  <c r="D13" i="5" s="1"/>
  <c r="B7" i="5"/>
  <c r="H28" i="3"/>
  <c r="H50" i="3" s="1"/>
  <c r="H26" i="5" s="1"/>
  <c r="H23" i="5" s="1"/>
  <c r="H30" i="5" s="1"/>
  <c r="J21" i="3"/>
  <c r="I26" i="3"/>
  <c r="I43" i="3" s="1"/>
  <c r="I9" i="5" s="1"/>
  <c r="I27" i="3"/>
  <c r="I49" i="3" s="1"/>
  <c r="E6" i="5"/>
  <c r="E13" i="5" s="1"/>
  <c r="I6" i="5" l="1"/>
  <c r="I13" i="5" s="1"/>
  <c r="I28" i="3"/>
  <c r="I50" i="3" s="1"/>
  <c r="I26" i="5" s="1"/>
  <c r="I23" i="5" s="1"/>
  <c r="I30" i="5" s="1"/>
  <c r="K21" i="3"/>
  <c r="J26" i="3"/>
  <c r="J28" i="3" l="1"/>
  <c r="J50" i="3" s="1"/>
  <c r="J26" i="5" s="1"/>
  <c r="J43" i="3"/>
  <c r="L21" i="3"/>
  <c r="L26" i="3" s="1"/>
  <c r="K26" i="3"/>
  <c r="J23" i="5" l="1"/>
  <c r="J9" i="5"/>
  <c r="J6" i="5" s="1"/>
  <c r="J13" i="5" s="1"/>
  <c r="K28" i="3"/>
  <c r="K50" i="3" s="1"/>
  <c r="K26" i="5" s="1"/>
  <c r="K23" i="5" s="1"/>
  <c r="K30" i="5" s="1"/>
  <c r="K43" i="3"/>
  <c r="K9" i="5" s="1"/>
  <c r="K6" i="5" s="1"/>
  <c r="K13" i="5" s="1"/>
  <c r="L28" i="3"/>
  <c r="L50" i="3" s="1"/>
  <c r="L26" i="5" s="1"/>
  <c r="L23" i="5" s="1"/>
  <c r="L30" i="5" s="1"/>
  <c r="L43" i="3"/>
  <c r="L9" i="5" s="1"/>
  <c r="J30" i="5" l="1"/>
  <c r="B23" i="5"/>
  <c r="B26" i="5"/>
  <c r="L6" i="5"/>
  <c r="L13" i="5" s="1"/>
  <c r="B15" i="5" s="1"/>
  <c r="B16" i="5" s="1"/>
  <c r="B9" i="5"/>
  <c r="B6" i="5" s="1"/>
  <c r="B34" i="5" l="1"/>
  <c r="B32" i="5"/>
  <c r="B33" i="5" s="1"/>
  <c r="B17" i="5"/>
</calcChain>
</file>

<file path=xl/sharedStrings.xml><?xml version="1.0" encoding="utf-8"?>
<sst xmlns="http://schemas.openxmlformats.org/spreadsheetml/2006/main" count="192" uniqueCount="118">
  <si>
    <t>CUADRO 1 - CONSUMO DE PAPEL</t>
  </si>
  <si>
    <t>DATOS:</t>
  </si>
  <si>
    <t>Número de consultas</t>
  </si>
  <si>
    <t>por paciente por año</t>
  </si>
  <si>
    <t>Número de prescripciones de medicamentos</t>
  </si>
  <si>
    <t>Número de prescripciones de estudios laboratorio</t>
  </si>
  <si>
    <t>Número de prescripciones de estudios radiológicos</t>
  </si>
  <si>
    <t>Población total</t>
  </si>
  <si>
    <t>personas</t>
  </si>
  <si>
    <t>Costo unit. formulario tamaño A4</t>
  </si>
  <si>
    <t>pesos UY/formulario</t>
  </si>
  <si>
    <t xml:space="preserve">Costo unit. formulario en tamaño prescripción </t>
  </si>
  <si>
    <t>Tipo de cambio</t>
  </si>
  <si>
    <t>pesos UY/dólar</t>
  </si>
  <si>
    <t>SUPUESTOS:</t>
  </si>
  <si>
    <t>Ritmo de adopción de la HCE sin Proyecto</t>
  </si>
  <si>
    <t>CÁLCULOS:</t>
  </si>
  <si>
    <t>Número de formularios por paciente</t>
  </si>
  <si>
    <t>formularios/paciente/año</t>
  </si>
  <si>
    <t>Afiliados totales</t>
  </si>
  <si>
    <t>afiliados</t>
  </si>
  <si>
    <t>Número total de formularios por año</t>
  </si>
  <si>
    <t>formularios/año</t>
  </si>
  <si>
    <t>Costo promedio ponderado formulario (pesos)</t>
  </si>
  <si>
    <t>Costo promedio ponderado formulario (dólares)</t>
  </si>
  <si>
    <t>dólares/formulario</t>
  </si>
  <si>
    <t>Costo total anual compra de formularios</t>
  </si>
  <si>
    <t>dólares/año</t>
  </si>
  <si>
    <t>Años</t>
  </si>
  <si>
    <t>Costo anual sin proyecto</t>
  </si>
  <si>
    <t>US$</t>
  </si>
  <si>
    <t>Costo anual con proyecto</t>
  </si>
  <si>
    <t>Beneficio anual por ahorro de consumo de papel</t>
  </si>
  <si>
    <t>Valor presente neto de ahorros en consumo de papel</t>
  </si>
  <si>
    <t>Tasa de Descuento</t>
  </si>
  <si>
    <t>CUADRO 2: COSTOS DE MANEJO DE HISTORIAS CLÍNICAS EN PAPEL</t>
  </si>
  <si>
    <t>No. De consultas</t>
  </si>
  <si>
    <t>minutos/paciente/año</t>
  </si>
  <si>
    <t>No. De resultados de Lab.</t>
  </si>
  <si>
    <t>No. De estudios radio-eco</t>
  </si>
  <si>
    <t>Costo unitario del RRHH</t>
  </si>
  <si>
    <t xml:space="preserve">  Salario nominal</t>
  </si>
  <si>
    <t>Pesos UY</t>
  </si>
  <si>
    <t xml:space="preserve">  Aportes a Seg social y beneficios</t>
  </si>
  <si>
    <t>Tiempos medios de manipuleo:</t>
  </si>
  <si>
    <t xml:space="preserve">  Envío a consulta y devolucion</t>
  </si>
  <si>
    <t>minutos por consulta</t>
  </si>
  <si>
    <t xml:space="preserve">  Archivo de resultados de Lab.</t>
  </si>
  <si>
    <t>minuto por resultado</t>
  </si>
  <si>
    <t xml:space="preserve">  Archivo de estudios radio-eco</t>
  </si>
  <si>
    <t>Minutos de manipuleo</t>
  </si>
  <si>
    <t>horas/año</t>
  </si>
  <si>
    <t>Costo por hora</t>
  </si>
  <si>
    <t>US$/hora</t>
  </si>
  <si>
    <t>Costo anual de manipuleo</t>
  </si>
  <si>
    <t>Ahorro anual en costo RRHH para manipuleo HC</t>
  </si>
  <si>
    <t>CUADRO 3: CONSUMO DE PLACAS DE ACETATO</t>
  </si>
  <si>
    <t>Número de Radiografías</t>
  </si>
  <si>
    <t>paciente/año</t>
  </si>
  <si>
    <t>Número de Tomografías</t>
  </si>
  <si>
    <t>Costo Unit. Acetato 24x30 cm.</t>
  </si>
  <si>
    <t>US$/unidad</t>
  </si>
  <si>
    <t>Costo Unit. Acetato 43x40 cm.</t>
  </si>
  <si>
    <t>Ritmo de adopción de imágenes digitales</t>
  </si>
  <si>
    <t>radios/año</t>
  </si>
  <si>
    <t>TACs/año</t>
  </si>
  <si>
    <t>Costo anual Placas p/Radio</t>
  </si>
  <si>
    <t>Dólares</t>
  </si>
  <si>
    <t>Costo anual Placas p/TAC</t>
  </si>
  <si>
    <t>Costo anual total Radio + TAC</t>
  </si>
  <si>
    <t>Ahorro de Gasto en Placas</t>
  </si>
  <si>
    <t>En US$</t>
  </si>
  <si>
    <t>Valor presente neto de ahorros</t>
  </si>
  <si>
    <t>Tasa de descuento</t>
  </si>
  <si>
    <t>CUADRO 4: COSTOS DE INVERSIÓN</t>
  </si>
  <si>
    <t>Uso de recursos Banco</t>
  </si>
  <si>
    <t>Uso de contrapartida local</t>
  </si>
  <si>
    <t>Uso total de recursos</t>
  </si>
  <si>
    <t>Valor presente neto de los costos</t>
  </si>
  <si>
    <t>CUADRO 5: RESUMEN DEL ANÁLISIS COSTO-BENEFICIO</t>
  </si>
  <si>
    <t>Valores en US$</t>
  </si>
  <si>
    <t>Valores presentes</t>
  </si>
  <si>
    <t>Beneficios brutos atribuibles al Proyecto</t>
  </si>
  <si>
    <t>1 Ahorros de Consumo de Papel</t>
  </si>
  <si>
    <t>2 Ahorros de Tiempo de Manipuleo de HC en Papel</t>
  </si>
  <si>
    <t>3 Ahorros de Consumo de Placas de Acetato</t>
  </si>
  <si>
    <t>Costos</t>
  </si>
  <si>
    <t>Desembolsos Banco</t>
  </si>
  <si>
    <t>Gastos contrapartida local</t>
  </si>
  <si>
    <t>Beneficios Netos Anuales</t>
  </si>
  <si>
    <t>Valor Actual Neto</t>
  </si>
  <si>
    <t>Razón de Costo Beneficio</t>
  </si>
  <si>
    <t>Tasa Interna de Retorno</t>
  </si>
  <si>
    <t>Ritmo de adopción de la HCE con Proyecto (2 fases)</t>
  </si>
  <si>
    <t>Instituciones que almecenan datos clínicos electrónicos</t>
  </si>
  <si>
    <t>(total o casi todos)</t>
  </si>
  <si>
    <t>Se adoptó el supuesto que las instituciones que adoptaron HCE entre 2014 y 2016 (28% y 57% del total de entidades) guardaron un 70% de sus datos en formato digital: 2014: 20% de los datos; 2016: 40% de los datos</t>
  </si>
  <si>
    <t>Aumentos de adopción atribuibles a UR-L1082</t>
  </si>
  <si>
    <t>Aumentos de adopción atribuibles a UR-L1143</t>
  </si>
  <si>
    <t>Aumento de la adopción atribuible a UR-L1082+UR-L1143</t>
  </si>
  <si>
    <t>Adopción atribuibles a UR-L1082</t>
  </si>
  <si>
    <t>Adopción atribuibles a UR-L1143</t>
  </si>
  <si>
    <t>El año 2015 fue interpolado entre 2014 y 2016  (42% de incremento anual). Para 2017 y siguientes, se supone una tasa de incremento anual de 25%, que consistente con llegar a la práctica totalidad de las HCEs para 2020</t>
  </si>
  <si>
    <t>Desagregación de los beneficios anuales por papel según préstamo</t>
  </si>
  <si>
    <t>UR-L1082</t>
  </si>
  <si>
    <t>UR-L1143</t>
  </si>
  <si>
    <t>% Instituciones que almacenan total o mayoría imágenes digitales</t>
  </si>
  <si>
    <t>Tasa anual de aumento de imágenes digitales SIN PROYECTO</t>
  </si>
  <si>
    <t>% de imágenes digitales con proyecto en 2014 y 2016</t>
  </si>
  <si>
    <t>del % de Instituciones que surge de la Encuesta (ver línea 9 "Datos" de esta Hoja)</t>
  </si>
  <si>
    <t>Para estimación de línea de Base 2013 se supone incremento anual en 2013-2014</t>
  </si>
  <si>
    <t>Tasas anuales de incremento de imágenes digitales a partir de 2017 decrecientes:</t>
  </si>
  <si>
    <t>Ritmo de adopción de imágenes digitales sin Proyecto</t>
  </si>
  <si>
    <t>Ritmo de adopción de imágenes con Proyecto (2 fases)</t>
  </si>
  <si>
    <t>Aumento de adopción atribuible a UR-L1082+UR-L1143</t>
  </si>
  <si>
    <t>Desagregación de ahorros según préstamo</t>
  </si>
  <si>
    <t>PROYECTOS UR-L1082 y UR-L1143 CONJUNTAMENTE</t>
  </si>
  <si>
    <t>PROYECTO UR-L1143 INDIVIDUALMENTE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</si>
</sst>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_(&quot;$&quot;* #,##0_);_(&quot;$&quot;* \(#,##0\);_(&quot;$&quot;* &quot;-&quot;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b/>
      <u/>
      <sz val="12"/>
      <color theme="1"/>
      <name val="Calibri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165" fontId="0" fillId="0" borderId="0" xfId="0" applyNumberFormat="1"/>
    <xf numFmtId="9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5" fontId="5" fillId="2" borderId="1" xfId="1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vertical="center"/>
    </xf>
    <xf numFmtId="165" fontId="6" fillId="3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3" fontId="6" fillId="3" borderId="1" xfId="1" applyFont="1" applyFill="1" applyBorder="1" applyAlignment="1">
      <alignment vertical="center"/>
    </xf>
    <xf numFmtId="0" fontId="0" fillId="0" borderId="0" xfId="0" applyFont="1"/>
    <xf numFmtId="43" fontId="5" fillId="2" borderId="1" xfId="1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0" fontId="0" fillId="0" borderId="1" xfId="0" applyFont="1" applyBorder="1"/>
    <xf numFmtId="9" fontId="0" fillId="0" borderId="1" xfId="0" applyNumberFormat="1" applyFont="1" applyBorder="1"/>
    <xf numFmtId="0" fontId="0" fillId="0" borderId="1" xfId="0" applyBorder="1"/>
    <xf numFmtId="166" fontId="0" fillId="0" borderId="1" xfId="3" applyNumberFormat="1" applyFont="1" applyBorder="1"/>
    <xf numFmtId="9" fontId="0" fillId="0" borderId="1" xfId="0" applyNumberFormat="1" applyBorder="1"/>
    <xf numFmtId="6" fontId="2" fillId="0" borderId="1" xfId="0" applyNumberFormat="1" applyFont="1" applyBorder="1"/>
    <xf numFmtId="0" fontId="7" fillId="0" borderId="0" xfId="0" applyFont="1"/>
    <xf numFmtId="44" fontId="0" fillId="0" borderId="1" xfId="3" applyFont="1" applyBorder="1"/>
    <xf numFmtId="166" fontId="0" fillId="0" borderId="1" xfId="0" applyNumberFormat="1" applyBorder="1"/>
    <xf numFmtId="0" fontId="0" fillId="0" borderId="0" xfId="0" applyBorder="1"/>
    <xf numFmtId="9" fontId="0" fillId="0" borderId="0" xfId="0" applyNumberFormat="1" applyBorder="1"/>
    <xf numFmtId="44" fontId="0" fillId="0" borderId="2" xfId="3" applyFont="1" applyBorder="1"/>
    <xf numFmtId="0" fontId="2" fillId="0" borderId="1" xfId="0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0" fontId="0" fillId="0" borderId="2" xfId="0" applyBorder="1"/>
    <xf numFmtId="165" fontId="0" fillId="0" borderId="2" xfId="1" applyNumberFormat="1" applyFont="1" applyBorder="1"/>
    <xf numFmtId="2" fontId="0" fillId="0" borderId="1" xfId="0" applyNumberFormat="1" applyBorder="1"/>
    <xf numFmtId="0" fontId="2" fillId="0" borderId="1" xfId="0" applyFont="1" applyBorder="1" applyAlignment="1">
      <alignment horizontal="center"/>
    </xf>
    <xf numFmtId="9" fontId="0" fillId="0" borderId="1" xfId="2" applyFont="1" applyBorder="1"/>
    <xf numFmtId="9" fontId="0" fillId="0" borderId="2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/>
    <xf numFmtId="0" fontId="0" fillId="0" borderId="1" xfId="0" applyBorder="1" applyAlignment="1">
      <alignment horizontal="center"/>
    </xf>
    <xf numFmtId="166" fontId="0" fillId="0" borderId="0" xfId="0" applyNumberFormat="1"/>
    <xf numFmtId="0" fontId="0" fillId="0" borderId="0" xfId="0" applyFill="1" applyBorder="1"/>
    <xf numFmtId="167" fontId="0" fillId="0" borderId="1" xfId="0" applyNumberFormat="1" applyBorder="1"/>
    <xf numFmtId="0" fontId="0" fillId="0" borderId="3" xfId="0" applyFill="1" applyBorder="1"/>
    <xf numFmtId="0" fontId="0" fillId="0" borderId="3" xfId="0" applyFill="1" applyBorder="1" applyAlignment="1">
      <alignment wrapText="1"/>
    </xf>
    <xf numFmtId="167" fontId="0" fillId="0" borderId="0" xfId="0" applyNumberFormat="1"/>
    <xf numFmtId="9" fontId="0" fillId="0" borderId="0" xfId="2" applyFont="1"/>
    <xf numFmtId="167" fontId="0" fillId="0" borderId="0" xfId="0" applyNumberFormat="1" applyBorder="1"/>
    <xf numFmtId="0" fontId="9" fillId="0" borderId="1" xfId="0" applyFont="1" applyBorder="1" applyAlignment="1">
      <alignment horizontal="center"/>
    </xf>
    <xf numFmtId="165" fontId="0" fillId="0" borderId="0" xfId="1" applyNumberFormat="1" applyFont="1" applyBorder="1"/>
    <xf numFmtId="0" fontId="9" fillId="0" borderId="1" xfId="0" applyFont="1" applyBorder="1"/>
    <xf numFmtId="9" fontId="0" fillId="0" borderId="3" xfId="2" applyFont="1" applyFill="1" applyBorder="1"/>
    <xf numFmtId="167" fontId="0" fillId="0" borderId="1" xfId="2" applyNumberFormat="1" applyFont="1" applyBorder="1"/>
    <xf numFmtId="0" fontId="2" fillId="0" borderId="0" xfId="0" applyFont="1" applyFill="1" applyBorder="1" applyAlignment="1">
      <alignment horizontal="center"/>
    </xf>
    <xf numFmtId="168" fontId="0" fillId="0" borderId="0" xfId="0" applyNumberFormat="1"/>
    <xf numFmtId="0" fontId="2" fillId="0" borderId="3" xfId="0" applyFont="1" applyFill="1" applyBorder="1" applyAlignment="1">
      <alignment horizontal="center" vertical="center"/>
    </xf>
    <xf numFmtId="167" fontId="0" fillId="0" borderId="0" xfId="2" applyNumberFormat="1" applyFont="1" applyBorder="1"/>
    <xf numFmtId="0" fontId="2" fillId="0" borderId="0" xfId="0" applyFont="1" applyBorder="1"/>
    <xf numFmtId="0" fontId="10" fillId="0" borderId="0" xfId="0" applyFont="1" applyBorder="1"/>
    <xf numFmtId="167" fontId="0" fillId="0" borderId="0" xfId="2" applyNumberFormat="1" applyFont="1"/>
    <xf numFmtId="0" fontId="10" fillId="0" borderId="0" xfId="0" applyFont="1" applyFill="1" applyBorder="1"/>
    <xf numFmtId="43" fontId="0" fillId="0" borderId="0" xfId="0" applyNumberFormat="1"/>
    <xf numFmtId="165" fontId="0" fillId="0" borderId="0" xfId="1" applyNumberFormat="1" applyFont="1"/>
    <xf numFmtId="166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Border="1"/>
    <xf numFmtId="9" fontId="0" fillId="0" borderId="0" xfId="0" applyNumberFormat="1" applyFont="1" applyBorder="1"/>
    <xf numFmtId="0" fontId="11" fillId="0" borderId="0" xfId="0" applyFont="1"/>
    <xf numFmtId="0" fontId="13" fillId="0" borderId="0" xfId="0" applyFont="1"/>
    <xf numFmtId="6" fontId="9" fillId="0" borderId="0" xfId="3" applyNumberFormat="1" applyFont="1"/>
    <xf numFmtId="166" fontId="0" fillId="0" borderId="0" xfId="3" applyNumberFormat="1" applyFont="1" applyBorder="1"/>
    <xf numFmtId="166" fontId="0" fillId="0" borderId="0" xfId="0" applyNumberFormat="1" applyBorder="1"/>
    <xf numFmtId="8" fontId="9" fillId="0" borderId="0" xfId="0" applyNumberFormat="1" applyFont="1"/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opLeftCell="B47" zoomScaleNormal="100" workbookViewId="0">
      <pane xSplit="1" topLeftCell="C1" activePane="topRight" state="frozen"/>
      <selection activeCell="B5" sqref="B5"/>
      <selection pane="topRight" activeCell="B49" sqref="B49"/>
    </sheetView>
  </sheetViews>
  <sheetFormatPr defaultRowHeight="15" x14ac:dyDescent="0.25"/>
  <cols>
    <col min="1" max="1" width="12.42578125" customWidth="1"/>
    <col min="2" max="2" width="50.42578125" customWidth="1"/>
    <col min="3" max="3" width="13.42578125" bestFit="1" customWidth="1"/>
    <col min="4" max="4" width="23.5703125" customWidth="1"/>
    <col min="5" max="5" width="16.7109375" customWidth="1"/>
    <col min="6" max="6" width="12.28515625" customWidth="1"/>
    <col min="7" max="7" width="12" customWidth="1"/>
    <col min="8" max="8" width="12.7109375" customWidth="1"/>
    <col min="9" max="9" width="12.42578125" customWidth="1"/>
    <col min="10" max="11" width="12.85546875" customWidth="1"/>
    <col min="12" max="12" width="12.42578125" customWidth="1"/>
    <col min="13" max="13" width="12.28515625" customWidth="1"/>
    <col min="14" max="14" width="10.7109375" customWidth="1"/>
  </cols>
  <sheetData>
    <row r="1" spans="1:14" x14ac:dyDescent="0.25">
      <c r="B1" s="30" t="s">
        <v>0</v>
      </c>
    </row>
    <row r="2" spans="1:14" x14ac:dyDescent="0.25">
      <c r="A2" s="3"/>
    </row>
    <row r="3" spans="1:14" x14ac:dyDescent="0.25">
      <c r="B3" s="36" t="s">
        <v>1</v>
      </c>
    </row>
    <row r="4" spans="1:14" x14ac:dyDescent="0.25">
      <c r="B4" s="26" t="s">
        <v>2</v>
      </c>
      <c r="C4" s="26">
        <v>6.1</v>
      </c>
      <c r="D4" s="26" t="s">
        <v>3</v>
      </c>
    </row>
    <row r="5" spans="1:14" x14ac:dyDescent="0.25">
      <c r="B5" s="26" t="s">
        <v>4</v>
      </c>
      <c r="C5" s="26">
        <v>13.3</v>
      </c>
      <c r="D5" s="26" t="s">
        <v>3</v>
      </c>
    </row>
    <row r="6" spans="1:14" x14ac:dyDescent="0.25">
      <c r="B6" s="26" t="s">
        <v>5</v>
      </c>
      <c r="C6" s="26">
        <v>5.0999999999999996</v>
      </c>
      <c r="D6" s="26" t="s">
        <v>3</v>
      </c>
    </row>
    <row r="7" spans="1:14" x14ac:dyDescent="0.25">
      <c r="B7" s="26" t="s">
        <v>6</v>
      </c>
      <c r="C7" s="26">
        <v>0.8</v>
      </c>
      <c r="D7" s="26" t="s">
        <v>3</v>
      </c>
    </row>
    <row r="8" spans="1:14" x14ac:dyDescent="0.25">
      <c r="B8" s="26" t="s">
        <v>7</v>
      </c>
      <c r="C8" s="37">
        <v>3286000</v>
      </c>
      <c r="D8" s="26" t="s">
        <v>8</v>
      </c>
    </row>
    <row r="9" spans="1:14" x14ac:dyDescent="0.25">
      <c r="B9" s="26" t="s">
        <v>9</v>
      </c>
      <c r="C9" s="26">
        <v>1.35</v>
      </c>
      <c r="D9" s="26" t="s">
        <v>10</v>
      </c>
    </row>
    <row r="10" spans="1:14" x14ac:dyDescent="0.25">
      <c r="B10" s="26" t="s">
        <v>11</v>
      </c>
      <c r="C10" s="26">
        <v>0.65</v>
      </c>
      <c r="D10" s="26" t="s">
        <v>10</v>
      </c>
    </row>
    <row r="11" spans="1:14" x14ac:dyDescent="0.25">
      <c r="B11" s="26" t="s">
        <v>12</v>
      </c>
      <c r="C11" s="26">
        <v>29.5</v>
      </c>
      <c r="D11" s="26" t="s">
        <v>13</v>
      </c>
    </row>
    <row r="12" spans="1:14" ht="30" x14ac:dyDescent="0.25">
      <c r="B12" s="53" t="s">
        <v>94</v>
      </c>
      <c r="C12" s="52">
        <v>2014</v>
      </c>
      <c r="D12" s="33">
        <v>2016</v>
      </c>
    </row>
    <row r="13" spans="1:14" x14ac:dyDescent="0.25">
      <c r="B13" s="52" t="s">
        <v>95</v>
      </c>
      <c r="C13" s="60">
        <v>0.28000000000000003</v>
      </c>
      <c r="D13" s="55">
        <v>0.56999999999999995</v>
      </c>
    </row>
    <row r="14" spans="1:14" x14ac:dyDescent="0.25">
      <c r="B14" s="50"/>
      <c r="C14" s="52"/>
    </row>
    <row r="15" spans="1:14" x14ac:dyDescent="0.25">
      <c r="B15" s="50"/>
      <c r="C15" s="52"/>
    </row>
    <row r="16" spans="1:14" x14ac:dyDescent="0.25">
      <c r="B16" s="36" t="s">
        <v>14</v>
      </c>
      <c r="C16" s="26"/>
      <c r="D16" s="26">
        <v>2013</v>
      </c>
      <c r="E16" s="26">
        <v>2014</v>
      </c>
      <c r="F16" s="26">
        <v>2015</v>
      </c>
      <c r="G16" s="26">
        <v>2016</v>
      </c>
      <c r="H16" s="26">
        <v>2017</v>
      </c>
      <c r="I16" s="26">
        <v>2018</v>
      </c>
      <c r="J16" s="26">
        <v>2019</v>
      </c>
      <c r="K16" s="26">
        <v>2020</v>
      </c>
      <c r="L16" s="52">
        <v>2021</v>
      </c>
      <c r="M16" s="52">
        <v>2022</v>
      </c>
      <c r="N16" s="52">
        <v>2023</v>
      </c>
    </row>
    <row r="17" spans="2:14" x14ac:dyDescent="0.25">
      <c r="B17" s="26" t="s">
        <v>15</v>
      </c>
      <c r="C17" s="44">
        <v>0.15</v>
      </c>
      <c r="D17" s="44">
        <v>0.15</v>
      </c>
      <c r="E17" s="51">
        <f>D17*(1+$C17)</f>
        <v>0.17249999999999999</v>
      </c>
      <c r="F17" s="51">
        <f t="shared" ref="F17:N17" si="0">E17*(1+$C17)</f>
        <v>0.19837499999999997</v>
      </c>
      <c r="G17" s="51">
        <f t="shared" si="0"/>
        <v>0.22813124999999995</v>
      </c>
      <c r="H17" s="51">
        <f t="shared" si="0"/>
        <v>0.26235093749999994</v>
      </c>
      <c r="I17" s="51">
        <f t="shared" si="0"/>
        <v>0.30170357812499993</v>
      </c>
      <c r="J17" s="51">
        <f t="shared" si="0"/>
        <v>0.34695911484374992</v>
      </c>
      <c r="K17" s="51">
        <f t="shared" si="0"/>
        <v>0.39900298207031237</v>
      </c>
      <c r="L17" s="51">
        <f t="shared" si="0"/>
        <v>0.45885342938085921</v>
      </c>
      <c r="M17" s="51">
        <f t="shared" si="0"/>
        <v>0.52768144378798809</v>
      </c>
      <c r="N17" s="51">
        <f t="shared" si="0"/>
        <v>0.60683366035618624</v>
      </c>
    </row>
    <row r="18" spans="2:14" x14ac:dyDescent="0.25">
      <c r="B18" s="26"/>
      <c r="C18" s="44"/>
      <c r="D18" s="44"/>
      <c r="E18" s="51"/>
      <c r="F18" s="51"/>
      <c r="G18" s="51"/>
      <c r="H18" s="51"/>
      <c r="I18" s="51"/>
      <c r="J18" s="51"/>
      <c r="K18" s="51"/>
      <c r="L18" s="56"/>
      <c r="M18" s="56"/>
      <c r="N18" s="56"/>
    </row>
    <row r="19" spans="2:14" x14ac:dyDescent="0.25">
      <c r="B19" s="26" t="s">
        <v>96</v>
      </c>
      <c r="C19" s="44"/>
      <c r="D19" s="44"/>
      <c r="E19" s="51"/>
      <c r="F19" s="51"/>
      <c r="G19" s="51"/>
      <c r="H19" s="51"/>
      <c r="I19" s="51"/>
      <c r="J19" s="51"/>
      <c r="K19" s="51"/>
    </row>
    <row r="20" spans="2:14" x14ac:dyDescent="0.25">
      <c r="B20" s="26" t="s">
        <v>102</v>
      </c>
      <c r="C20" s="44"/>
      <c r="D20" s="44"/>
      <c r="E20" s="51"/>
      <c r="F20" s="51"/>
      <c r="G20" s="51"/>
      <c r="H20" s="51"/>
      <c r="I20" s="51"/>
      <c r="J20" s="51"/>
      <c r="K20" s="51"/>
    </row>
    <row r="21" spans="2:14" x14ac:dyDescent="0.25">
      <c r="B21" s="26" t="s">
        <v>93</v>
      </c>
      <c r="C21" s="44">
        <v>0.25</v>
      </c>
      <c r="D21" s="44">
        <v>0.15</v>
      </c>
      <c r="E21" s="51">
        <v>0.2</v>
      </c>
      <c r="F21" s="51">
        <v>0.28000000000000003</v>
      </c>
      <c r="G21" s="51">
        <v>0.4</v>
      </c>
      <c r="H21" s="51">
        <f t="shared" ref="H21:K21" si="1">G21*(1+$C21)</f>
        <v>0.5</v>
      </c>
      <c r="I21" s="51">
        <f t="shared" si="1"/>
        <v>0.625</v>
      </c>
      <c r="J21" s="51">
        <f t="shared" si="1"/>
        <v>0.78125</v>
      </c>
      <c r="K21" s="51">
        <f t="shared" si="1"/>
        <v>0.9765625</v>
      </c>
      <c r="L21" s="55">
        <v>1</v>
      </c>
      <c r="M21" s="55">
        <v>1</v>
      </c>
      <c r="N21" s="55">
        <v>1</v>
      </c>
    </row>
    <row r="22" spans="2:14" x14ac:dyDescent="0.25">
      <c r="B22" s="50" t="s">
        <v>100</v>
      </c>
      <c r="C22" s="33"/>
      <c r="D22" s="34">
        <f>D21</f>
        <v>0.15</v>
      </c>
      <c r="E22" s="54">
        <f>E21</f>
        <v>0.2</v>
      </c>
      <c r="F22" s="54">
        <f t="shared" ref="F22:H22" si="2">F21</f>
        <v>0.28000000000000003</v>
      </c>
      <c r="G22" s="54">
        <f t="shared" si="2"/>
        <v>0.4</v>
      </c>
      <c r="H22" s="54">
        <f t="shared" si="2"/>
        <v>0.5</v>
      </c>
      <c r="I22" s="54">
        <f>H22*(1+$C$17)</f>
        <v>0.57499999999999996</v>
      </c>
      <c r="J22" s="54">
        <f t="shared" ref="J22:K22" si="3">I22*(1+$C$17)</f>
        <v>0.66124999999999989</v>
      </c>
      <c r="K22" s="54">
        <f t="shared" si="3"/>
        <v>0.76043749999999977</v>
      </c>
      <c r="L22" s="54">
        <f>K22</f>
        <v>0.76043749999999977</v>
      </c>
      <c r="M22" s="54">
        <f t="shared" ref="M22:N22" si="4">L22</f>
        <v>0.76043749999999977</v>
      </c>
      <c r="N22" s="54">
        <f t="shared" si="4"/>
        <v>0.76043749999999977</v>
      </c>
    </row>
    <row r="23" spans="2:14" x14ac:dyDescent="0.25">
      <c r="B23" s="50" t="s">
        <v>101</v>
      </c>
      <c r="C23" s="33"/>
      <c r="D23" s="34"/>
      <c r="I23" s="54">
        <f>I21-I22</f>
        <v>5.0000000000000044E-2</v>
      </c>
      <c r="J23" s="54">
        <f t="shared" ref="J23:K23" si="5">J21-J22</f>
        <v>0.12000000000000011</v>
      </c>
      <c r="K23" s="54">
        <f t="shared" si="5"/>
        <v>0.21612500000000023</v>
      </c>
      <c r="L23" s="54">
        <f t="shared" ref="L23" si="6">L21-L22</f>
        <v>0.23956250000000023</v>
      </c>
      <c r="M23" s="54">
        <f t="shared" ref="M23" si="7">M21-M22</f>
        <v>0.23956250000000023</v>
      </c>
      <c r="N23" s="54">
        <f t="shared" ref="N23" si="8">N21-N22</f>
        <v>0.23956250000000023</v>
      </c>
    </row>
    <row r="24" spans="2:14" x14ac:dyDescent="0.25">
      <c r="B24" s="50"/>
      <c r="C24" s="33"/>
      <c r="D24" s="26">
        <v>2013</v>
      </c>
      <c r="E24" s="26">
        <v>2014</v>
      </c>
      <c r="F24" s="26">
        <v>2015</v>
      </c>
      <c r="G24" s="26">
        <v>2016</v>
      </c>
      <c r="H24" s="26">
        <v>2017</v>
      </c>
      <c r="I24" s="26">
        <v>2018</v>
      </c>
      <c r="J24" s="26">
        <v>2019</v>
      </c>
      <c r="K24" s="26">
        <v>2020</v>
      </c>
      <c r="L24" s="26">
        <v>2021</v>
      </c>
      <c r="M24" s="26">
        <v>2022</v>
      </c>
      <c r="N24" s="26">
        <v>2023</v>
      </c>
    </row>
    <row r="25" spans="2:14" x14ac:dyDescent="0.25">
      <c r="B25" s="50" t="s">
        <v>99</v>
      </c>
      <c r="C25" s="34"/>
      <c r="D25" s="34">
        <f>D21-D17</f>
        <v>0</v>
      </c>
      <c r="E25" s="34">
        <f t="shared" ref="E25:N25" si="9">E21-E17</f>
        <v>2.7500000000000024E-2</v>
      </c>
      <c r="F25" s="34">
        <f t="shared" si="9"/>
        <v>8.1625000000000059E-2</v>
      </c>
      <c r="G25" s="34">
        <f t="shared" si="9"/>
        <v>0.17186875000000007</v>
      </c>
      <c r="H25" s="34">
        <f t="shared" si="9"/>
        <v>0.23764906250000006</v>
      </c>
      <c r="I25" s="34">
        <f t="shared" si="9"/>
        <v>0.32329642187500007</v>
      </c>
      <c r="J25" s="34">
        <f t="shared" si="9"/>
        <v>0.43429088515625008</v>
      </c>
      <c r="K25" s="34">
        <f t="shared" si="9"/>
        <v>0.57755951792968763</v>
      </c>
      <c r="L25" s="34">
        <f t="shared" si="9"/>
        <v>0.54114657061914073</v>
      </c>
      <c r="M25" s="34">
        <f t="shared" si="9"/>
        <v>0.47231855621201191</v>
      </c>
      <c r="N25" s="34">
        <f t="shared" si="9"/>
        <v>0.39316633964381376</v>
      </c>
    </row>
    <row r="26" spans="2:14" x14ac:dyDescent="0.25">
      <c r="B26" s="50" t="s">
        <v>97</v>
      </c>
      <c r="C26" s="33"/>
      <c r="D26" s="34">
        <f t="shared" ref="D26:K26" si="10">D22-D17</f>
        <v>0</v>
      </c>
      <c r="E26" s="34">
        <f t="shared" si="10"/>
        <v>2.7500000000000024E-2</v>
      </c>
      <c r="F26" s="34">
        <f t="shared" si="10"/>
        <v>8.1625000000000059E-2</v>
      </c>
      <c r="G26" s="34">
        <f t="shared" si="10"/>
        <v>0.17186875000000007</v>
      </c>
      <c r="H26" s="34">
        <f t="shared" si="10"/>
        <v>0.23764906250000006</v>
      </c>
      <c r="I26" s="34">
        <f t="shared" si="10"/>
        <v>0.27329642187500003</v>
      </c>
      <c r="J26" s="34">
        <f t="shared" si="10"/>
        <v>0.31429088515624998</v>
      </c>
      <c r="K26" s="34">
        <f t="shared" si="10"/>
        <v>0.36143451792968739</v>
      </c>
      <c r="L26" s="34">
        <v>0</v>
      </c>
      <c r="M26" s="34">
        <v>0</v>
      </c>
      <c r="N26" s="34">
        <v>0</v>
      </c>
    </row>
    <row r="27" spans="2:14" x14ac:dyDescent="0.25">
      <c r="B27" s="50" t="s">
        <v>98</v>
      </c>
      <c r="C27" s="33"/>
      <c r="D27" s="34"/>
      <c r="I27" s="54">
        <f>I25-I26</f>
        <v>5.0000000000000044E-2</v>
      </c>
      <c r="J27" s="54">
        <f t="shared" ref="J27:N27" si="11">J25-J26</f>
        <v>0.12000000000000011</v>
      </c>
      <c r="K27" s="54">
        <f t="shared" si="11"/>
        <v>0.21612500000000023</v>
      </c>
      <c r="L27" s="54">
        <f t="shared" si="11"/>
        <v>0.54114657061914073</v>
      </c>
      <c r="M27" s="54">
        <f t="shared" si="11"/>
        <v>0.47231855621201191</v>
      </c>
      <c r="N27" s="54">
        <f t="shared" si="11"/>
        <v>0.39316633964381376</v>
      </c>
    </row>
    <row r="28" spans="2:14" x14ac:dyDescent="0.25">
      <c r="B28" s="50"/>
      <c r="C28" s="33"/>
      <c r="D28" s="34"/>
      <c r="I28" s="54"/>
      <c r="J28" s="54"/>
      <c r="K28" s="54"/>
      <c r="L28" s="54"/>
      <c r="M28" s="54"/>
      <c r="N28" s="54"/>
    </row>
    <row r="29" spans="2:14" x14ac:dyDescent="0.25">
      <c r="B29" s="36" t="s">
        <v>16</v>
      </c>
    </row>
    <row r="30" spans="2:14" x14ac:dyDescent="0.25">
      <c r="B30" s="26" t="s">
        <v>17</v>
      </c>
      <c r="C30" s="26">
        <f>SUM(C4:C7)</f>
        <v>25.3</v>
      </c>
      <c r="D30" s="26" t="s">
        <v>18</v>
      </c>
    </row>
    <row r="31" spans="2:14" x14ac:dyDescent="0.25">
      <c r="B31" s="26" t="s">
        <v>19</v>
      </c>
      <c r="C31" s="37">
        <f>C8*0.98</f>
        <v>3220280</v>
      </c>
      <c r="D31" s="26" t="s">
        <v>20</v>
      </c>
    </row>
    <row r="32" spans="2:14" x14ac:dyDescent="0.25">
      <c r="B32" s="26" t="s">
        <v>21</v>
      </c>
      <c r="C32" s="37">
        <f>C31*C30</f>
        <v>81473084</v>
      </c>
      <c r="D32" s="26" t="s">
        <v>22</v>
      </c>
    </row>
    <row r="33" spans="2:14" x14ac:dyDescent="0.25">
      <c r="B33" s="26" t="s">
        <v>23</v>
      </c>
      <c r="C33" s="26">
        <f>(C9+C10*4)/5</f>
        <v>0.79</v>
      </c>
      <c r="D33" s="26" t="s">
        <v>10</v>
      </c>
    </row>
    <row r="34" spans="2:14" x14ac:dyDescent="0.25">
      <c r="B34" s="26" t="s">
        <v>24</v>
      </c>
      <c r="C34" s="45">
        <f>C33/C11</f>
        <v>2.6779661016949154E-2</v>
      </c>
      <c r="D34" s="26" t="s">
        <v>25</v>
      </c>
    </row>
    <row r="35" spans="2:14" x14ac:dyDescent="0.25">
      <c r="B35" s="26" t="s">
        <v>26</v>
      </c>
      <c r="C35" s="38">
        <f>C32*C34</f>
        <v>2181821.5715254238</v>
      </c>
      <c r="D35" s="26" t="s">
        <v>27</v>
      </c>
    </row>
    <row r="37" spans="2:14" x14ac:dyDescent="0.25">
      <c r="B37" s="77" t="s">
        <v>116</v>
      </c>
    </row>
    <row r="38" spans="2:14" x14ac:dyDescent="0.25">
      <c r="B38" s="36" t="s">
        <v>28</v>
      </c>
      <c r="C38" s="36"/>
      <c r="D38" s="36">
        <v>2013</v>
      </c>
      <c r="E38" s="42">
        <v>2014</v>
      </c>
      <c r="F38" s="42">
        <f>E38+1</f>
        <v>2015</v>
      </c>
      <c r="G38" s="42">
        <f t="shared" ref="G38:J38" si="12">F38+1</f>
        <v>2016</v>
      </c>
      <c r="H38" s="42">
        <f t="shared" si="12"/>
        <v>2017</v>
      </c>
      <c r="I38" s="42">
        <f t="shared" si="12"/>
        <v>2018</v>
      </c>
      <c r="J38" s="42">
        <f t="shared" si="12"/>
        <v>2019</v>
      </c>
      <c r="K38" s="42">
        <v>2020</v>
      </c>
      <c r="L38" s="42">
        <v>2021</v>
      </c>
      <c r="M38" s="57">
        <v>2022</v>
      </c>
      <c r="N38" s="57">
        <v>2023</v>
      </c>
    </row>
    <row r="39" spans="2:14" x14ac:dyDescent="0.25">
      <c r="B39" s="26" t="s">
        <v>29</v>
      </c>
      <c r="C39" s="26" t="s">
        <v>30</v>
      </c>
      <c r="D39" s="37">
        <f>$C$35*(1-D17)</f>
        <v>1854548.3357966102</v>
      </c>
      <c r="E39" s="37">
        <f t="shared" ref="E39:N39" si="13">$C$35*(1-E17)</f>
        <v>1805457.3504372882</v>
      </c>
      <c r="F39" s="37">
        <f t="shared" si="13"/>
        <v>1749002.7172740679</v>
      </c>
      <c r="G39" s="37">
        <f t="shared" si="13"/>
        <v>1684079.8891363647</v>
      </c>
      <c r="H39" s="37">
        <f t="shared" si="13"/>
        <v>1609418.6367780056</v>
      </c>
      <c r="I39" s="37">
        <f t="shared" si="13"/>
        <v>1523558.196565893</v>
      </c>
      <c r="J39" s="37">
        <f t="shared" si="13"/>
        <v>1424818.6903219635</v>
      </c>
      <c r="K39" s="37">
        <f t="shared" si="13"/>
        <v>1311268.2581414443</v>
      </c>
      <c r="L39" s="37">
        <f t="shared" si="13"/>
        <v>1180685.2611338473</v>
      </c>
      <c r="M39" s="37">
        <f t="shared" si="13"/>
        <v>1030514.814575111</v>
      </c>
      <c r="N39" s="37">
        <f t="shared" si="13"/>
        <v>857818.80103256425</v>
      </c>
    </row>
    <row r="40" spans="2:14" x14ac:dyDescent="0.25">
      <c r="B40" s="26" t="s">
        <v>31</v>
      </c>
      <c r="C40" s="26" t="s">
        <v>30</v>
      </c>
      <c r="D40" s="37">
        <f>$C$35*(1-D21)</f>
        <v>1854548.3357966102</v>
      </c>
      <c r="E40" s="37">
        <f t="shared" ref="E40:N40" si="14">$C$35*(1-E21)</f>
        <v>1745457.257220339</v>
      </c>
      <c r="F40" s="37">
        <f t="shared" si="14"/>
        <v>1570911.531498305</v>
      </c>
      <c r="G40" s="37">
        <f t="shared" si="14"/>
        <v>1309092.9429152543</v>
      </c>
      <c r="H40" s="37">
        <f t="shared" si="14"/>
        <v>1090910.7857627119</v>
      </c>
      <c r="I40" s="37">
        <f t="shared" si="14"/>
        <v>818183.08932203392</v>
      </c>
      <c r="J40" s="37">
        <f t="shared" si="14"/>
        <v>477273.46877118642</v>
      </c>
      <c r="K40" s="37">
        <f t="shared" si="14"/>
        <v>51136.44308262712</v>
      </c>
      <c r="L40" s="37">
        <f t="shared" si="14"/>
        <v>0</v>
      </c>
      <c r="M40" s="37">
        <f t="shared" si="14"/>
        <v>0</v>
      </c>
      <c r="N40" s="37">
        <f t="shared" si="14"/>
        <v>0</v>
      </c>
    </row>
    <row r="41" spans="2:14" x14ac:dyDescent="0.25">
      <c r="B41" s="26" t="s">
        <v>32</v>
      </c>
      <c r="C41" s="26" t="s">
        <v>30</v>
      </c>
      <c r="D41" s="26">
        <v>0</v>
      </c>
      <c r="E41" s="27">
        <f>E39-E40</f>
        <v>60000.093216949143</v>
      </c>
      <c r="F41" s="27">
        <f t="shared" ref="F41:N41" si="15">F39-F40</f>
        <v>178091.18577576289</v>
      </c>
      <c r="G41" s="27">
        <f t="shared" si="15"/>
        <v>374986.94622111041</v>
      </c>
      <c r="H41" s="27">
        <f t="shared" si="15"/>
        <v>518507.85101529374</v>
      </c>
      <c r="I41" s="27">
        <f t="shared" si="15"/>
        <v>705375.10724385909</v>
      </c>
      <c r="J41" s="27">
        <f t="shared" si="15"/>
        <v>947545.22155077709</v>
      </c>
      <c r="K41" s="27">
        <f t="shared" si="15"/>
        <v>1260131.8150588172</v>
      </c>
      <c r="L41" s="27">
        <f t="shared" si="15"/>
        <v>1180685.2611338473</v>
      </c>
      <c r="M41" s="27">
        <f t="shared" si="15"/>
        <v>1030514.814575111</v>
      </c>
      <c r="N41" s="27">
        <f t="shared" si="15"/>
        <v>857818.80103256425</v>
      </c>
    </row>
    <row r="42" spans="2:14" x14ac:dyDescent="0.25">
      <c r="B42" s="36" t="s">
        <v>33</v>
      </c>
      <c r="C42" s="36" t="s">
        <v>30</v>
      </c>
      <c r="D42" s="29">
        <f>NPV(C43,E41:N41)</f>
        <v>3366966.0875981734</v>
      </c>
    </row>
    <row r="43" spans="2:14" x14ac:dyDescent="0.25">
      <c r="B43" s="26" t="s">
        <v>34</v>
      </c>
      <c r="C43" s="43">
        <v>0.12</v>
      </c>
    </row>
    <row r="45" spans="2:14" x14ac:dyDescent="0.25">
      <c r="B45" t="s">
        <v>103</v>
      </c>
    </row>
    <row r="46" spans="2:14" x14ac:dyDescent="0.25">
      <c r="C46" t="s">
        <v>104</v>
      </c>
      <c r="D46" s="1">
        <f>D26*$C$35</f>
        <v>0</v>
      </c>
      <c r="E46" s="1">
        <f t="shared" ref="E46:N46" si="16">E26*$C$35</f>
        <v>60000.093216949208</v>
      </c>
      <c r="F46" s="1">
        <f t="shared" si="16"/>
        <v>178091.18577576283</v>
      </c>
      <c r="G46" s="1">
        <f t="shared" si="16"/>
        <v>374986.94622111035</v>
      </c>
      <c r="H46" s="1">
        <f t="shared" si="16"/>
        <v>518507.8510152938</v>
      </c>
      <c r="I46" s="1">
        <f t="shared" si="16"/>
        <v>596284.02866758779</v>
      </c>
      <c r="J46" s="1">
        <f t="shared" si="16"/>
        <v>685726.63296772586</v>
      </c>
      <c r="K46" s="1">
        <f t="shared" si="16"/>
        <v>788585.62791288446</v>
      </c>
      <c r="L46" s="1">
        <f t="shared" si="16"/>
        <v>0</v>
      </c>
      <c r="M46" s="1">
        <f t="shared" si="16"/>
        <v>0</v>
      </c>
      <c r="N46" s="1">
        <f t="shared" si="16"/>
        <v>0</v>
      </c>
    </row>
    <row r="47" spans="2:14" x14ac:dyDescent="0.25">
      <c r="C47" t="s">
        <v>105</v>
      </c>
      <c r="D47" s="1">
        <f>D27*$C$35</f>
        <v>0</v>
      </c>
      <c r="E47" s="1">
        <f t="shared" ref="E47:N47" si="17">E27*$C$35</f>
        <v>0</v>
      </c>
      <c r="F47" s="1">
        <f t="shared" si="17"/>
        <v>0</v>
      </c>
      <c r="G47" s="1">
        <f t="shared" si="17"/>
        <v>0</v>
      </c>
      <c r="H47" s="1">
        <f t="shared" si="17"/>
        <v>0</v>
      </c>
      <c r="I47" s="1">
        <f t="shared" si="17"/>
        <v>109091.07857627129</v>
      </c>
      <c r="J47" s="1">
        <f t="shared" si="17"/>
        <v>261818.58858305108</v>
      </c>
      <c r="K47" s="1">
        <f t="shared" si="17"/>
        <v>471546.18714593275</v>
      </c>
      <c r="L47" s="1">
        <f t="shared" si="17"/>
        <v>1180685.2611338473</v>
      </c>
      <c r="M47" s="1">
        <f t="shared" si="17"/>
        <v>1030514.814575111</v>
      </c>
      <c r="N47" s="1">
        <f t="shared" si="17"/>
        <v>857818.80103256425</v>
      </c>
    </row>
    <row r="49" spans="2:4" x14ac:dyDescent="0.25">
      <c r="B49" s="77" t="s">
        <v>117</v>
      </c>
    </row>
    <row r="50" spans="2:4" x14ac:dyDescent="0.25">
      <c r="B50" s="36" t="s">
        <v>33</v>
      </c>
      <c r="C50" t="s">
        <v>105</v>
      </c>
      <c r="D50" s="78">
        <f>NPV($C$43,I47:N47)</f>
        <v>2411446.4968150645</v>
      </c>
    </row>
  </sheetData>
  <pageMargins left="0.25" right="0.25" top="0.75" bottom="0.75" header="0.3" footer="0.3"/>
  <pageSetup scale="57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opLeftCell="A29" zoomScaleNormal="100" workbookViewId="0">
      <pane xSplit="1" topLeftCell="B1" activePane="topRight" state="frozen"/>
      <selection activeCell="A30" sqref="A30"/>
      <selection pane="topRight" activeCell="A39" sqref="A39"/>
    </sheetView>
  </sheetViews>
  <sheetFormatPr defaultRowHeight="15" x14ac:dyDescent="0.25"/>
  <cols>
    <col min="1" max="1" width="38.28515625" customWidth="1"/>
    <col min="2" max="2" width="18.28515625" customWidth="1"/>
    <col min="3" max="3" width="20.28515625" customWidth="1"/>
    <col min="4" max="4" width="12" customWidth="1"/>
    <col min="5" max="5" width="12.42578125" bestFit="1" customWidth="1"/>
    <col min="6" max="11" width="12.140625" customWidth="1"/>
    <col min="12" max="12" width="11.5703125" customWidth="1"/>
    <col min="13" max="13" width="11.140625" customWidth="1"/>
    <col min="14" max="14" width="12.140625" customWidth="1"/>
  </cols>
  <sheetData>
    <row r="1" spans="1:3" x14ac:dyDescent="0.25">
      <c r="A1" s="30" t="s">
        <v>35</v>
      </c>
    </row>
    <row r="2" spans="1:3" x14ac:dyDescent="0.25">
      <c r="A2" s="30"/>
    </row>
    <row r="3" spans="1:3" x14ac:dyDescent="0.25">
      <c r="A3" s="36" t="s">
        <v>1</v>
      </c>
    </row>
    <row r="4" spans="1:3" x14ac:dyDescent="0.25">
      <c r="A4" s="26" t="s">
        <v>36</v>
      </c>
      <c r="B4" s="26">
        <v>6.1</v>
      </c>
      <c r="C4" s="26" t="s">
        <v>37</v>
      </c>
    </row>
    <row r="5" spans="1:3" x14ac:dyDescent="0.25">
      <c r="A5" s="26" t="s">
        <v>38</v>
      </c>
      <c r="B5" s="26">
        <v>5.0999999999999996</v>
      </c>
      <c r="C5" s="26" t="s">
        <v>37</v>
      </c>
    </row>
    <row r="6" spans="1:3" x14ac:dyDescent="0.25">
      <c r="A6" s="26" t="s">
        <v>39</v>
      </c>
      <c r="B6" s="26">
        <v>0.8</v>
      </c>
      <c r="C6" s="26" t="s">
        <v>37</v>
      </c>
    </row>
    <row r="7" spans="1:3" x14ac:dyDescent="0.25">
      <c r="A7" s="26" t="s">
        <v>7</v>
      </c>
      <c r="B7" s="37">
        <v>3286000</v>
      </c>
      <c r="C7" s="26" t="s">
        <v>8</v>
      </c>
    </row>
    <row r="8" spans="1:3" x14ac:dyDescent="0.25">
      <c r="A8" s="26" t="s">
        <v>40</v>
      </c>
      <c r="B8" s="26"/>
      <c r="C8" s="26"/>
    </row>
    <row r="9" spans="1:3" x14ac:dyDescent="0.25">
      <c r="A9" s="26" t="s">
        <v>41</v>
      </c>
      <c r="B9" s="37">
        <v>23000</v>
      </c>
      <c r="C9" s="26" t="s">
        <v>42</v>
      </c>
    </row>
    <row r="10" spans="1:3" x14ac:dyDescent="0.25">
      <c r="A10" s="26" t="s">
        <v>43</v>
      </c>
      <c r="B10" s="28">
        <v>0.4</v>
      </c>
      <c r="C10" s="26"/>
    </row>
    <row r="11" spans="1:3" x14ac:dyDescent="0.25">
      <c r="A11" s="26" t="s">
        <v>12</v>
      </c>
      <c r="B11" s="26">
        <f>'Consumo papel'!C11</f>
        <v>29.5</v>
      </c>
      <c r="C11" s="26" t="s">
        <v>13</v>
      </c>
    </row>
    <row r="12" spans="1:3" x14ac:dyDescent="0.25">
      <c r="A12" s="33"/>
      <c r="B12" s="33"/>
      <c r="C12" s="33"/>
    </row>
    <row r="13" spans="1:3" x14ac:dyDescent="0.25">
      <c r="A13" s="3" t="s">
        <v>14</v>
      </c>
    </row>
    <row r="14" spans="1:3" x14ac:dyDescent="0.25">
      <c r="A14" s="26" t="s">
        <v>44</v>
      </c>
      <c r="B14" s="26"/>
      <c r="C14" s="26"/>
    </row>
    <row r="15" spans="1:3" x14ac:dyDescent="0.25">
      <c r="A15" s="26" t="s">
        <v>45</v>
      </c>
      <c r="B15" s="26">
        <v>2</v>
      </c>
      <c r="C15" s="26" t="s">
        <v>46</v>
      </c>
    </row>
    <row r="16" spans="1:3" x14ac:dyDescent="0.25">
      <c r="A16" s="26" t="s">
        <v>47</v>
      </c>
      <c r="B16" s="26">
        <v>1</v>
      </c>
      <c r="C16" s="26" t="s">
        <v>48</v>
      </c>
    </row>
    <row r="17" spans="1:14" x14ac:dyDescent="0.25">
      <c r="A17" s="26" t="s">
        <v>49</v>
      </c>
      <c r="B17" s="26">
        <v>1</v>
      </c>
      <c r="C17" s="26" t="s">
        <v>48</v>
      </c>
    </row>
    <row r="18" spans="1:14" x14ac:dyDescent="0.25">
      <c r="A18" s="39" t="s">
        <v>19</v>
      </c>
      <c r="B18" s="40">
        <f>B7*0.98</f>
        <v>3220280</v>
      </c>
      <c r="C18" s="39" t="s">
        <v>20</v>
      </c>
    </row>
    <row r="19" spans="1:14" x14ac:dyDescent="0.25">
      <c r="A19" s="39"/>
      <c r="B19" s="58"/>
      <c r="C19" s="39"/>
      <c r="D19" s="59">
        <f t="shared" ref="D19:K19" si="0">D40</f>
        <v>2013</v>
      </c>
      <c r="E19" s="59">
        <f t="shared" si="0"/>
        <v>2014</v>
      </c>
      <c r="F19" s="59">
        <f t="shared" si="0"/>
        <v>2015</v>
      </c>
      <c r="G19" s="59">
        <f t="shared" si="0"/>
        <v>2016</v>
      </c>
      <c r="H19" s="59">
        <f t="shared" si="0"/>
        <v>2017</v>
      </c>
      <c r="I19" s="59">
        <f t="shared" si="0"/>
        <v>2018</v>
      </c>
      <c r="J19" s="59">
        <f t="shared" si="0"/>
        <v>2019</v>
      </c>
      <c r="K19" s="59">
        <f t="shared" si="0"/>
        <v>2020</v>
      </c>
      <c r="L19" s="59">
        <v>2021</v>
      </c>
      <c r="M19" s="59">
        <v>2022</v>
      </c>
      <c r="N19">
        <v>2023</v>
      </c>
    </row>
    <row r="20" spans="1:14" x14ac:dyDescent="0.25">
      <c r="A20" s="26" t="str">
        <f>'Consumo papel'!B17</f>
        <v>Ritmo de adopción de la HCE sin Proyecto</v>
      </c>
      <c r="C20" s="43">
        <f>'Consumo papel'!C17</f>
        <v>0.15</v>
      </c>
      <c r="D20" s="61">
        <f>'Consumo papel'!D17</f>
        <v>0.15</v>
      </c>
      <c r="E20" s="61">
        <f>'Consumo papel'!E17</f>
        <v>0.17249999999999999</v>
      </c>
      <c r="F20" s="61">
        <f>'Consumo papel'!F17</f>
        <v>0.19837499999999997</v>
      </c>
      <c r="G20" s="61">
        <f>'Consumo papel'!G17</f>
        <v>0.22813124999999995</v>
      </c>
      <c r="H20" s="61">
        <f>'Consumo papel'!H17</f>
        <v>0.26235093749999994</v>
      </c>
      <c r="I20" s="61">
        <f>'Consumo papel'!I17</f>
        <v>0.30170357812499993</v>
      </c>
      <c r="J20" s="61">
        <f>'Consumo papel'!J17</f>
        <v>0.34695911484374992</v>
      </c>
      <c r="K20" s="61">
        <f>'Consumo papel'!K17</f>
        <v>0.39900298207031237</v>
      </c>
      <c r="L20" s="61">
        <f>'Consumo papel'!L17</f>
        <v>0.45885342938085921</v>
      </c>
      <c r="M20" s="61">
        <f>'Consumo papel'!M17</f>
        <v>0.52768144378798809</v>
      </c>
      <c r="N20" s="61">
        <f>'Consumo papel'!N17</f>
        <v>0.60683366035618624</v>
      </c>
    </row>
    <row r="21" spans="1:14" x14ac:dyDescent="0.25">
      <c r="A21" s="26"/>
      <c r="C21" s="26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x14ac:dyDescent="0.25">
      <c r="A22" s="26" t="str">
        <f>'Consumo papel'!B19</f>
        <v>Se adoptó el supuesto que las instituciones que adoptaron HCE entre 2014 y 2016 (28% y 57% del total de entidades) guardaron un 70% de sus datos en formato digital: 2014: 20% de los datos; 2016: 40% de los datos</v>
      </c>
      <c r="C22" s="26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x14ac:dyDescent="0.25">
      <c r="A23" s="26" t="str">
        <f>'Consumo papel'!B20</f>
        <v>El año 2015 fue interpolado entre 2014 y 2016  (42% de incremento anual). Para 2017 y siguientes, se supone una tasa de incremento anual de 25%, que consistente con llegar a la práctica totalidad de las HCEs para 2020</v>
      </c>
      <c r="C23" s="26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x14ac:dyDescent="0.25">
      <c r="A24" s="26" t="str">
        <f>'Consumo papel'!B21</f>
        <v>Ritmo de adopción de la HCE con Proyecto (2 fases)</v>
      </c>
      <c r="C24" s="43">
        <f>'Consumo papel'!C21</f>
        <v>0.25</v>
      </c>
      <c r="D24" s="61">
        <f>'Consumo papel'!D21</f>
        <v>0.15</v>
      </c>
      <c r="E24" s="61">
        <f>'Consumo papel'!E21</f>
        <v>0.2</v>
      </c>
      <c r="F24" s="61">
        <f>'Consumo papel'!F21</f>
        <v>0.28000000000000003</v>
      </c>
      <c r="G24" s="61">
        <f>'Consumo papel'!G21</f>
        <v>0.4</v>
      </c>
      <c r="H24" s="61">
        <f>'Consumo papel'!H21</f>
        <v>0.5</v>
      </c>
      <c r="I24" s="61">
        <f>'Consumo papel'!I21</f>
        <v>0.625</v>
      </c>
      <c r="J24" s="61">
        <f>'Consumo papel'!J21</f>
        <v>0.78125</v>
      </c>
      <c r="K24" s="61">
        <f>'Consumo papel'!K21</f>
        <v>0.9765625</v>
      </c>
      <c r="L24" s="61">
        <f>'Consumo papel'!L21</f>
        <v>1</v>
      </c>
      <c r="M24" s="61">
        <f>'Consumo papel'!M21</f>
        <v>1</v>
      </c>
      <c r="N24" s="61">
        <f>'Consumo papel'!N21</f>
        <v>1</v>
      </c>
    </row>
    <row r="25" spans="1:14" x14ac:dyDescent="0.25">
      <c r="A25" s="26" t="str">
        <f>'Consumo papel'!B22</f>
        <v>Adopción atribuibles a UR-L1082</v>
      </c>
      <c r="C25" s="43">
        <f>'Consumo papel'!C22</f>
        <v>0</v>
      </c>
      <c r="D25" s="61">
        <f>'Consumo papel'!D22</f>
        <v>0.15</v>
      </c>
      <c r="E25" s="61">
        <f>'Consumo papel'!E22</f>
        <v>0.2</v>
      </c>
      <c r="F25" s="61">
        <f>'Consumo papel'!F22</f>
        <v>0.28000000000000003</v>
      </c>
      <c r="G25" s="61">
        <f>'Consumo papel'!G22</f>
        <v>0.4</v>
      </c>
      <c r="H25" s="61">
        <f>'Consumo papel'!H22</f>
        <v>0.5</v>
      </c>
      <c r="I25" s="61">
        <f>'Consumo papel'!I22</f>
        <v>0.57499999999999996</v>
      </c>
      <c r="J25" s="61">
        <f>'Consumo papel'!J22</f>
        <v>0.66124999999999989</v>
      </c>
      <c r="K25" s="61">
        <f>'Consumo papel'!K22</f>
        <v>0.76043749999999977</v>
      </c>
      <c r="L25" s="61">
        <f>'Consumo papel'!L22</f>
        <v>0.76043749999999977</v>
      </c>
      <c r="M25" s="61">
        <f>'Consumo papel'!M22</f>
        <v>0.76043749999999977</v>
      </c>
      <c r="N25" s="61">
        <f>'Consumo papel'!N22</f>
        <v>0.76043749999999977</v>
      </c>
    </row>
    <row r="26" spans="1:14" x14ac:dyDescent="0.25">
      <c r="A26" s="26" t="str">
        <f>'Consumo papel'!B23</f>
        <v>Adopción atribuibles a UR-L1143</v>
      </c>
      <c r="C26" s="43">
        <f>'Consumo papel'!C23</f>
        <v>0</v>
      </c>
      <c r="D26" s="61">
        <f>'Consumo papel'!D23</f>
        <v>0</v>
      </c>
      <c r="E26" s="61">
        <f>'Consumo papel'!E23</f>
        <v>0</v>
      </c>
      <c r="F26" s="61">
        <f>'Consumo papel'!F23</f>
        <v>0</v>
      </c>
      <c r="G26" s="61">
        <f>'Consumo papel'!G23</f>
        <v>0</v>
      </c>
      <c r="H26" s="61">
        <f>'Consumo papel'!H23</f>
        <v>0</v>
      </c>
      <c r="I26" s="61">
        <f>'Consumo papel'!I23</f>
        <v>5.0000000000000044E-2</v>
      </c>
      <c r="J26" s="61">
        <f>'Consumo papel'!J23</f>
        <v>0.12000000000000011</v>
      </c>
      <c r="K26" s="61">
        <f>'Consumo papel'!K23</f>
        <v>0.21612500000000023</v>
      </c>
      <c r="L26" s="61">
        <f>'Consumo papel'!L23</f>
        <v>0.23956250000000023</v>
      </c>
      <c r="M26" s="61">
        <f>'Consumo papel'!M23</f>
        <v>0.23956250000000023</v>
      </c>
      <c r="N26" s="61">
        <f>'Consumo papel'!N23</f>
        <v>0.23956250000000023</v>
      </c>
    </row>
    <row r="27" spans="1:14" x14ac:dyDescent="0.25">
      <c r="A27" s="26"/>
      <c r="C27" s="43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1:14" x14ac:dyDescent="0.25">
      <c r="A28" s="26">
        <f>'Consumo papel'!B24</f>
        <v>0</v>
      </c>
      <c r="C28" s="26"/>
      <c r="D28" s="59">
        <f>'Consumo papel'!D24</f>
        <v>2013</v>
      </c>
      <c r="E28" s="59">
        <f>'Consumo papel'!E24</f>
        <v>2014</v>
      </c>
      <c r="F28" s="59">
        <f>'Consumo papel'!F24</f>
        <v>2015</v>
      </c>
      <c r="G28" s="59">
        <f>'Consumo papel'!G24</f>
        <v>2016</v>
      </c>
      <c r="H28" s="59">
        <f>'Consumo papel'!H24</f>
        <v>2017</v>
      </c>
      <c r="I28" s="59">
        <f>'Consumo papel'!I24</f>
        <v>2018</v>
      </c>
      <c r="J28" s="59">
        <f>'Consumo papel'!J24</f>
        <v>2019</v>
      </c>
      <c r="K28" s="59">
        <f>'Consumo papel'!K24</f>
        <v>2020</v>
      </c>
      <c r="L28" s="59">
        <f>'Consumo papel'!L24</f>
        <v>2021</v>
      </c>
      <c r="M28" s="59">
        <f>'Consumo papel'!M24</f>
        <v>2022</v>
      </c>
      <c r="N28">
        <f>'Consumo papel'!N24</f>
        <v>2023</v>
      </c>
    </row>
    <row r="29" spans="1:14" x14ac:dyDescent="0.25">
      <c r="A29" s="26" t="str">
        <f>'Consumo papel'!B25</f>
        <v>Aumento de la adopción atribuible a UR-L1082+UR-L1143</v>
      </c>
      <c r="C29" s="26"/>
      <c r="D29" s="61">
        <f>'Consumo papel'!D25</f>
        <v>0</v>
      </c>
      <c r="E29" s="61">
        <f>'Consumo papel'!E25</f>
        <v>2.7500000000000024E-2</v>
      </c>
      <c r="F29" s="61">
        <f>'Consumo papel'!F25</f>
        <v>8.1625000000000059E-2</v>
      </c>
      <c r="G29" s="61">
        <f>'Consumo papel'!G25</f>
        <v>0.17186875000000007</v>
      </c>
      <c r="H29" s="61">
        <f>'Consumo papel'!H25</f>
        <v>0.23764906250000006</v>
      </c>
      <c r="I29" s="61">
        <f>'Consumo papel'!I25</f>
        <v>0.32329642187500007</v>
      </c>
      <c r="J29" s="61">
        <f>'Consumo papel'!J25</f>
        <v>0.43429088515625008</v>
      </c>
      <c r="K29" s="61">
        <f>'Consumo papel'!K25</f>
        <v>0.57755951792968763</v>
      </c>
      <c r="L29" s="61">
        <f>'Consumo papel'!L25</f>
        <v>0.54114657061914073</v>
      </c>
      <c r="M29" s="61">
        <f>'Consumo papel'!M25</f>
        <v>0.47231855621201191</v>
      </c>
      <c r="N29" s="61">
        <f>'Consumo papel'!N25</f>
        <v>0.39316633964381376</v>
      </c>
    </row>
    <row r="30" spans="1:14" x14ac:dyDescent="0.25">
      <c r="A30" s="26" t="str">
        <f>'Consumo papel'!B26</f>
        <v>Aumentos de adopción atribuibles a UR-L1082</v>
      </c>
      <c r="C30" s="26"/>
      <c r="D30" s="61">
        <f>'Consumo papel'!D26</f>
        <v>0</v>
      </c>
      <c r="E30" s="61">
        <f>'Consumo papel'!E26</f>
        <v>2.7500000000000024E-2</v>
      </c>
      <c r="F30" s="61">
        <f>'Consumo papel'!F26</f>
        <v>8.1625000000000059E-2</v>
      </c>
      <c r="G30" s="61">
        <f>'Consumo papel'!G26</f>
        <v>0.17186875000000007</v>
      </c>
      <c r="H30" s="61">
        <f>'Consumo papel'!H26</f>
        <v>0.23764906250000006</v>
      </c>
      <c r="I30" s="61">
        <f>'Consumo papel'!I26</f>
        <v>0.27329642187500003</v>
      </c>
      <c r="J30" s="61">
        <f>'Consumo papel'!J26</f>
        <v>0.31429088515624998</v>
      </c>
      <c r="K30" s="61">
        <f>'Consumo papel'!K26</f>
        <v>0.36143451792968739</v>
      </c>
      <c r="L30" s="61">
        <f>'Consumo papel'!L26</f>
        <v>0</v>
      </c>
      <c r="M30" s="61">
        <f>'Consumo papel'!M26</f>
        <v>0</v>
      </c>
      <c r="N30" s="61">
        <f>'Consumo papel'!N26</f>
        <v>0</v>
      </c>
    </row>
    <row r="31" spans="1:14" x14ac:dyDescent="0.25">
      <c r="A31" s="26" t="str">
        <f>'Consumo papel'!B27</f>
        <v>Aumentos de adopción atribuibles a UR-L1143</v>
      </c>
      <c r="C31" s="26"/>
      <c r="D31" s="61">
        <f>'Consumo papel'!D27</f>
        <v>0</v>
      </c>
      <c r="E31" s="61">
        <f>'Consumo papel'!E27</f>
        <v>0</v>
      </c>
      <c r="F31" s="61">
        <f>'Consumo papel'!F27</f>
        <v>0</v>
      </c>
      <c r="G31" s="61">
        <f>'Consumo papel'!G27</f>
        <v>0</v>
      </c>
      <c r="H31" s="61">
        <f>'Consumo papel'!H27</f>
        <v>0</v>
      </c>
      <c r="I31" s="61">
        <f>I29-I30</f>
        <v>5.0000000000000044E-2</v>
      </c>
      <c r="J31" s="61">
        <f t="shared" ref="J31:N31" si="1">J29-J30</f>
        <v>0.12000000000000011</v>
      </c>
      <c r="K31" s="61">
        <f t="shared" si="1"/>
        <v>0.21612500000000023</v>
      </c>
      <c r="L31" s="61">
        <f t="shared" si="1"/>
        <v>0.54114657061914073</v>
      </c>
      <c r="M31" s="61">
        <f t="shared" si="1"/>
        <v>0.47231855621201191</v>
      </c>
      <c r="N31" s="61">
        <f t="shared" si="1"/>
        <v>0.39316633964381376</v>
      </c>
    </row>
    <row r="32" spans="1:14" x14ac:dyDescent="0.25">
      <c r="A32" s="33"/>
      <c r="C32" s="33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x14ac:dyDescent="0.25">
      <c r="A33" s="3" t="s">
        <v>16</v>
      </c>
      <c r="C33" s="2"/>
      <c r="D33" s="2"/>
    </row>
    <row r="34" spans="1:14" x14ac:dyDescent="0.25">
      <c r="A34" s="26" t="s">
        <v>50</v>
      </c>
      <c r="B34" s="26">
        <f>B4*B15+B5*B16+B6*B17</f>
        <v>18.099999999999998</v>
      </c>
      <c r="C34" s="26" t="s">
        <v>37</v>
      </c>
    </row>
    <row r="35" spans="1:14" x14ac:dyDescent="0.25">
      <c r="A35" s="26"/>
      <c r="B35" s="38">
        <f>B34*B18/60</f>
        <v>971451.13333333319</v>
      </c>
      <c r="C35" s="26" t="s">
        <v>51</v>
      </c>
    </row>
    <row r="36" spans="1:14" x14ac:dyDescent="0.25">
      <c r="A36" s="26" t="s">
        <v>52</v>
      </c>
      <c r="B36" s="41">
        <f>B9*(1+B10)/B11/176</f>
        <v>6.2018489984591669</v>
      </c>
      <c r="C36" s="26" t="s">
        <v>53</v>
      </c>
    </row>
    <row r="37" spans="1:14" x14ac:dyDescent="0.25">
      <c r="A37" s="26" t="s">
        <v>54</v>
      </c>
      <c r="B37" s="27">
        <f>B35*B36</f>
        <v>6024793.238315355</v>
      </c>
      <c r="C37" s="26" t="s">
        <v>30</v>
      </c>
    </row>
    <row r="38" spans="1:14" x14ac:dyDescent="0.25">
      <c r="A38" s="33"/>
      <c r="B38" s="79"/>
      <c r="C38" s="33"/>
    </row>
    <row r="39" spans="1:14" x14ac:dyDescent="0.25">
      <c r="A39" s="77" t="s">
        <v>116</v>
      </c>
    </row>
    <row r="40" spans="1:14" x14ac:dyDescent="0.25">
      <c r="A40" s="36" t="s">
        <v>28</v>
      </c>
      <c r="B40" s="36"/>
      <c r="C40" s="36"/>
      <c r="D40" s="42">
        <v>2013</v>
      </c>
      <c r="E40" s="42">
        <v>2014</v>
      </c>
      <c r="F40" s="42">
        <f>E40+1</f>
        <v>2015</v>
      </c>
      <c r="G40" s="42">
        <f t="shared" ref="G40:J40" si="2">F40+1</f>
        <v>2016</v>
      </c>
      <c r="H40" s="42">
        <f t="shared" si="2"/>
        <v>2017</v>
      </c>
      <c r="I40" s="42">
        <f t="shared" si="2"/>
        <v>2018</v>
      </c>
      <c r="J40" s="42">
        <f t="shared" si="2"/>
        <v>2019</v>
      </c>
      <c r="K40" s="42">
        <v>2020</v>
      </c>
      <c r="L40" s="4">
        <v>2021</v>
      </c>
      <c r="M40">
        <v>2022</v>
      </c>
      <c r="N40" s="62">
        <v>2023</v>
      </c>
    </row>
    <row r="41" spans="1:14" x14ac:dyDescent="0.25">
      <c r="A41" s="26" t="s">
        <v>29</v>
      </c>
      <c r="B41" s="26"/>
      <c r="C41" s="26" t="s">
        <v>30</v>
      </c>
      <c r="D41" s="27">
        <f>$B$37*(1-D20)</f>
        <v>5121074.2525680512</v>
      </c>
      <c r="E41" s="27">
        <f t="shared" ref="E41:N41" si="3">$B$37*(1-E20)</f>
        <v>4985516.4047059566</v>
      </c>
      <c r="F41" s="27">
        <f t="shared" si="3"/>
        <v>4829624.8796645468</v>
      </c>
      <c r="G41" s="27">
        <f t="shared" si="3"/>
        <v>4650349.6258669263</v>
      </c>
      <c r="H41" s="27">
        <f t="shared" si="3"/>
        <v>4444183.0839996608</v>
      </c>
      <c r="I41" s="27">
        <f t="shared" si="3"/>
        <v>4207091.5608523069</v>
      </c>
      <c r="J41" s="27">
        <f t="shared" si="3"/>
        <v>3934436.3092328501</v>
      </c>
      <c r="K41" s="27">
        <f t="shared" si="3"/>
        <v>3620882.769870474</v>
      </c>
      <c r="L41" s="27">
        <f t="shared" si="3"/>
        <v>3260296.199603742</v>
      </c>
      <c r="M41" s="27">
        <f t="shared" si="3"/>
        <v>2845621.6437970004</v>
      </c>
      <c r="N41" s="27">
        <f t="shared" si="3"/>
        <v>2368745.9046192477</v>
      </c>
    </row>
    <row r="42" spans="1:14" x14ac:dyDescent="0.25">
      <c r="A42" s="26" t="s">
        <v>31</v>
      </c>
      <c r="B42" s="26"/>
      <c r="C42" s="26" t="s">
        <v>30</v>
      </c>
      <c r="D42" s="27">
        <f>$B$37*(1-D24)</f>
        <v>5121074.2525680512</v>
      </c>
      <c r="E42" s="27">
        <f t="shared" ref="E42:N42" si="4">$B$37*(1-E24)</f>
        <v>4819834.5906522842</v>
      </c>
      <c r="F42" s="27">
        <f t="shared" si="4"/>
        <v>4337851.1315870555</v>
      </c>
      <c r="G42" s="27">
        <f t="shared" si="4"/>
        <v>3614875.9429892129</v>
      </c>
      <c r="H42" s="27">
        <f t="shared" si="4"/>
        <v>3012396.6191576775</v>
      </c>
      <c r="I42" s="27">
        <f t="shared" si="4"/>
        <v>2259297.4643682581</v>
      </c>
      <c r="J42" s="27">
        <f t="shared" si="4"/>
        <v>1317923.5208814838</v>
      </c>
      <c r="K42" s="27">
        <f t="shared" si="4"/>
        <v>141206.09152301613</v>
      </c>
      <c r="L42" s="27">
        <f t="shared" si="4"/>
        <v>0</v>
      </c>
      <c r="M42" s="27">
        <f t="shared" si="4"/>
        <v>0</v>
      </c>
      <c r="N42" s="27">
        <f t="shared" si="4"/>
        <v>0</v>
      </c>
    </row>
    <row r="43" spans="1:14" x14ac:dyDescent="0.25">
      <c r="A43" s="26" t="s">
        <v>55</v>
      </c>
      <c r="B43" s="26"/>
      <c r="C43" s="26" t="s">
        <v>30</v>
      </c>
      <c r="D43" s="26">
        <v>0</v>
      </c>
      <c r="E43" s="27">
        <f>E41-E42</f>
        <v>165681.81405367237</v>
      </c>
      <c r="F43" s="27">
        <f t="shared" ref="F43:N43" si="5">F41-F42</f>
        <v>491773.7480774913</v>
      </c>
      <c r="G43" s="27">
        <f t="shared" si="5"/>
        <v>1035473.6828777133</v>
      </c>
      <c r="H43" s="27">
        <f t="shared" si="5"/>
        <v>1431786.4648419833</v>
      </c>
      <c r="I43" s="27">
        <f t="shared" si="5"/>
        <v>1947794.0964840488</v>
      </c>
      <c r="J43" s="27">
        <f t="shared" si="5"/>
        <v>2616512.7883513663</v>
      </c>
      <c r="K43" s="27">
        <f t="shared" si="5"/>
        <v>3479676.6783474577</v>
      </c>
      <c r="L43" s="27">
        <f t="shared" si="5"/>
        <v>3260296.199603742</v>
      </c>
      <c r="M43" s="27">
        <f t="shared" si="5"/>
        <v>2845621.6437970004</v>
      </c>
      <c r="N43" s="27">
        <f t="shared" si="5"/>
        <v>2368745.9046192477</v>
      </c>
    </row>
    <row r="44" spans="1:14" x14ac:dyDescent="0.25">
      <c r="A44" s="36" t="s">
        <v>33</v>
      </c>
      <c r="B44" s="36"/>
      <c r="C44" s="36" t="s">
        <v>30</v>
      </c>
      <c r="D44" s="29">
        <f>NPV(B45,E43:N43)</f>
        <v>9297403.0429152399</v>
      </c>
    </row>
    <row r="45" spans="1:14" x14ac:dyDescent="0.25">
      <c r="A45" s="26" t="s">
        <v>34</v>
      </c>
      <c r="B45" s="43">
        <f>'Consumo papel'!C43</f>
        <v>0.12</v>
      </c>
    </row>
    <row r="47" spans="1:14" x14ac:dyDescent="0.25">
      <c r="A47" t="s">
        <v>103</v>
      </c>
    </row>
    <row r="48" spans="1:14" x14ac:dyDescent="0.25">
      <c r="B48" t="s">
        <v>104</v>
      </c>
      <c r="D48" s="63">
        <f>D30*$B$37</f>
        <v>0</v>
      </c>
      <c r="E48" s="63">
        <f t="shared" ref="E48:N48" si="6">E30*$B$37</f>
        <v>165681.81405367242</v>
      </c>
      <c r="F48" s="63">
        <f t="shared" si="6"/>
        <v>491773.74807749118</v>
      </c>
      <c r="G48" s="63">
        <f t="shared" si="6"/>
        <v>1035473.6828777127</v>
      </c>
      <c r="H48" s="63">
        <f t="shared" si="6"/>
        <v>1431786.4648419835</v>
      </c>
      <c r="I48" s="63">
        <f t="shared" si="6"/>
        <v>1646554.4345682808</v>
      </c>
      <c r="J48" s="63">
        <f t="shared" si="6"/>
        <v>1893537.5997535225</v>
      </c>
      <c r="K48" s="63">
        <f t="shared" si="6"/>
        <v>2177568.2397165503</v>
      </c>
      <c r="L48" s="63">
        <f t="shared" si="6"/>
        <v>0</v>
      </c>
      <c r="M48" s="63">
        <f t="shared" si="6"/>
        <v>0</v>
      </c>
      <c r="N48" s="63">
        <f t="shared" si="6"/>
        <v>0</v>
      </c>
    </row>
    <row r="49" spans="1:14" x14ac:dyDescent="0.25">
      <c r="B49" t="s">
        <v>105</v>
      </c>
      <c r="D49" s="63">
        <f t="shared" ref="D49:N49" si="7">D31*$B$37</f>
        <v>0</v>
      </c>
      <c r="E49" s="63">
        <f t="shared" si="7"/>
        <v>0</v>
      </c>
      <c r="F49" s="63">
        <f t="shared" si="7"/>
        <v>0</v>
      </c>
      <c r="G49" s="63">
        <f t="shared" si="7"/>
        <v>0</v>
      </c>
      <c r="H49" s="63">
        <f t="shared" si="7"/>
        <v>0</v>
      </c>
      <c r="I49" s="63">
        <f t="shared" si="7"/>
        <v>301239.661915768</v>
      </c>
      <c r="J49" s="63">
        <f t="shared" si="7"/>
        <v>722975.18859784328</v>
      </c>
      <c r="K49" s="63">
        <f t="shared" si="7"/>
        <v>1302108.4386309076</v>
      </c>
      <c r="L49" s="63">
        <f t="shared" si="7"/>
        <v>3260296.199603742</v>
      </c>
      <c r="M49" s="63">
        <f t="shared" si="7"/>
        <v>2845621.6437970004</v>
      </c>
      <c r="N49" s="63">
        <f t="shared" si="7"/>
        <v>2368745.9046192477</v>
      </c>
    </row>
    <row r="51" spans="1:14" x14ac:dyDescent="0.25">
      <c r="A51" s="77" t="s">
        <v>117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x14ac:dyDescent="0.25">
      <c r="A52" s="36" t="s">
        <v>33</v>
      </c>
      <c r="D52" s="29">
        <f>NPV(B45,I49:N49)</f>
        <v>6658870.1561022038</v>
      </c>
    </row>
  </sheetData>
  <pageMargins left="0.25" right="0.25" top="0.75" bottom="0.7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A30" zoomScaleNormal="100" workbookViewId="0">
      <selection activeCell="B53" sqref="B53"/>
    </sheetView>
  </sheetViews>
  <sheetFormatPr defaultRowHeight="15" x14ac:dyDescent="0.25"/>
  <cols>
    <col min="1" max="1" width="31.85546875" customWidth="1"/>
    <col min="2" max="2" width="13.85546875" bestFit="1" customWidth="1"/>
    <col min="3" max="3" width="13.85546875" customWidth="1"/>
    <col min="4" max="11" width="12.140625" customWidth="1"/>
    <col min="12" max="13" width="10.5703125" customWidth="1"/>
  </cols>
  <sheetData>
    <row r="1" spans="1:11" x14ac:dyDescent="0.25">
      <c r="A1" s="30" t="s">
        <v>56</v>
      </c>
    </row>
    <row r="3" spans="1:11" x14ac:dyDescent="0.25">
      <c r="A3" s="36" t="s">
        <v>1</v>
      </c>
    </row>
    <row r="4" spans="1:11" x14ac:dyDescent="0.25">
      <c r="A4" s="26" t="s">
        <v>57</v>
      </c>
      <c r="B4" s="26">
        <v>0.44</v>
      </c>
      <c r="C4" s="26" t="s">
        <v>58</v>
      </c>
    </row>
    <row r="5" spans="1:11" x14ac:dyDescent="0.25">
      <c r="A5" s="26" t="s">
        <v>59</v>
      </c>
      <c r="B5" s="26">
        <v>6.3E-2</v>
      </c>
      <c r="C5" s="26" t="s">
        <v>58</v>
      </c>
    </row>
    <row r="6" spans="1:11" x14ac:dyDescent="0.25">
      <c r="A6" s="26" t="str">
        <f>'Consumo papel'!B8</f>
        <v>Población total</v>
      </c>
      <c r="B6" s="37">
        <f>'Consumo papel'!C8</f>
        <v>3286000</v>
      </c>
      <c r="C6" s="26" t="str">
        <f>'Consumo papel'!D8</f>
        <v>personas</v>
      </c>
    </row>
    <row r="7" spans="1:11" x14ac:dyDescent="0.25">
      <c r="A7" s="26" t="s">
        <v>60</v>
      </c>
      <c r="B7" s="31">
        <v>0.65</v>
      </c>
      <c r="C7" s="26" t="s">
        <v>61</v>
      </c>
    </row>
    <row r="8" spans="1:11" x14ac:dyDescent="0.25">
      <c r="A8" s="26" t="s">
        <v>62</v>
      </c>
      <c r="B8" s="31">
        <v>1.4</v>
      </c>
      <c r="C8" s="26" t="s">
        <v>61</v>
      </c>
    </row>
    <row r="9" spans="1:11" x14ac:dyDescent="0.25">
      <c r="A9" s="52" t="s">
        <v>106</v>
      </c>
      <c r="D9" s="26">
        <v>2014</v>
      </c>
      <c r="E9" s="26">
        <v>2016</v>
      </c>
    </row>
    <row r="10" spans="1:11" x14ac:dyDescent="0.25">
      <c r="D10" s="28">
        <v>0.3</v>
      </c>
      <c r="E10" s="28">
        <v>0.62</v>
      </c>
    </row>
    <row r="12" spans="1:11" x14ac:dyDescent="0.25">
      <c r="A12" s="36" t="s">
        <v>14</v>
      </c>
    </row>
    <row r="13" spans="1:11" x14ac:dyDescent="0.25">
      <c r="A13" s="67" t="s">
        <v>107</v>
      </c>
      <c r="D13" s="2">
        <v>0.15</v>
      </c>
    </row>
    <row r="14" spans="1:11" x14ac:dyDescent="0.25">
      <c r="A14" s="67" t="s">
        <v>108</v>
      </c>
      <c r="D14" s="68">
        <f>2/3</f>
        <v>0.66666666666666663</v>
      </c>
      <c r="E14" t="s">
        <v>109</v>
      </c>
    </row>
    <row r="15" spans="1:11" x14ac:dyDescent="0.25">
      <c r="A15" s="67" t="s">
        <v>110</v>
      </c>
      <c r="E15" s="2">
        <v>0.2</v>
      </c>
    </row>
    <row r="16" spans="1:11" x14ac:dyDescent="0.25">
      <c r="A16" s="69" t="s">
        <v>111</v>
      </c>
      <c r="E16" s="2">
        <v>20.170000000000002</v>
      </c>
      <c r="F16">
        <v>2018</v>
      </c>
      <c r="G16">
        <v>2019</v>
      </c>
      <c r="H16">
        <v>2020</v>
      </c>
      <c r="I16">
        <v>2021</v>
      </c>
      <c r="J16">
        <v>2022</v>
      </c>
      <c r="K16">
        <v>2023</v>
      </c>
    </row>
    <row r="17" spans="1:13" x14ac:dyDescent="0.25">
      <c r="A17" s="67"/>
      <c r="E17" s="2">
        <v>0.3</v>
      </c>
      <c r="F17" s="2">
        <v>0.25</v>
      </c>
      <c r="G17" s="2">
        <v>0.2</v>
      </c>
      <c r="H17" s="2">
        <v>0.15</v>
      </c>
      <c r="I17" s="2">
        <f>H17</f>
        <v>0.15</v>
      </c>
      <c r="J17" s="2">
        <f t="shared" ref="J17:K17" si="0">I17</f>
        <v>0.15</v>
      </c>
      <c r="K17" s="2">
        <f t="shared" si="0"/>
        <v>0.15</v>
      </c>
    </row>
    <row r="18" spans="1:13" x14ac:dyDescent="0.25">
      <c r="A18" s="67"/>
      <c r="E18" s="2"/>
    </row>
    <row r="19" spans="1:13" x14ac:dyDescent="0.25">
      <c r="A19" s="26" t="s">
        <v>63</v>
      </c>
    </row>
    <row r="20" spans="1:13" x14ac:dyDescent="0.25">
      <c r="A20" s="66"/>
      <c r="B20" s="26"/>
      <c r="C20" s="26">
        <v>2013</v>
      </c>
      <c r="D20" s="26">
        <v>2014</v>
      </c>
      <c r="E20" s="26">
        <v>2015</v>
      </c>
      <c r="F20" s="26">
        <f t="shared" ref="F20:J20" si="1">E20+1</f>
        <v>2016</v>
      </c>
      <c r="G20" s="26">
        <f t="shared" si="1"/>
        <v>2017</v>
      </c>
      <c r="H20" s="26">
        <f t="shared" si="1"/>
        <v>2018</v>
      </c>
      <c r="I20" s="26">
        <f t="shared" si="1"/>
        <v>2019</v>
      </c>
      <c r="J20" s="26">
        <f t="shared" si="1"/>
        <v>2020</v>
      </c>
      <c r="K20">
        <v>2021</v>
      </c>
      <c r="L20">
        <v>2022</v>
      </c>
      <c r="M20">
        <v>2023</v>
      </c>
    </row>
    <row r="21" spans="1:13" x14ac:dyDescent="0.25">
      <c r="A21" t="s">
        <v>112</v>
      </c>
      <c r="B21" s="26"/>
      <c r="C21" s="51">
        <f>C22</f>
        <v>0.16700000000000001</v>
      </c>
      <c r="D21" s="51">
        <f>D22</f>
        <v>0.19999999999999998</v>
      </c>
      <c r="E21" s="51">
        <f t="shared" ref="E21:L21" si="2">D21*(1+$D$13)</f>
        <v>0.22999999999999995</v>
      </c>
      <c r="F21" s="51">
        <f t="shared" si="2"/>
        <v>0.2644999999999999</v>
      </c>
      <c r="G21" s="51">
        <f t="shared" si="2"/>
        <v>0.30417499999999986</v>
      </c>
      <c r="H21" s="51">
        <f t="shared" si="2"/>
        <v>0.34980124999999984</v>
      </c>
      <c r="I21" s="51">
        <f t="shared" si="2"/>
        <v>0.40227143749999977</v>
      </c>
      <c r="J21" s="51">
        <f t="shared" si="2"/>
        <v>0.4626121531249997</v>
      </c>
      <c r="K21" s="51">
        <f t="shared" si="2"/>
        <v>0.53200397609374961</v>
      </c>
      <c r="L21" s="51">
        <f t="shared" si="2"/>
        <v>0.61180457250781195</v>
      </c>
      <c r="M21" s="51">
        <v>1</v>
      </c>
    </row>
    <row r="22" spans="1:13" x14ac:dyDescent="0.25">
      <c r="A22" s="26" t="s">
        <v>113</v>
      </c>
      <c r="B22" s="26"/>
      <c r="C22" s="61">
        <v>0.16700000000000001</v>
      </c>
      <c r="D22" s="51">
        <f>D10*D14</f>
        <v>0.19999999999999998</v>
      </c>
      <c r="E22" s="51">
        <f>D22*(F22/D22)^0.5</f>
        <v>0.28751811537130434</v>
      </c>
      <c r="F22" s="51">
        <f>E10*D14</f>
        <v>0.41333333333333333</v>
      </c>
      <c r="G22" s="51">
        <f>F22*(1+E17)</f>
        <v>0.53733333333333333</v>
      </c>
      <c r="H22" s="51">
        <f t="shared" ref="H22:J22" si="3">G22*(1+F17)</f>
        <v>0.67166666666666663</v>
      </c>
      <c r="I22" s="51">
        <f t="shared" si="3"/>
        <v>0.80599999999999994</v>
      </c>
      <c r="J22" s="51">
        <f t="shared" si="3"/>
        <v>0.92689999999999984</v>
      </c>
      <c r="K22" s="51">
        <v>1</v>
      </c>
      <c r="L22" s="51">
        <f>K22</f>
        <v>1</v>
      </c>
      <c r="M22" s="51">
        <f>L22</f>
        <v>1</v>
      </c>
    </row>
    <row r="23" spans="1:13" x14ac:dyDescent="0.25">
      <c r="A23" s="33"/>
      <c r="B23" s="33" t="s">
        <v>104</v>
      </c>
      <c r="C23" s="65">
        <f>C22</f>
        <v>0.16700000000000001</v>
      </c>
      <c r="D23" s="65">
        <f t="shared" ref="D23:E23" si="4">D22</f>
        <v>0.19999999999999998</v>
      </c>
      <c r="E23" s="65">
        <f t="shared" si="4"/>
        <v>0.28751811537130434</v>
      </c>
      <c r="F23" s="65">
        <f t="shared" ref="F23" si="5">F22</f>
        <v>0.41333333333333333</v>
      </c>
      <c r="G23" s="65">
        <f t="shared" ref="G23" si="6">G22</f>
        <v>0.53733333333333333</v>
      </c>
      <c r="H23" s="56">
        <f>G23</f>
        <v>0.53733333333333333</v>
      </c>
      <c r="I23" s="56">
        <f>H23*(1+$D$13)</f>
        <v>0.61793333333333333</v>
      </c>
      <c r="J23" s="56">
        <f t="shared" ref="J23:L23" si="7">I23*(1+$D$13)</f>
        <v>0.71062333333333327</v>
      </c>
      <c r="K23" s="56">
        <f t="shared" si="7"/>
        <v>0.81721683333333317</v>
      </c>
      <c r="L23" s="56">
        <f t="shared" si="7"/>
        <v>0.93979935833333306</v>
      </c>
      <c r="M23" s="56">
        <v>1</v>
      </c>
    </row>
    <row r="24" spans="1:13" x14ac:dyDescent="0.25">
      <c r="A24" s="33"/>
      <c r="B24" s="33" t="s">
        <v>105</v>
      </c>
      <c r="C24" s="65"/>
      <c r="D24" s="34"/>
      <c r="E24" s="56"/>
      <c r="F24" s="34"/>
      <c r="G24" s="34"/>
      <c r="H24" s="56">
        <f>H22-H23</f>
        <v>0.1343333333333333</v>
      </c>
      <c r="I24" s="56">
        <f t="shared" ref="I24:M24" si="8">I22-I23</f>
        <v>0.1880666666666666</v>
      </c>
      <c r="J24" s="56">
        <f t="shared" si="8"/>
        <v>0.21627666666666656</v>
      </c>
      <c r="K24" s="56">
        <f t="shared" si="8"/>
        <v>0.18278316666666683</v>
      </c>
      <c r="L24" s="56">
        <f t="shared" si="8"/>
        <v>6.0200641666666943E-2</v>
      </c>
      <c r="M24" s="56">
        <f t="shared" si="8"/>
        <v>0</v>
      </c>
    </row>
    <row r="25" spans="1:13" x14ac:dyDescent="0.25">
      <c r="A25" s="33"/>
      <c r="B25" s="33"/>
      <c r="C25" s="65"/>
      <c r="D25" s="34"/>
      <c r="E25" s="56"/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3" t="s">
        <v>114</v>
      </c>
      <c r="B26" s="33"/>
      <c r="C26" s="65">
        <f>C22-C21</f>
        <v>0</v>
      </c>
      <c r="D26" s="65">
        <f t="shared" ref="D26:M26" si="9">D22-D21</f>
        <v>0</v>
      </c>
      <c r="E26" s="65">
        <f t="shared" si="9"/>
        <v>5.7518115371304385E-2</v>
      </c>
      <c r="F26" s="65">
        <f t="shared" si="9"/>
        <v>0.14883333333333343</v>
      </c>
      <c r="G26" s="65">
        <f t="shared" si="9"/>
        <v>0.23315833333333347</v>
      </c>
      <c r="H26" s="65">
        <f t="shared" si="9"/>
        <v>0.32186541666666679</v>
      </c>
      <c r="I26" s="65">
        <f t="shared" si="9"/>
        <v>0.40372856250000017</v>
      </c>
      <c r="J26" s="65">
        <f t="shared" si="9"/>
        <v>0.46428784687500013</v>
      </c>
      <c r="K26" s="65">
        <f t="shared" si="9"/>
        <v>0.46799602390625039</v>
      </c>
      <c r="L26" s="65">
        <f t="shared" si="9"/>
        <v>0.38819542749218805</v>
      </c>
      <c r="M26" s="65">
        <f t="shared" si="9"/>
        <v>0</v>
      </c>
    </row>
    <row r="27" spans="1:13" x14ac:dyDescent="0.25">
      <c r="A27" s="33" t="s">
        <v>97</v>
      </c>
      <c r="B27" s="33"/>
      <c r="C27" s="56">
        <f t="shared" ref="C27:G27" si="10">C23-C21</f>
        <v>0</v>
      </c>
      <c r="D27" s="56">
        <f t="shared" si="10"/>
        <v>0</v>
      </c>
      <c r="E27" s="56">
        <f t="shared" si="10"/>
        <v>5.7518115371304385E-2</v>
      </c>
      <c r="F27" s="56">
        <f t="shared" si="10"/>
        <v>0.14883333333333343</v>
      </c>
      <c r="G27" s="56">
        <f t="shared" si="10"/>
        <v>0.23315833333333347</v>
      </c>
      <c r="H27" s="56">
        <f>H23-H21</f>
        <v>0.18753208333333349</v>
      </c>
      <c r="I27" s="56">
        <f t="shared" ref="I27:J27" si="11">I23-I21</f>
        <v>0.21566189583333356</v>
      </c>
      <c r="J27" s="56">
        <f t="shared" si="11"/>
        <v>0.24801118020833357</v>
      </c>
      <c r="K27" s="56">
        <v>0</v>
      </c>
      <c r="L27" s="56">
        <v>0</v>
      </c>
      <c r="M27" s="56">
        <f t="shared" ref="M27" si="12">L27</f>
        <v>0</v>
      </c>
    </row>
    <row r="28" spans="1:13" x14ac:dyDescent="0.25">
      <c r="A28" s="33" t="s">
        <v>98</v>
      </c>
      <c r="B28" s="33"/>
      <c r="C28" s="65"/>
      <c r="D28" s="34"/>
      <c r="E28" s="56"/>
      <c r="F28" s="34"/>
      <c r="G28" s="34"/>
      <c r="H28" s="56">
        <f>H26-H27</f>
        <v>0.1343333333333333</v>
      </c>
      <c r="I28" s="56">
        <f t="shared" ref="I28:M28" si="13">I26-I27</f>
        <v>0.1880666666666666</v>
      </c>
      <c r="J28" s="56">
        <f t="shared" si="13"/>
        <v>0.21627666666666656</v>
      </c>
      <c r="K28" s="56">
        <f t="shared" si="13"/>
        <v>0.46799602390625039</v>
      </c>
      <c r="L28" s="56">
        <f t="shared" si="13"/>
        <v>0.38819542749218805</v>
      </c>
      <c r="M28" s="56">
        <f t="shared" si="13"/>
        <v>0</v>
      </c>
    </row>
    <row r="29" spans="1:13" x14ac:dyDescent="0.25">
      <c r="A29" s="33"/>
      <c r="B29" s="33"/>
      <c r="C29" s="65"/>
      <c r="D29" s="34"/>
      <c r="E29" s="56"/>
      <c r="F29" s="34"/>
      <c r="G29" s="34"/>
      <c r="H29" s="34"/>
      <c r="I29" s="34"/>
      <c r="J29" s="34"/>
      <c r="K29" s="34"/>
      <c r="L29" s="34"/>
      <c r="M29" s="34"/>
    </row>
    <row r="30" spans="1:13" x14ac:dyDescent="0.25">
      <c r="A30" s="33"/>
      <c r="B30" s="33"/>
      <c r="C30" s="65"/>
      <c r="D30" s="34"/>
      <c r="E30" s="56"/>
      <c r="F30" s="34"/>
      <c r="G30" s="34"/>
      <c r="H30" s="34"/>
      <c r="I30" s="34"/>
      <c r="J30" s="34"/>
      <c r="K30" s="34"/>
      <c r="L30" s="34"/>
      <c r="M30" s="34"/>
    </row>
    <row r="31" spans="1:13" x14ac:dyDescent="0.25">
      <c r="A31" s="33"/>
      <c r="B31" s="33"/>
      <c r="C31" s="65"/>
      <c r="D31" s="34"/>
      <c r="E31" s="56"/>
      <c r="F31" s="34"/>
      <c r="G31" s="34"/>
      <c r="H31" s="34"/>
      <c r="I31" s="34"/>
      <c r="J31" s="34"/>
      <c r="K31" s="34"/>
      <c r="L31" s="34"/>
      <c r="M31" s="34"/>
    </row>
    <row r="32" spans="1:13" x14ac:dyDescent="0.25">
      <c r="B32" s="33"/>
      <c r="C32" s="65"/>
      <c r="D32" s="34"/>
      <c r="E32" s="56"/>
      <c r="F32" s="34"/>
      <c r="G32" s="34"/>
      <c r="H32" s="34"/>
      <c r="I32" s="34"/>
      <c r="J32" s="34"/>
      <c r="K32" s="2"/>
    </row>
    <row r="33" spans="1:13" x14ac:dyDescent="0.25">
      <c r="A33" s="3" t="s">
        <v>16</v>
      </c>
    </row>
    <row r="34" spans="1:13" x14ac:dyDescent="0.25">
      <c r="A34" s="26" t="str">
        <f>'Consumo papel'!B31</f>
        <v>Afiliados totales</v>
      </c>
      <c r="B34" s="37">
        <f>'Consumo papel'!C31</f>
        <v>3220280</v>
      </c>
      <c r="C34" s="26" t="str">
        <f>'Consumo papel'!D31</f>
        <v>afiliados</v>
      </c>
    </row>
    <row r="35" spans="1:13" x14ac:dyDescent="0.25">
      <c r="A35" s="26" t="s">
        <v>57</v>
      </c>
      <c r="B35" s="38">
        <f>B$34*B4</f>
        <v>1416923.2</v>
      </c>
      <c r="C35" s="26" t="s">
        <v>64</v>
      </c>
    </row>
    <row r="36" spans="1:13" x14ac:dyDescent="0.25">
      <c r="A36" s="26" t="s">
        <v>59</v>
      </c>
      <c r="B36" s="38">
        <f>B$34*B5</f>
        <v>202877.64</v>
      </c>
      <c r="C36" s="26" t="s">
        <v>65</v>
      </c>
    </row>
    <row r="37" spans="1:13" x14ac:dyDescent="0.25">
      <c r="A37" s="26" t="s">
        <v>66</v>
      </c>
      <c r="B37" s="27">
        <f>B7*B35</f>
        <v>921000.08</v>
      </c>
      <c r="C37" s="27" t="s">
        <v>67</v>
      </c>
    </row>
    <row r="38" spans="1:13" x14ac:dyDescent="0.25">
      <c r="A38" s="26" t="s">
        <v>68</v>
      </c>
      <c r="B38" s="27">
        <f>B8*B36</f>
        <v>284028.696</v>
      </c>
      <c r="C38" s="27" t="s">
        <v>67</v>
      </c>
    </row>
    <row r="39" spans="1:13" x14ac:dyDescent="0.25">
      <c r="A39" s="26" t="s">
        <v>69</v>
      </c>
      <c r="B39" s="32">
        <f>SUM(B37:B38)</f>
        <v>1205028.7760000001</v>
      </c>
      <c r="C39" s="27" t="s">
        <v>67</v>
      </c>
    </row>
    <row r="40" spans="1:13" x14ac:dyDescent="0.25">
      <c r="A40" s="33"/>
      <c r="B40" s="80"/>
      <c r="C40" s="79"/>
    </row>
    <row r="41" spans="1:13" x14ac:dyDescent="0.25">
      <c r="A41" s="77" t="s">
        <v>116</v>
      </c>
    </row>
    <row r="42" spans="1:13" x14ac:dyDescent="0.25">
      <c r="A42" s="3" t="s">
        <v>70</v>
      </c>
      <c r="B42" s="26"/>
      <c r="C42" s="26">
        <v>2013</v>
      </c>
      <c r="D42" s="26">
        <v>2014</v>
      </c>
      <c r="E42" s="26">
        <f t="shared" ref="E42:J42" si="14">E20</f>
        <v>2015</v>
      </c>
      <c r="F42" s="26">
        <f t="shared" si="14"/>
        <v>2016</v>
      </c>
      <c r="G42" s="26">
        <f t="shared" si="14"/>
        <v>2017</v>
      </c>
      <c r="H42" s="26">
        <f t="shared" si="14"/>
        <v>2018</v>
      </c>
      <c r="I42" s="26">
        <f t="shared" si="14"/>
        <v>2019</v>
      </c>
      <c r="J42" s="26">
        <f t="shared" si="14"/>
        <v>2020</v>
      </c>
      <c r="K42" s="33">
        <v>2021</v>
      </c>
      <c r="L42">
        <v>2022</v>
      </c>
      <c r="M42">
        <v>2023</v>
      </c>
    </row>
    <row r="43" spans="1:13" x14ac:dyDescent="0.25">
      <c r="B43" s="35" t="s">
        <v>71</v>
      </c>
      <c r="C43" s="31">
        <v>0</v>
      </c>
      <c r="D43" s="32">
        <f>$B$39*D26</f>
        <v>0</v>
      </c>
      <c r="E43" s="32">
        <f t="shared" ref="E43:M43" si="15">$B$39*E26</f>
        <v>69310.984163709712</v>
      </c>
      <c r="F43" s="32">
        <f t="shared" si="15"/>
        <v>179348.4494946668</v>
      </c>
      <c r="G43" s="32">
        <f t="shared" si="15"/>
        <v>280962.50103086687</v>
      </c>
      <c r="H43" s="32">
        <f t="shared" si="15"/>
        <v>387857.08908256353</v>
      </c>
      <c r="I43" s="32">
        <f t="shared" si="15"/>
        <v>486504.53550561471</v>
      </c>
      <c r="J43" s="32">
        <f t="shared" si="15"/>
        <v>559480.21583145682</v>
      </c>
      <c r="K43" s="32">
        <f t="shared" si="15"/>
        <v>563948.67586061568</v>
      </c>
      <c r="L43" s="32">
        <f t="shared" si="15"/>
        <v>467786.66083970811</v>
      </c>
      <c r="M43" s="32">
        <f t="shared" si="15"/>
        <v>0</v>
      </c>
    </row>
    <row r="44" spans="1:13" x14ac:dyDescent="0.25">
      <c r="A44" s="36" t="s">
        <v>72</v>
      </c>
      <c r="B44" s="29">
        <f>NPV($B$45,D43:M43)</f>
        <v>1477564.9993155191</v>
      </c>
      <c r="C44" s="5"/>
    </row>
    <row r="45" spans="1:13" x14ac:dyDescent="0.25">
      <c r="A45" s="26" t="s">
        <v>73</v>
      </c>
      <c r="B45" s="28">
        <f>'Consumo papel'!C43</f>
        <v>0.12</v>
      </c>
      <c r="C45" s="2"/>
    </row>
    <row r="48" spans="1:13" x14ac:dyDescent="0.25">
      <c r="A48" t="s">
        <v>115</v>
      </c>
    </row>
    <row r="49" spans="1:13" x14ac:dyDescent="0.25">
      <c r="B49" t="s">
        <v>104</v>
      </c>
      <c r="E49" s="49">
        <f>$B$39*E27</f>
        <v>69310.984163709712</v>
      </c>
      <c r="F49" s="49">
        <f t="shared" ref="F49:M50" si="16">$B$39*F27</f>
        <v>179348.4494946668</v>
      </c>
      <c r="G49" s="49">
        <f t="shared" si="16"/>
        <v>280962.50103086687</v>
      </c>
      <c r="H49" s="49">
        <f t="shared" si="16"/>
        <v>225981.55683989686</v>
      </c>
      <c r="I49" s="49">
        <f t="shared" si="16"/>
        <v>259878.79036588146</v>
      </c>
      <c r="J49" s="49">
        <f t="shared" si="16"/>
        <v>298860.60892076365</v>
      </c>
      <c r="K49" s="49">
        <f t="shared" si="16"/>
        <v>0</v>
      </c>
      <c r="L49" s="49">
        <f t="shared" si="16"/>
        <v>0</v>
      </c>
      <c r="M49" s="49">
        <f t="shared" si="16"/>
        <v>0</v>
      </c>
    </row>
    <row r="50" spans="1:13" x14ac:dyDescent="0.25">
      <c r="B50" t="s">
        <v>105</v>
      </c>
      <c r="H50" s="49">
        <f t="shared" si="16"/>
        <v>161875.53224266664</v>
      </c>
      <c r="I50" s="49">
        <f t="shared" si="16"/>
        <v>226625.74513973328</v>
      </c>
      <c r="J50" s="49">
        <f t="shared" si="16"/>
        <v>260619.60691069323</v>
      </c>
      <c r="K50" s="49">
        <f t="shared" si="16"/>
        <v>563948.67586061568</v>
      </c>
      <c r="L50" s="49">
        <f t="shared" si="16"/>
        <v>467786.66083970811</v>
      </c>
      <c r="M50" s="49">
        <f t="shared" si="16"/>
        <v>0</v>
      </c>
    </row>
    <row r="52" spans="1:13" x14ac:dyDescent="0.25">
      <c r="A52" s="77" t="s">
        <v>117</v>
      </c>
    </row>
    <row r="53" spans="1:13" x14ac:dyDescent="0.25">
      <c r="A53" s="36" t="s">
        <v>72</v>
      </c>
      <c r="B53" s="81">
        <f>NPV($B$45,H50:M50)</f>
        <v>1134534.5630386926</v>
      </c>
    </row>
  </sheetData>
  <pageMargins left="0.25" right="0.25" top="0.75" bottom="0.75" header="0.3" footer="0.3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20" zoomScaleNormal="120" workbookViewId="0">
      <selection activeCell="C15" sqref="C15"/>
    </sheetView>
  </sheetViews>
  <sheetFormatPr defaultRowHeight="15" x14ac:dyDescent="0.25"/>
  <cols>
    <col min="1" max="1" width="29.85546875" customWidth="1"/>
    <col min="2" max="2" width="14.7109375" customWidth="1"/>
    <col min="3" max="5" width="14.7109375" bestFit="1" customWidth="1"/>
    <col min="6" max="6" width="13.140625" customWidth="1"/>
    <col min="7" max="7" width="13.42578125" bestFit="1" customWidth="1"/>
    <col min="8" max="8" width="12.28515625" customWidth="1"/>
    <col min="9" max="9" width="10.85546875" customWidth="1"/>
    <col min="10" max="10" width="12.140625" bestFit="1" customWidth="1"/>
  </cols>
  <sheetData>
    <row r="1" spans="1:10" x14ac:dyDescent="0.25">
      <c r="A1" s="30" t="s">
        <v>74</v>
      </c>
    </row>
    <row r="4" spans="1:10" x14ac:dyDescent="0.25">
      <c r="A4" s="26"/>
      <c r="B4" s="48">
        <v>2013</v>
      </c>
      <c r="C4" s="48">
        <v>2014</v>
      </c>
      <c r="D4" s="48">
        <f>C4+1</f>
        <v>2015</v>
      </c>
      <c r="E4" s="48">
        <f t="shared" ref="E4" si="0">D4+1</f>
        <v>2016</v>
      </c>
      <c r="F4" s="48">
        <f t="shared" ref="F4" si="1">E4+1</f>
        <v>2017</v>
      </c>
      <c r="G4" s="48">
        <f t="shared" ref="G4" si="2">F4+1</f>
        <v>2018</v>
      </c>
      <c r="H4" s="48">
        <f t="shared" ref="H4" si="3">G4+1</f>
        <v>2019</v>
      </c>
      <c r="I4" s="48">
        <f t="shared" ref="I4" si="4">H4+1</f>
        <v>2020</v>
      </c>
    </row>
    <row r="5" spans="1:10" x14ac:dyDescent="0.25">
      <c r="A5" s="26"/>
      <c r="B5" s="48"/>
      <c r="G5" s="48"/>
      <c r="H5" s="48"/>
      <c r="I5" s="48"/>
    </row>
    <row r="6" spans="1:10" x14ac:dyDescent="0.25">
      <c r="A6" s="77" t="s">
        <v>116</v>
      </c>
      <c r="B6" s="48"/>
      <c r="F6" s="49"/>
      <c r="G6" s="48"/>
      <c r="H6" s="48"/>
      <c r="I6" s="72"/>
    </row>
    <row r="7" spans="1:10" x14ac:dyDescent="0.25">
      <c r="A7" s="26" t="s">
        <v>75</v>
      </c>
      <c r="B7" s="27">
        <v>0</v>
      </c>
      <c r="C7" s="27">
        <v>756000</v>
      </c>
      <c r="D7" s="27">
        <v>2196000</v>
      </c>
      <c r="E7" s="27">
        <v>1700000</v>
      </c>
      <c r="F7" s="27">
        <v>1348000</v>
      </c>
      <c r="G7" s="27">
        <v>2983000</v>
      </c>
      <c r="H7" s="27">
        <v>1840000</v>
      </c>
      <c r="I7" s="27">
        <v>1177000</v>
      </c>
      <c r="J7" s="49"/>
    </row>
    <row r="8" spans="1:10" x14ac:dyDescent="0.25">
      <c r="A8" s="26" t="s">
        <v>76</v>
      </c>
      <c r="B8" s="27"/>
      <c r="C8" s="27">
        <v>250000</v>
      </c>
      <c r="D8" s="27">
        <v>250000</v>
      </c>
      <c r="E8" s="27">
        <v>250000</v>
      </c>
      <c r="F8" s="27">
        <v>250000</v>
      </c>
      <c r="G8" s="27">
        <v>355000</v>
      </c>
      <c r="H8" s="27">
        <v>496000</v>
      </c>
      <c r="I8" s="27">
        <v>149000</v>
      </c>
    </row>
    <row r="9" spans="1:10" x14ac:dyDescent="0.25">
      <c r="A9" s="26" t="s">
        <v>77</v>
      </c>
      <c r="B9" s="27">
        <f t="shared" ref="B9" si="5">SUM(B7:B8)</f>
        <v>0</v>
      </c>
      <c r="C9" s="27">
        <f>SUM(C7:C8)</f>
        <v>1006000</v>
      </c>
      <c r="D9" s="27">
        <f t="shared" ref="D9:I9" si="6">SUM(D7:D8)</f>
        <v>2446000</v>
      </c>
      <c r="E9" s="27">
        <f t="shared" si="6"/>
        <v>1950000</v>
      </c>
      <c r="F9" s="27">
        <f t="shared" si="6"/>
        <v>1598000</v>
      </c>
      <c r="G9" s="27">
        <f t="shared" si="6"/>
        <v>3338000</v>
      </c>
      <c r="H9" s="27">
        <f t="shared" si="6"/>
        <v>2336000</v>
      </c>
      <c r="I9" s="27">
        <f t="shared" si="6"/>
        <v>1326000</v>
      </c>
    </row>
    <row r="10" spans="1:10" x14ac:dyDescent="0.25">
      <c r="A10" s="26" t="s">
        <v>73</v>
      </c>
      <c r="B10" s="28">
        <f>'Consumo papel'!C43</f>
        <v>0.12</v>
      </c>
    </row>
    <row r="11" spans="1:10" x14ac:dyDescent="0.25">
      <c r="A11" s="26" t="s">
        <v>78</v>
      </c>
      <c r="B11" s="29">
        <f>NPV(B10,C9:I9)+B9</f>
        <v>8929056.085726779</v>
      </c>
    </row>
    <row r="14" spans="1:10" x14ac:dyDescent="0.25">
      <c r="G14" s="49"/>
    </row>
    <row r="16" spans="1:10" x14ac:dyDescent="0.25">
      <c r="G16" s="49"/>
    </row>
    <row r="18" spans="7:7" x14ac:dyDescent="0.25">
      <c r="G18" s="4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opLeftCell="A7" workbookViewId="0">
      <selection activeCell="B32" sqref="B32"/>
    </sheetView>
  </sheetViews>
  <sheetFormatPr defaultRowHeight="15" x14ac:dyDescent="0.25"/>
  <cols>
    <col min="1" max="1" width="39.5703125" customWidth="1"/>
    <col min="2" max="2" width="16.85546875" customWidth="1"/>
    <col min="3" max="3" width="9.7109375" bestFit="1" customWidth="1"/>
    <col min="4" max="4" width="11.28515625" bestFit="1" customWidth="1"/>
    <col min="5" max="6" width="10.5703125" bestFit="1" customWidth="1"/>
    <col min="7" max="7" width="11.7109375" bestFit="1" customWidth="1"/>
    <col min="8" max="8" width="13.28515625" bestFit="1" customWidth="1"/>
    <col min="9" max="11" width="12.7109375" bestFit="1" customWidth="1"/>
    <col min="12" max="12" width="10.85546875" customWidth="1"/>
    <col min="13" max="13" width="11.140625" customWidth="1"/>
  </cols>
  <sheetData>
    <row r="1" spans="1:13" ht="24.75" customHeight="1" x14ac:dyDescent="0.25">
      <c r="A1" s="82" t="s">
        <v>79</v>
      </c>
      <c r="B1" s="82"/>
      <c r="C1" s="82"/>
      <c r="D1" s="82"/>
      <c r="E1" s="6"/>
      <c r="F1" s="6"/>
      <c r="G1" s="6"/>
      <c r="H1" s="6"/>
      <c r="I1" s="6"/>
      <c r="J1" s="6"/>
    </row>
    <row r="2" spans="1:13" x14ac:dyDescent="0.25">
      <c r="A2" s="7"/>
      <c r="B2" s="6"/>
      <c r="C2" s="8"/>
      <c r="D2" s="23"/>
      <c r="E2" s="6"/>
      <c r="F2" s="6"/>
      <c r="G2" s="6"/>
      <c r="H2" s="6"/>
      <c r="I2" s="6"/>
      <c r="J2" s="6"/>
    </row>
    <row r="3" spans="1:13" x14ac:dyDescent="0.25">
      <c r="A3" s="9" t="s">
        <v>80</v>
      </c>
      <c r="B3" s="6"/>
      <c r="C3" s="8"/>
      <c r="D3" s="23"/>
      <c r="E3" s="6"/>
      <c r="F3" s="6"/>
      <c r="G3" s="6"/>
      <c r="H3" s="6"/>
      <c r="I3" s="6"/>
      <c r="J3" s="6"/>
    </row>
    <row r="4" spans="1:13" ht="27.6" customHeight="1" x14ac:dyDescent="0.25">
      <c r="A4" s="83" t="s">
        <v>116</v>
      </c>
      <c r="B4" s="83"/>
      <c r="C4" s="6"/>
      <c r="D4" s="6"/>
      <c r="E4" s="6"/>
      <c r="F4" s="6"/>
      <c r="G4" s="6"/>
      <c r="H4" s="6"/>
      <c r="I4" s="6"/>
      <c r="J4" s="6"/>
    </row>
    <row r="5" spans="1:13" ht="30" x14ac:dyDescent="0.25">
      <c r="B5" s="46" t="s">
        <v>81</v>
      </c>
      <c r="C5" s="10">
        <v>2013</v>
      </c>
      <c r="D5" s="10">
        <v>2014</v>
      </c>
      <c r="E5" s="10">
        <v>2015</v>
      </c>
      <c r="F5" s="10">
        <v>2016</v>
      </c>
      <c r="G5" s="10">
        <v>2017</v>
      </c>
      <c r="H5" s="10">
        <v>2018</v>
      </c>
      <c r="I5" s="10">
        <v>2019</v>
      </c>
      <c r="J5" s="10">
        <v>2020</v>
      </c>
      <c r="K5" s="64">
        <v>2021</v>
      </c>
      <c r="L5" s="64">
        <v>2022</v>
      </c>
      <c r="M5" s="64">
        <v>2023</v>
      </c>
    </row>
    <row r="6" spans="1:13" x14ac:dyDescent="0.25">
      <c r="A6" s="11" t="s">
        <v>82</v>
      </c>
      <c r="B6" s="12">
        <f>SUM(B7:B9)</f>
        <v>14141934.129828932</v>
      </c>
      <c r="C6" s="12"/>
      <c r="D6" s="12">
        <f t="shared" ref="D6:M6" si="0">SUM(D7:D9)</f>
        <v>225681.90727062151</v>
      </c>
      <c r="E6" s="12">
        <f t="shared" si="0"/>
        <v>739175.91801696387</v>
      </c>
      <c r="F6" s="12">
        <f t="shared" si="0"/>
        <v>1589809.0785934906</v>
      </c>
      <c r="G6" s="12">
        <f t="shared" si="0"/>
        <v>2231256.8168881438</v>
      </c>
      <c r="H6" s="12">
        <f t="shared" si="0"/>
        <v>3041026.2928104717</v>
      </c>
      <c r="I6" s="12">
        <f t="shared" si="0"/>
        <v>4050562.5454077581</v>
      </c>
      <c r="J6" s="12">
        <f t="shared" si="0"/>
        <v>5299288.709237732</v>
      </c>
      <c r="K6" s="12">
        <f t="shared" si="0"/>
        <v>5004930.1365982052</v>
      </c>
      <c r="L6" s="12">
        <f t="shared" si="0"/>
        <v>4343923.11921182</v>
      </c>
      <c r="M6" s="12">
        <f t="shared" si="0"/>
        <v>3226564.7056518118</v>
      </c>
    </row>
    <row r="7" spans="1:13" x14ac:dyDescent="0.25">
      <c r="A7" s="13" t="s">
        <v>83</v>
      </c>
      <c r="B7" s="18">
        <f>NPV($B$18,D7:M7)</f>
        <v>3366966.0875981734</v>
      </c>
      <c r="C7" s="15">
        <f>'Consumo papel'!D41</f>
        <v>0</v>
      </c>
      <c r="D7" s="15">
        <f>'Consumo papel'!E41</f>
        <v>60000.093216949143</v>
      </c>
      <c r="E7" s="15">
        <f>'Consumo papel'!F41</f>
        <v>178091.18577576289</v>
      </c>
      <c r="F7" s="15">
        <f>'Consumo papel'!G41</f>
        <v>374986.94622111041</v>
      </c>
      <c r="G7" s="15">
        <f>'Consumo papel'!H41</f>
        <v>518507.85101529374</v>
      </c>
      <c r="H7" s="15">
        <f>'Consumo papel'!I41</f>
        <v>705375.10724385909</v>
      </c>
      <c r="I7" s="15">
        <f>'Consumo papel'!J41</f>
        <v>947545.22155077709</v>
      </c>
      <c r="J7" s="15">
        <f>'Consumo papel'!K41</f>
        <v>1260131.8150588172</v>
      </c>
      <c r="K7" s="15">
        <f>'Consumo papel'!L41</f>
        <v>1180685.2611338473</v>
      </c>
      <c r="L7" s="15">
        <f>'Consumo papel'!M41</f>
        <v>1030514.814575111</v>
      </c>
      <c r="M7" s="15">
        <f>'Consumo papel'!N41</f>
        <v>857818.80103256425</v>
      </c>
    </row>
    <row r="8" spans="1:13" ht="30" x14ac:dyDescent="0.25">
      <c r="A8" s="13" t="s">
        <v>84</v>
      </c>
      <c r="B8" s="18">
        <f>NPV($B$18,D8:M8)</f>
        <v>9297403.0429152399</v>
      </c>
      <c r="C8" s="15">
        <f>'RRHH Manejo HC'!D43</f>
        <v>0</v>
      </c>
      <c r="D8" s="15">
        <f>'RRHH Manejo HC'!E43</f>
        <v>165681.81405367237</v>
      </c>
      <c r="E8" s="15">
        <f>'RRHH Manejo HC'!F43</f>
        <v>491773.7480774913</v>
      </c>
      <c r="F8" s="15">
        <f>'RRHH Manejo HC'!G43</f>
        <v>1035473.6828777133</v>
      </c>
      <c r="G8" s="15">
        <f>'RRHH Manejo HC'!H43</f>
        <v>1431786.4648419833</v>
      </c>
      <c r="H8" s="15">
        <f>'RRHH Manejo HC'!I43</f>
        <v>1947794.0964840488</v>
      </c>
      <c r="I8" s="15">
        <f>'RRHH Manejo HC'!J43</f>
        <v>2616512.7883513663</v>
      </c>
      <c r="J8" s="15">
        <f>'RRHH Manejo HC'!K43</f>
        <v>3479676.6783474577</v>
      </c>
      <c r="K8" s="15">
        <f>'RRHH Manejo HC'!L43</f>
        <v>3260296.199603742</v>
      </c>
      <c r="L8" s="15">
        <f>'RRHH Manejo HC'!M43</f>
        <v>2845621.6437970004</v>
      </c>
      <c r="M8" s="15">
        <f>'RRHH Manejo HC'!N43</f>
        <v>2368745.9046192477</v>
      </c>
    </row>
    <row r="9" spans="1:13" ht="30" x14ac:dyDescent="0.25">
      <c r="A9" s="13" t="s">
        <v>85</v>
      </c>
      <c r="B9" s="18">
        <f>NPV($B$18,D9:M9)</f>
        <v>1477564.9993155191</v>
      </c>
      <c r="C9" s="15">
        <f>'Consumo placas'!C43</f>
        <v>0</v>
      </c>
      <c r="D9" s="15">
        <f>'Consumo placas'!D43</f>
        <v>0</v>
      </c>
      <c r="E9" s="15">
        <f>'Consumo placas'!E43</f>
        <v>69310.984163709712</v>
      </c>
      <c r="F9" s="15">
        <f>'Consumo placas'!F43</f>
        <v>179348.4494946668</v>
      </c>
      <c r="G9" s="15">
        <f>'Consumo placas'!G43</f>
        <v>280962.50103086687</v>
      </c>
      <c r="H9" s="15">
        <f>'Consumo placas'!H43</f>
        <v>387857.08908256353</v>
      </c>
      <c r="I9" s="15">
        <f>'Consumo placas'!I43</f>
        <v>486504.53550561471</v>
      </c>
      <c r="J9" s="15">
        <f>'Consumo placas'!J43</f>
        <v>559480.21583145682</v>
      </c>
      <c r="K9" s="15">
        <f>'Consumo placas'!K43</f>
        <v>563948.67586061568</v>
      </c>
      <c r="L9" s="15">
        <f>'Consumo placas'!L43</f>
        <v>467786.66083970811</v>
      </c>
      <c r="M9" s="15">
        <f>'Consumo placas'!M43</f>
        <v>0</v>
      </c>
    </row>
    <row r="10" spans="1:13" x14ac:dyDescent="0.25">
      <c r="A10" s="11" t="s">
        <v>86</v>
      </c>
      <c r="B10" s="22">
        <f>NPV($B$18,D10:J10)+C10</f>
        <v>8929056.085726779</v>
      </c>
      <c r="C10" s="12">
        <f>SUM(C11:C12)</f>
        <v>0</v>
      </c>
      <c r="D10" s="12">
        <f t="shared" ref="D10:J10" si="1">SUM(D11:D12)</f>
        <v>1006000</v>
      </c>
      <c r="E10" s="12">
        <f t="shared" si="1"/>
        <v>2446000</v>
      </c>
      <c r="F10" s="12">
        <f t="shared" si="1"/>
        <v>1950000</v>
      </c>
      <c r="G10" s="12">
        <f t="shared" si="1"/>
        <v>1598000</v>
      </c>
      <c r="H10" s="12">
        <f t="shared" si="1"/>
        <v>3338000</v>
      </c>
      <c r="I10" s="12">
        <f t="shared" si="1"/>
        <v>2336000</v>
      </c>
      <c r="J10" s="12">
        <f t="shared" si="1"/>
        <v>1326000</v>
      </c>
      <c r="K10" s="1"/>
    </row>
    <row r="11" spans="1:13" x14ac:dyDescent="0.25">
      <c r="A11" s="13" t="s">
        <v>87</v>
      </c>
      <c r="B11" s="14"/>
      <c r="C11" s="15">
        <f>Costos!B7</f>
        <v>0</v>
      </c>
      <c r="D11" s="15">
        <f>Costos!C7</f>
        <v>756000</v>
      </c>
      <c r="E11" s="15">
        <f>Costos!D7</f>
        <v>2196000</v>
      </c>
      <c r="F11" s="15">
        <f>Costos!E7</f>
        <v>1700000</v>
      </c>
      <c r="G11" s="15">
        <f>Costos!F7</f>
        <v>1348000</v>
      </c>
      <c r="H11" s="15">
        <f>Costos!G7</f>
        <v>2983000</v>
      </c>
      <c r="I11" s="15">
        <f>Costos!H7</f>
        <v>1840000</v>
      </c>
      <c r="J11" s="15">
        <f>Costos!I7</f>
        <v>1177000</v>
      </c>
    </row>
    <row r="12" spans="1:13" x14ac:dyDescent="0.25">
      <c r="A12" s="13" t="s">
        <v>88</v>
      </c>
      <c r="B12" s="14"/>
      <c r="C12" s="15">
        <f>Costos!B8</f>
        <v>0</v>
      </c>
      <c r="D12" s="15">
        <f>Costos!C8</f>
        <v>250000</v>
      </c>
      <c r="E12" s="15">
        <f>Costos!D8</f>
        <v>250000</v>
      </c>
      <c r="F12" s="15">
        <f>Costos!E8</f>
        <v>250000</v>
      </c>
      <c r="G12" s="15">
        <f>Costos!F8</f>
        <v>250000</v>
      </c>
      <c r="H12" s="15">
        <f>Costos!G8</f>
        <v>355000</v>
      </c>
      <c r="I12" s="15">
        <f>Costos!H8</f>
        <v>496000</v>
      </c>
      <c r="J12" s="15">
        <f>Costos!I8</f>
        <v>149000</v>
      </c>
    </row>
    <row r="13" spans="1:13" x14ac:dyDescent="0.25">
      <c r="A13" s="11" t="s">
        <v>89</v>
      </c>
      <c r="B13" s="11"/>
      <c r="C13" s="12">
        <f t="shared" ref="C13:M13" si="2">+C6-C10</f>
        <v>0</v>
      </c>
      <c r="D13" s="12">
        <f t="shared" si="2"/>
        <v>-780318.09272937849</v>
      </c>
      <c r="E13" s="12">
        <f t="shared" si="2"/>
        <v>-1706824.0819830361</v>
      </c>
      <c r="F13" s="12">
        <f t="shared" si="2"/>
        <v>-360190.92140650935</v>
      </c>
      <c r="G13" s="12">
        <f t="shared" si="2"/>
        <v>633256.81688814377</v>
      </c>
      <c r="H13" s="12">
        <f t="shared" si="2"/>
        <v>-296973.70718952827</v>
      </c>
      <c r="I13" s="12">
        <f t="shared" si="2"/>
        <v>1714562.5454077581</v>
      </c>
      <c r="J13" s="12">
        <f t="shared" si="2"/>
        <v>3973288.709237732</v>
      </c>
      <c r="K13" s="12">
        <f t="shared" si="2"/>
        <v>5004930.1365982052</v>
      </c>
      <c r="L13" s="12">
        <f t="shared" si="2"/>
        <v>4343923.11921182</v>
      </c>
      <c r="M13" s="12">
        <f t="shared" si="2"/>
        <v>3226564.7056518118</v>
      </c>
    </row>
    <row r="14" spans="1:13" x14ac:dyDescent="0.25">
      <c r="A14" s="16"/>
      <c r="B14" s="17"/>
      <c r="C14" s="18"/>
      <c r="D14" s="18"/>
      <c r="E14" s="18"/>
      <c r="F14" s="18"/>
      <c r="G14" s="18"/>
      <c r="H14" s="18"/>
      <c r="I14" s="18"/>
      <c r="J14" s="18"/>
    </row>
    <row r="15" spans="1:13" x14ac:dyDescent="0.25">
      <c r="A15" s="16" t="s">
        <v>90</v>
      </c>
      <c r="B15" s="22">
        <f>NPV($B$18,D13:M13)+C13</f>
        <v>5212878.0441021537</v>
      </c>
      <c r="C15" s="18"/>
      <c r="D15" s="18"/>
      <c r="E15" s="18"/>
      <c r="F15" s="18"/>
      <c r="G15" s="18"/>
      <c r="H15" s="18"/>
      <c r="I15" s="18"/>
      <c r="J15" s="18"/>
    </row>
    <row r="16" spans="1:13" x14ac:dyDescent="0.25">
      <c r="A16" s="19" t="s">
        <v>91</v>
      </c>
      <c r="B16" s="22">
        <f>B15/B10</f>
        <v>0.5838106507624039</v>
      </c>
      <c r="C16" s="20"/>
      <c r="D16" s="20"/>
      <c r="E16" s="20"/>
      <c r="F16" s="20"/>
      <c r="G16" s="20"/>
      <c r="H16" s="20"/>
      <c r="I16" s="20"/>
      <c r="J16" s="20"/>
    </row>
    <row r="17" spans="1:13" x14ac:dyDescent="0.25">
      <c r="A17" s="36" t="s">
        <v>92</v>
      </c>
      <c r="B17" s="47">
        <f>IRR(C13:M13,0.3)</f>
        <v>0.36917517522044863</v>
      </c>
      <c r="C17" s="21"/>
      <c r="D17" s="21"/>
      <c r="E17" s="21"/>
      <c r="F17" s="21"/>
      <c r="G17" s="21"/>
      <c r="H17" s="21"/>
      <c r="I17" s="21"/>
      <c r="J17" s="21"/>
    </row>
    <row r="18" spans="1:13" x14ac:dyDescent="0.25">
      <c r="A18" s="24" t="s">
        <v>34</v>
      </c>
      <c r="B18" s="25">
        <f>'Consumo papel'!C43</f>
        <v>0.12</v>
      </c>
      <c r="C18" s="21"/>
      <c r="D18" s="21"/>
      <c r="E18" s="21"/>
      <c r="F18" s="21"/>
      <c r="G18" s="21"/>
      <c r="H18" s="21"/>
      <c r="I18" s="21"/>
      <c r="J18" s="21"/>
    </row>
    <row r="19" spans="1:13" x14ac:dyDescent="0.25">
      <c r="A19" s="74"/>
      <c r="B19" s="75"/>
      <c r="C19" s="21"/>
      <c r="D19" s="21"/>
      <c r="E19" s="21"/>
      <c r="F19" s="21"/>
      <c r="G19" s="21"/>
      <c r="H19" s="21"/>
      <c r="I19" s="21"/>
      <c r="J19" s="21"/>
    </row>
    <row r="20" spans="1:13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3" ht="15.75" x14ac:dyDescent="0.25">
      <c r="A21" s="76" t="s">
        <v>117</v>
      </c>
      <c r="B21" s="70"/>
    </row>
    <row r="22" spans="1:13" x14ac:dyDescent="0.25">
      <c r="H22" s="10">
        <v>2018</v>
      </c>
      <c r="I22" s="10">
        <v>2019</v>
      </c>
      <c r="J22" s="10">
        <v>2020</v>
      </c>
      <c r="K22" s="73">
        <v>2021</v>
      </c>
      <c r="L22" s="73">
        <v>2022</v>
      </c>
      <c r="M22" s="73">
        <v>2023</v>
      </c>
    </row>
    <row r="23" spans="1:13" x14ac:dyDescent="0.25">
      <c r="A23" s="11" t="s">
        <v>82</v>
      </c>
      <c r="B23" s="12">
        <f>NPV($B$18,H23:M23)+G23</f>
        <v>10204851.21595596</v>
      </c>
      <c r="H23" s="38">
        <f>SUM(H24:H26)</f>
        <v>572206.27273470594</v>
      </c>
      <c r="I23" s="38">
        <f t="shared" ref="I23:M23" si="3">SUM(I24:I26)</f>
        <v>1211419.5223206277</v>
      </c>
      <c r="J23" s="38">
        <f t="shared" si="3"/>
        <v>2034274.2326875336</v>
      </c>
      <c r="K23" s="38">
        <f t="shared" si="3"/>
        <v>5004930.1365982052</v>
      </c>
      <c r="L23" s="38">
        <f t="shared" si="3"/>
        <v>4343923.11921182</v>
      </c>
      <c r="M23" s="38">
        <f t="shared" si="3"/>
        <v>3226564.7056518118</v>
      </c>
    </row>
    <row r="24" spans="1:13" x14ac:dyDescent="0.25">
      <c r="A24" s="13" t="s">
        <v>83</v>
      </c>
      <c r="B24" s="12">
        <f t="shared" ref="B24:B26" si="4">NPV($B$18,H24:M24)+G24</f>
        <v>2411446.4968150645</v>
      </c>
      <c r="H24" s="37">
        <f>'Consumo papel'!I47</f>
        <v>109091.07857627129</v>
      </c>
      <c r="I24" s="37">
        <f>'Consumo papel'!J47</f>
        <v>261818.58858305108</v>
      </c>
      <c r="J24" s="37">
        <f>'Consumo papel'!K47</f>
        <v>471546.18714593275</v>
      </c>
      <c r="K24" s="37">
        <f>'Consumo papel'!L47</f>
        <v>1180685.2611338473</v>
      </c>
      <c r="L24" s="37">
        <f>'Consumo papel'!M47</f>
        <v>1030514.814575111</v>
      </c>
      <c r="M24" s="37">
        <f>'Consumo papel'!N47</f>
        <v>857818.80103256425</v>
      </c>
    </row>
    <row r="25" spans="1:13" ht="30" x14ac:dyDescent="0.25">
      <c r="A25" s="13" t="s">
        <v>84</v>
      </c>
      <c r="B25" s="12">
        <f t="shared" si="4"/>
        <v>6658870.1561022038</v>
      </c>
      <c r="H25" s="37">
        <f>'RRHH Manejo HC'!I49</f>
        <v>301239.661915768</v>
      </c>
      <c r="I25" s="37">
        <f>'RRHH Manejo HC'!J49</f>
        <v>722975.18859784328</v>
      </c>
      <c r="J25" s="37">
        <f>'RRHH Manejo HC'!K49</f>
        <v>1302108.4386309076</v>
      </c>
      <c r="K25" s="37">
        <f>'RRHH Manejo HC'!L49</f>
        <v>3260296.199603742</v>
      </c>
      <c r="L25" s="37">
        <f>'RRHH Manejo HC'!M49</f>
        <v>2845621.6437970004</v>
      </c>
      <c r="M25" s="37">
        <f>'RRHH Manejo HC'!N49</f>
        <v>2368745.9046192477</v>
      </c>
    </row>
    <row r="26" spans="1:13" ht="30" x14ac:dyDescent="0.25">
      <c r="A26" s="13" t="s">
        <v>85</v>
      </c>
      <c r="B26" s="12">
        <f t="shared" si="4"/>
        <v>1134534.5630386926</v>
      </c>
      <c r="H26" s="37">
        <f>'Consumo placas'!H50</f>
        <v>161875.53224266664</v>
      </c>
      <c r="I26" s="37">
        <f>'Consumo placas'!I50</f>
        <v>226625.74513973328</v>
      </c>
      <c r="J26" s="37">
        <f>'Consumo placas'!J50</f>
        <v>260619.60691069323</v>
      </c>
      <c r="K26" s="37">
        <f>'Consumo placas'!K50</f>
        <v>563948.67586061568</v>
      </c>
      <c r="L26" s="37">
        <f>'Consumo placas'!L50</f>
        <v>467786.66083970811</v>
      </c>
      <c r="M26" s="37">
        <f>'Consumo placas'!M50</f>
        <v>0</v>
      </c>
    </row>
    <row r="27" spans="1:13" x14ac:dyDescent="0.25">
      <c r="A27" s="11" t="s">
        <v>86</v>
      </c>
      <c r="B27" s="12">
        <f>NPV($B$18,H27:J27)+G27</f>
        <v>5786422.6494169086</v>
      </c>
      <c r="G27" s="71">
        <f>SUM(G28:G29)</f>
        <v>0</v>
      </c>
      <c r="H27" s="37">
        <f t="shared" ref="H27:J27" si="5">SUM(H28:H29)</f>
        <v>3338000</v>
      </c>
      <c r="I27" s="37">
        <f t="shared" si="5"/>
        <v>2336000</v>
      </c>
      <c r="J27" s="37">
        <f t="shared" si="5"/>
        <v>1326000</v>
      </c>
      <c r="K27" s="37"/>
      <c r="L27" s="37"/>
      <c r="M27" s="37"/>
    </row>
    <row r="28" spans="1:13" x14ac:dyDescent="0.25">
      <c r="A28" s="13" t="s">
        <v>87</v>
      </c>
      <c r="B28" s="71"/>
      <c r="G28" s="71"/>
      <c r="H28" s="37">
        <f>Costos!G7</f>
        <v>2983000</v>
      </c>
      <c r="I28" s="37">
        <f>Costos!H7</f>
        <v>1840000</v>
      </c>
      <c r="J28" s="37">
        <f>Costos!I7</f>
        <v>1177000</v>
      </c>
      <c r="K28" s="37"/>
      <c r="L28" s="37"/>
      <c r="M28" s="37"/>
    </row>
    <row r="29" spans="1:13" x14ac:dyDescent="0.25">
      <c r="A29" s="13" t="s">
        <v>88</v>
      </c>
      <c r="B29" s="71"/>
      <c r="G29" s="71"/>
      <c r="H29" s="37">
        <f>Costos!G8</f>
        <v>355000</v>
      </c>
      <c r="I29" s="37">
        <f>Costos!H8</f>
        <v>496000</v>
      </c>
      <c r="J29" s="37">
        <f>Costos!I8</f>
        <v>149000</v>
      </c>
      <c r="K29" s="37"/>
      <c r="L29" s="37"/>
      <c r="M29" s="37"/>
    </row>
    <row r="30" spans="1:13" x14ac:dyDescent="0.25">
      <c r="A30" s="11" t="s">
        <v>89</v>
      </c>
      <c r="B30" s="71"/>
      <c r="G30" s="71">
        <f>G23-G27</f>
        <v>0</v>
      </c>
      <c r="H30" s="37">
        <f t="shared" ref="H30:M30" si="6">H23-H27</f>
        <v>-2765793.7272652942</v>
      </c>
      <c r="I30" s="37">
        <f t="shared" si="6"/>
        <v>-1124580.4776793723</v>
      </c>
      <c r="J30" s="37">
        <f t="shared" si="6"/>
        <v>708274.2326875336</v>
      </c>
      <c r="K30" s="37">
        <f t="shared" si="6"/>
        <v>5004930.1365982052</v>
      </c>
      <c r="L30" s="37">
        <f t="shared" si="6"/>
        <v>4343923.11921182</v>
      </c>
      <c r="M30" s="37">
        <f t="shared" si="6"/>
        <v>3226564.7056518118</v>
      </c>
    </row>
    <row r="31" spans="1:13" x14ac:dyDescent="0.25">
      <c r="A31" s="16"/>
      <c r="B31" s="71"/>
    </row>
    <row r="32" spans="1:13" x14ac:dyDescent="0.25">
      <c r="A32" s="16" t="s">
        <v>90</v>
      </c>
      <c r="B32" s="12">
        <f>NPV($B$18,H29:M30)+G30</f>
        <v>3963377.8859408102</v>
      </c>
    </row>
    <row r="33" spans="1:2" x14ac:dyDescent="0.25">
      <c r="A33" s="19" t="s">
        <v>91</v>
      </c>
      <c r="B33" s="22">
        <f>B32/B27</f>
        <v>0.68494441662331651</v>
      </c>
    </row>
    <row r="34" spans="1:2" x14ac:dyDescent="0.25">
      <c r="A34" s="36" t="s">
        <v>92</v>
      </c>
      <c r="B34" s="47">
        <f>IRR(G30:M30,0.5)</f>
        <v>0.44028894738349367</v>
      </c>
    </row>
    <row r="35" spans="1:2" x14ac:dyDescent="0.25">
      <c r="A35" s="24" t="s">
        <v>34</v>
      </c>
      <c r="B35" s="2">
        <f>B18</f>
        <v>0.12</v>
      </c>
    </row>
    <row r="37" spans="1:2" x14ac:dyDescent="0.25">
      <c r="B37" s="55"/>
    </row>
  </sheetData>
  <mergeCells count="2">
    <mergeCell ref="A1:D1"/>
    <mergeCell ref="A4:B4"/>
  </mergeCells>
  <pageMargins left="0.7" right="0.7" top="0.75" bottom="0.7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785AB60407186243895F6A726C2E306A" ma:contentTypeVersion="22" ma:contentTypeDescription="A content type to manage public (operations) IDB documents" ma:contentTypeScope="" ma:versionID="0bde1456fe3ab91dfb38c0a6f990eeb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bcea056ba81274f896f5e7327bdd1ee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 - Simultaneous Disclosure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Uruguay</TermName>
          <TermId xmlns="http://schemas.microsoft.com/office/infopath/2007/PartnerControls">5d9b6fdd-d595-4446-a0eb-c14b465f6d0e</TermId>
        </TermInfo>
      </Terms>
    </ic46d7e087fd4a108fb86518ca413cc6>
    <IDBDocs_x0020_Number xmlns="cdc7663a-08f0-4737-9e8c-148ce897a09c" xsi:nil="true"/>
    <Division_x0020_or_x0020_Unit xmlns="cdc7663a-08f0-4737-9e8c-148ce897a09c">IFD/ICS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Monitoring and Reporting</TermName>
          <TermId xmlns="http://schemas.microsoft.com/office/infopath/2007/PartnerControls">df3c2aa1-d63e-41aa-b1f5-bb15dee691ca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 xsi:nil="true"/>
    <Phase xmlns="cdc7663a-08f0-4737-9e8c-148ce897a09c">ACTIVE</Phase>
    <Document_x0020_Author xmlns="cdc7663a-08f0-4737-9e8c-148ce897a09c">Gonzalez, Melissa Maria Laura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E-GOVERNMENT</TermName>
          <TermId xmlns="http://schemas.microsoft.com/office/infopath/2007/PartnerControls">281505e9-fdf9-47b0-b36a-d5df63f0fdea</TermId>
        </TermInfo>
      </Terms>
    </b2ec7cfb18674cb8803df6b262e8b107>
    <Business_x0020_Area xmlns="cdc7663a-08f0-4737-9e8c-148ce897a09c">Life Cycle</Business_x0020_Area>
    <Key_x0020_Document xmlns="cdc7663a-08f0-4737-9e8c-148ce897a09c">false</Key_x0020_Document>
    <Document_x0020_Language_x0020_IDB xmlns="cdc7663a-08f0-4737-9e8c-148ce897a09c">English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TaxCatchAll xmlns="cdc7663a-08f0-4737-9e8c-148ce897a09c">
      <Value>41</Value>
      <Value>40</Value>
      <Value>32</Value>
      <Value>30</Value>
      <Value>2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UR-L1143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REFORM / MODERNIZATION OF THE STATE</TermName>
          <TermId xmlns="http://schemas.microsoft.com/office/infopath/2007/PartnerControls">c8fda4a7-691a-4c65-b227-9825197b5cd2</TermId>
        </TermInfo>
      </Terms>
    </nddeef1749674d76abdbe4b239a70bc6>
    <Record_x0020_Number xmlns="cdc7663a-08f0-4737-9e8c-148ce897a09c">R0000485747</Record_x0020_Number>
    <_dlc_DocId xmlns="cdc7663a-08f0-4737-9e8c-148ce897a09c">EZSHARE-775961652-23</_dlc_DocId>
    <_dlc_DocIdUrl xmlns="cdc7663a-08f0-4737-9e8c-148ce897a09c">
      <Url>https://idbg.sharepoint.com/teams/EZ-UR-LON/UR-L1143/_layouts/15/DocIdRedir.aspx?ID=EZSHARE-775961652-23</Url>
      <Description>EZSHARE-775961652-23</Description>
    </_dlc_DocIdUrl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72AA0E4C6876DC4BBDE3FB2686046BEB" ma:contentTypeVersion="16" ma:contentTypeDescription="The base project type from which other project content types inherit their information." ma:contentTypeScope="" ma:versionID="7e59fe0fbd429e1fb79e456a73187c93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f999e881e15e4ad31e626ab70ba37c33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B21019-55BF-4ED5-9717-12A54A8778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0D830D-1450-4964-B358-ED6B4F9CD21E}"/>
</file>

<file path=customXml/itemProps3.xml><?xml version="1.0" encoding="utf-8"?>
<ds:datastoreItem xmlns:ds="http://schemas.openxmlformats.org/officeDocument/2006/customXml" ds:itemID="{B6C1BC54-1317-4D77-99A9-90B9372F6720}"/>
</file>

<file path=customXml/itemProps4.xml><?xml version="1.0" encoding="utf-8"?>
<ds:datastoreItem xmlns:ds="http://schemas.openxmlformats.org/officeDocument/2006/customXml" ds:itemID="{C97FF6A4-2F4A-42A5-BEFE-3BFA341962F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9B0FA99-340C-46E0-8549-D886F8D75086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dc7663a-08f0-4737-9e8c-148ce897a09c"/>
    <ds:schemaRef ds:uri="http://www.w3.org/XML/1998/namespace"/>
  </ds:schemaRefs>
</ds:datastoreItem>
</file>

<file path=customXml/itemProps6.xml><?xml version="1.0" encoding="utf-8"?>
<ds:datastoreItem xmlns:ds="http://schemas.openxmlformats.org/officeDocument/2006/customXml" ds:itemID="{BCA241AD-9CD5-4925-868E-CC31BA6D3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7663a-08f0-4737-9e8c-148ce897a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Consumo papel</vt:lpstr>
      <vt:lpstr>RRHH Manejo HC</vt:lpstr>
      <vt:lpstr>Consumo placas</vt:lpstr>
      <vt:lpstr>Costos</vt:lpstr>
      <vt:lpstr>Resumen</vt:lpstr>
      <vt:lpstr>'Consumo papel'!Print_Area</vt:lpstr>
      <vt:lpstr>'Consumo placas'!Print_Area</vt:lpstr>
      <vt:lpstr>Resumen!Print_Area</vt:lpstr>
      <vt:lpstr>'RRHH Manejo HC'!Print_Area</vt:lpstr>
    </vt:vector>
  </TitlesOfParts>
  <Manager/>
  <Company>Inter-American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RobertoFe</dc:creator>
  <cp:keywords/>
  <dc:description/>
  <cp:lastModifiedBy>Hoffman, Nathalie Alexandra</cp:lastModifiedBy>
  <cp:revision/>
  <cp:lastPrinted>2017-07-26T16:09:48Z</cp:lastPrinted>
  <dcterms:created xsi:type="dcterms:W3CDTF">2013-07-28T23:15:10Z</dcterms:created>
  <dcterms:modified xsi:type="dcterms:W3CDTF">2017-08-04T17:27:38Z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Function Operations IDB">
    <vt:lpwstr>2;#Monitoring and Reporting|df3c2aa1-d63e-41aa-b1f5-bb15dee691ca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Series Operations IDB">
    <vt:lpwstr/>
  </property>
  <property fmtid="{D5CDD505-2E9C-101B-9397-08002B2CF9AE}" pid="7" name="Sub-Sector">
    <vt:lpwstr>41;#E-GOVERNMENT|281505e9-fdf9-47b0-b36a-d5df63f0fdea</vt:lpwstr>
  </property>
  <property fmtid="{D5CDD505-2E9C-101B-9397-08002B2CF9AE}" pid="8" name="Fund IDB">
    <vt:lpwstr>30;#ORC|c028a4b2-ad8b-4cf4-9cac-a2ae6a778e23</vt:lpwstr>
  </property>
  <property fmtid="{D5CDD505-2E9C-101B-9397-08002B2CF9AE}" pid="9" name="Country">
    <vt:lpwstr>32;#Uruguay|5d9b6fdd-d595-4446-a0eb-c14b465f6d0e</vt:lpwstr>
  </property>
  <property fmtid="{D5CDD505-2E9C-101B-9397-08002B2CF9AE}" pid="10" name="Sector IDB">
    <vt:lpwstr>40;#REFORM / MODERNIZATION OF THE STATE|c8fda4a7-691a-4c65-b227-9825197b5cd2</vt:lpwstr>
  </property>
  <property fmtid="{D5CDD505-2E9C-101B-9397-08002B2CF9AE}" pid="11" name="_dlc_DocIdItemGuid">
    <vt:lpwstr>189b8035-c16d-4c22-89a7-9c42516dbd2c</vt:lpwstr>
  </property>
  <property fmtid="{D5CDD505-2E9C-101B-9397-08002B2CF9AE}" pid="12" name="ContentTypeId">
    <vt:lpwstr>0x0101001A458A224826124E8B45B1D613300CFC00785AB60407186243895F6A726C2E306A</vt:lpwstr>
  </property>
</Properties>
</file>