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cha\Desktop\Proyectos\AR-L1267\LP\D2S\"/>
    </mc:Choice>
  </mc:AlternateContent>
  <bookViews>
    <workbookView xWindow="0" yWindow="0" windowWidth="8592" windowHeight="3864"/>
  </bookViews>
  <sheets>
    <sheet name="Cuadro de costos" sheetId="1" r:id="rId1"/>
    <sheet name="Cuadro costos anuales" sheetId="4" r:id="rId2"/>
    <sheet name="PEP" sheetId="6" r:id="rId3"/>
  </sheets>
  <calcPr calcId="171027"/>
</workbook>
</file>

<file path=xl/calcChain.xml><?xml version="1.0" encoding="utf-8"?>
<calcChain xmlns="http://schemas.openxmlformats.org/spreadsheetml/2006/main">
  <c r="O16" i="6" l="1"/>
  <c r="S10" i="6"/>
  <c r="I16" i="6"/>
  <c r="S8" i="6"/>
  <c r="F16" i="6"/>
  <c r="R8" i="6"/>
  <c r="D16" i="6"/>
  <c r="S12" i="6"/>
  <c r="S15" i="6"/>
  <c r="S13" i="6"/>
  <c r="G16" i="6"/>
  <c r="J16" i="6"/>
  <c r="M16" i="6"/>
  <c r="P16" i="6"/>
  <c r="A9" i="6"/>
  <c r="A13" i="6"/>
  <c r="A14" i="6"/>
  <c r="A15" i="6"/>
  <c r="A12" i="6"/>
  <c r="A11" i="6"/>
  <c r="A10" i="6"/>
  <c r="R10" i="6" l="1"/>
  <c r="L16" i="6"/>
  <c r="S9" i="6"/>
  <c r="S14" i="6"/>
  <c r="R14" i="6"/>
  <c r="R12" i="6"/>
  <c r="R15" i="6"/>
  <c r="R11" i="6"/>
  <c r="R13" i="6"/>
  <c r="R9" i="6"/>
  <c r="C16" i="6"/>
  <c r="S11" i="6"/>
  <c r="S16" i="6" s="1"/>
  <c r="C9" i="4"/>
  <c r="E15" i="6" s="1"/>
  <c r="D9" i="4"/>
  <c r="H15" i="6" s="1"/>
  <c r="E9" i="4"/>
  <c r="K15" i="6" s="1"/>
  <c r="F9" i="4"/>
  <c r="N15" i="6" s="1"/>
  <c r="Q15" i="6" s="1"/>
  <c r="C8" i="4"/>
  <c r="E14" i="6" s="1"/>
  <c r="D8" i="4"/>
  <c r="H14" i="6" s="1"/>
  <c r="E8" i="4"/>
  <c r="K14" i="6" s="1"/>
  <c r="F8" i="4"/>
  <c r="N14" i="6" s="1"/>
  <c r="Q14" i="6" s="1"/>
  <c r="C7" i="4"/>
  <c r="E13" i="6" s="1"/>
  <c r="D7" i="4"/>
  <c r="H13" i="6" s="1"/>
  <c r="E7" i="4"/>
  <c r="K13" i="6" s="1"/>
  <c r="F7" i="4"/>
  <c r="N13" i="6" s="1"/>
  <c r="Q13" i="6" s="1"/>
  <c r="C6" i="4"/>
  <c r="E12" i="6" s="1"/>
  <c r="D6" i="4"/>
  <c r="H12" i="6" s="1"/>
  <c r="E6" i="4"/>
  <c r="K12" i="6" s="1"/>
  <c r="F6" i="4"/>
  <c r="N12" i="6" s="1"/>
  <c r="Q12" i="6" s="1"/>
  <c r="C5" i="4"/>
  <c r="E11" i="6" s="1"/>
  <c r="D5" i="4"/>
  <c r="H11" i="6" s="1"/>
  <c r="E5" i="4"/>
  <c r="K11" i="6" s="1"/>
  <c r="F5" i="4"/>
  <c r="N11" i="6" s="1"/>
  <c r="Q11" i="6" s="1"/>
  <c r="B9" i="4"/>
  <c r="B15" i="6" s="1"/>
  <c r="B8" i="4"/>
  <c r="B14" i="6" s="1"/>
  <c r="B7" i="4"/>
  <c r="B13" i="6" s="1"/>
  <c r="B6" i="4"/>
  <c r="B12" i="6" s="1"/>
  <c r="B5" i="4"/>
  <c r="B11" i="6" s="1"/>
  <c r="C4" i="4"/>
  <c r="E10" i="6" s="1"/>
  <c r="D4" i="4"/>
  <c r="H10" i="6" s="1"/>
  <c r="E4" i="4"/>
  <c r="K10" i="6" s="1"/>
  <c r="F4" i="4"/>
  <c r="N10" i="6" s="1"/>
  <c r="B4" i="4"/>
  <c r="B10" i="6" s="1"/>
  <c r="C3" i="4"/>
  <c r="E9" i="6" s="1"/>
  <c r="D3" i="4"/>
  <c r="H9" i="6" s="1"/>
  <c r="E3" i="4"/>
  <c r="F3" i="4"/>
  <c r="N9" i="6" s="1"/>
  <c r="B3" i="4"/>
  <c r="B9" i="6" s="1"/>
  <c r="C2" i="4"/>
  <c r="E8" i="6" s="1"/>
  <c r="E16" i="6" s="1"/>
  <c r="D2" i="4"/>
  <c r="H8" i="6" s="1"/>
  <c r="H16" i="6" s="1"/>
  <c r="E2" i="4"/>
  <c r="K8" i="6" s="1"/>
  <c r="K16" i="6" s="1"/>
  <c r="F2" i="4"/>
  <c r="N8" i="6" s="1"/>
  <c r="Q8" i="6" s="1"/>
  <c r="Q16" i="6" s="1"/>
  <c r="B2" i="4"/>
  <c r="B8" i="6" s="1"/>
  <c r="B16" i="6" s="1"/>
  <c r="G3" i="4"/>
  <c r="G4" i="4"/>
  <c r="G2" i="4"/>
  <c r="G6" i="4"/>
  <c r="G7" i="4"/>
  <c r="G8" i="4"/>
  <c r="G9" i="4"/>
  <c r="G5" i="4"/>
  <c r="N16" i="6" l="1"/>
  <c r="L4" i="4"/>
  <c r="L6" i="4"/>
  <c r="L3" i="4"/>
  <c r="K9" i="6"/>
  <c r="Q9" i="6" s="1"/>
  <c r="Q10" i="6"/>
  <c r="R16" i="6"/>
  <c r="L9" i="4"/>
  <c r="L7" i="4"/>
  <c r="L5" i="4"/>
  <c r="L2" i="4"/>
  <c r="L8" i="4"/>
  <c r="F5" i="1"/>
  <c r="F6" i="1"/>
  <c r="F7" i="1"/>
  <c r="F8" i="1"/>
  <c r="F9" i="1"/>
  <c r="E5" i="1"/>
  <c r="E6" i="1"/>
  <c r="E7" i="1"/>
  <c r="E8" i="1"/>
  <c r="E9" i="1"/>
  <c r="E10" i="1"/>
  <c r="D5" i="1"/>
  <c r="C5" i="1"/>
  <c r="C10" i="1" s="1"/>
  <c r="B5" i="1"/>
  <c r="B10" i="1" s="1"/>
  <c r="D7" i="1"/>
  <c r="D8" i="1"/>
  <c r="D6" i="1"/>
  <c r="F3" i="1"/>
  <c r="F4" i="1"/>
  <c r="E3" i="1"/>
  <c r="E4" i="1"/>
  <c r="F2" i="1"/>
  <c r="E2" i="1"/>
  <c r="C2" i="1"/>
  <c r="D2" i="1"/>
  <c r="D4" i="1"/>
  <c r="D3" i="1"/>
  <c r="B2" i="1"/>
  <c r="D10" i="1" l="1"/>
  <c r="F10" i="1" s="1"/>
  <c r="I9" i="4" l="1"/>
  <c r="H9" i="4"/>
  <c r="I8" i="4"/>
  <c r="H8" i="4"/>
  <c r="I7" i="4"/>
  <c r="H7" i="4"/>
  <c r="I6" i="4"/>
  <c r="H6" i="4"/>
  <c r="I4" i="4"/>
  <c r="H4" i="4"/>
  <c r="I3" i="4"/>
  <c r="H3" i="4"/>
  <c r="G10" i="4" l="1"/>
  <c r="C10" i="4" s="1"/>
  <c r="I2" i="4"/>
  <c r="H5" i="4"/>
  <c r="J5" i="4" s="1"/>
  <c r="I5" i="4"/>
  <c r="K5" i="4" s="1"/>
  <c r="H2" i="4"/>
  <c r="I10" i="4" l="1"/>
  <c r="K10" i="4" s="1"/>
  <c r="H10" i="4"/>
  <c r="J10" i="4" s="1"/>
</calcChain>
</file>

<file path=xl/sharedStrings.xml><?xml version="1.0" encoding="utf-8"?>
<sst xmlns="http://schemas.openxmlformats.org/spreadsheetml/2006/main" count="59" uniqueCount="32">
  <si>
    <t xml:space="preserve">Banco </t>
  </si>
  <si>
    <t xml:space="preserve">Fuente local </t>
  </si>
  <si>
    <t xml:space="preserve">% Banco </t>
  </si>
  <si>
    <t>% Fuente local</t>
  </si>
  <si>
    <t>Componente 1. Obras electromecánicas y civiles, equipos y supervisión técnica</t>
  </si>
  <si>
    <t xml:space="preserve">Obras electromecánicas y civiles, equipos </t>
  </si>
  <si>
    <t>Adquisición de software OpenTrack ® y capacitación</t>
  </si>
  <si>
    <t>Total del programa</t>
  </si>
  <si>
    <t>Componente 2. Fortalecimiento institucional</t>
  </si>
  <si>
    <t xml:space="preserve">Estudios y pre-inversión </t>
  </si>
  <si>
    <t>Supervisión tecnica integral</t>
  </si>
  <si>
    <t>Administración, gerenciamiento y auditoria</t>
  </si>
  <si>
    <t>Estudio de actualización de normativa sobre operación ferroviaria</t>
  </si>
  <si>
    <t>BID</t>
  </si>
  <si>
    <t>s</t>
  </si>
  <si>
    <t>Adquisición de software OpenTrack y capacitación</t>
  </si>
  <si>
    <t>Administración, gerenciamiento y auditoría</t>
  </si>
  <si>
    <t>,</t>
  </si>
  <si>
    <t>Total Programa</t>
  </si>
  <si>
    <t>Total</t>
  </si>
  <si>
    <t>Descripción</t>
  </si>
  <si>
    <t xml:space="preserve">Local </t>
  </si>
  <si>
    <t>Plan de Ejecución del Proyecto</t>
  </si>
  <si>
    <t>PROYECTO DE MEJORA DEL FERROCARRIL GRAL. SAN MARTIN: RAMAL RETIRO-PILAR (AR-L1267)</t>
  </si>
  <si>
    <t>2018 (US$)</t>
  </si>
  <si>
    <t>2019 (US$)</t>
  </si>
  <si>
    <t>2020 (US$)</t>
  </si>
  <si>
    <t>2021 (US$)</t>
  </si>
  <si>
    <t>2022 (US$)</t>
  </si>
  <si>
    <t>Monto total (US$)</t>
  </si>
  <si>
    <t>Banco (US$)</t>
  </si>
  <si>
    <t>Fuente local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</si>
</sst>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1"/>
      <name val="Calibri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0" borderId="1" xfId="1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9" fontId="3" fillId="0" borderId="1" xfId="1" applyFont="1" applyBorder="1"/>
    <xf numFmtId="9" fontId="2" fillId="0" borderId="1" xfId="0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9" fontId="2" fillId="2" borderId="1" xfId="1" applyFont="1" applyFill="1" applyBorder="1"/>
    <xf numFmtId="2" fontId="0" fillId="0" borderId="0" xfId="0" applyNumberFormat="1"/>
    <xf numFmtId="43" fontId="0" fillId="0" borderId="0" xfId="0" applyNumberFormat="1"/>
    <xf numFmtId="165" fontId="2" fillId="0" borderId="1" xfId="2" applyNumberFormat="1" applyFont="1" applyBorder="1"/>
    <xf numFmtId="165" fontId="2" fillId="0" borderId="1" xfId="2" applyNumberFormat="1" applyFont="1" applyBorder="1" applyAlignment="1"/>
    <xf numFmtId="165" fontId="3" fillId="0" borderId="1" xfId="2" applyNumberFormat="1" applyFont="1" applyBorder="1"/>
    <xf numFmtId="165" fontId="3" fillId="0" borderId="1" xfId="2" applyNumberFormat="1" applyFont="1" applyBorder="1" applyAlignme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/>
    <xf numFmtId="165" fontId="4" fillId="0" borderId="1" xfId="2" applyNumberFormat="1" applyFont="1" applyBorder="1"/>
    <xf numFmtId="165" fontId="5" fillId="0" borderId="1" xfId="2" applyNumberFormat="1" applyFont="1" applyBorder="1"/>
    <xf numFmtId="165" fontId="0" fillId="0" borderId="0" xfId="0" applyNumberFormat="1"/>
    <xf numFmtId="9" fontId="0" fillId="0" borderId="0" xfId="1" applyFont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9" fontId="6" fillId="0" borderId="0" xfId="1" applyFont="1" applyFill="1" applyBorder="1"/>
    <xf numFmtId="166" fontId="6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wrapText="1"/>
    </xf>
    <xf numFmtId="0" fontId="12" fillId="6" borderId="5" xfId="0" applyNumberFormat="1" applyFont="1" applyFill="1" applyBorder="1" applyAlignment="1">
      <alignment vertical="center" wrapText="1"/>
    </xf>
    <xf numFmtId="0" fontId="12" fillId="6" borderId="11" xfId="0" applyNumberFormat="1" applyFont="1" applyFill="1" applyBorder="1" applyAlignment="1">
      <alignment vertical="center" wrapText="1"/>
    </xf>
    <xf numFmtId="44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 wrapText="1"/>
    </xf>
    <xf numFmtId="0" fontId="6" fillId="5" borderId="0" xfId="0" applyFont="1" applyFill="1" applyBorder="1"/>
    <xf numFmtId="164" fontId="6" fillId="5" borderId="0" xfId="0" applyNumberFormat="1" applyFont="1" applyFill="1" applyBorder="1" applyAlignment="1">
      <alignment wrapText="1"/>
    </xf>
    <xf numFmtId="0" fontId="9" fillId="5" borderId="11" xfId="0" applyFont="1" applyFill="1" applyBorder="1" applyAlignment="1">
      <alignment horizontal="left" vertical="center" indent="1"/>
    </xf>
    <xf numFmtId="0" fontId="9" fillId="5" borderId="11" xfId="0" applyFont="1" applyFill="1" applyBorder="1" applyAlignment="1">
      <alignment horizontal="left" vertical="center" wrapText="1" indent="1"/>
    </xf>
    <xf numFmtId="0" fontId="13" fillId="5" borderId="10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right" vertical="center" wrapText="1"/>
    </xf>
    <xf numFmtId="44" fontId="14" fillId="5" borderId="0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7" fontId="7" fillId="5" borderId="0" xfId="1" applyNumberFormat="1" applyFont="1" applyFill="1" applyBorder="1" applyAlignment="1">
      <alignment wrapText="1"/>
    </xf>
    <xf numFmtId="0" fontId="14" fillId="5" borderId="0" xfId="0" applyFont="1" applyFill="1" applyBorder="1"/>
    <xf numFmtId="0" fontId="14" fillId="0" borderId="0" xfId="0" applyFont="1" applyFill="1" applyBorder="1"/>
    <xf numFmtId="164" fontId="14" fillId="5" borderId="0" xfId="0" applyNumberFormat="1" applyFont="1" applyFill="1" applyBorder="1" applyAlignment="1">
      <alignment wrapText="1"/>
    </xf>
    <xf numFmtId="3" fontId="7" fillId="6" borderId="9" xfId="3" applyNumberFormat="1" applyFont="1" applyFill="1" applyBorder="1" applyAlignment="1">
      <alignment vertical="center" wrapText="1"/>
    </xf>
    <xf numFmtId="3" fontId="7" fillId="6" borderId="1" xfId="3" applyNumberFormat="1" applyFont="1" applyFill="1" applyBorder="1" applyAlignment="1">
      <alignment vertical="center" wrapText="1"/>
    </xf>
    <xf numFmtId="3" fontId="7" fillId="6" borderId="8" xfId="3" applyNumberFormat="1" applyFont="1" applyFill="1" applyBorder="1" applyAlignment="1">
      <alignment vertical="center" wrapText="1"/>
    </xf>
    <xf numFmtId="3" fontId="7" fillId="6" borderId="3" xfId="3" applyNumberFormat="1" applyFont="1" applyFill="1" applyBorder="1" applyAlignment="1">
      <alignment vertical="center" wrapText="1"/>
    </xf>
    <xf numFmtId="3" fontId="11" fillId="6" borderId="9" xfId="3" applyNumberFormat="1" applyFont="1" applyFill="1" applyBorder="1" applyAlignment="1">
      <alignment vertical="center" wrapText="1"/>
    </xf>
    <xf numFmtId="3" fontId="11" fillId="6" borderId="1" xfId="3" applyNumberFormat="1" applyFont="1" applyFill="1" applyBorder="1" applyAlignment="1">
      <alignment vertical="center" wrapText="1"/>
    </xf>
    <xf numFmtId="3" fontId="11" fillId="6" borderId="8" xfId="3" applyNumberFormat="1" applyFont="1" applyFill="1" applyBorder="1" applyAlignment="1">
      <alignment vertical="center" wrapText="1"/>
    </xf>
    <xf numFmtId="3" fontId="11" fillId="6" borderId="3" xfId="3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4" borderId="1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2" sqref="B2"/>
    </sheetView>
  </sheetViews>
  <sheetFormatPr defaultColWidth="11.21875" defaultRowHeight="14.4" x14ac:dyDescent="0.3"/>
  <cols>
    <col min="1" max="1" width="31.88671875" customWidth="1"/>
    <col min="2" max="2" width="14.6640625" customWidth="1"/>
    <col min="3" max="4" width="14.44140625" bestFit="1" customWidth="1"/>
    <col min="6" max="6" width="15.109375" customWidth="1"/>
    <col min="7" max="7" width="14.6640625" bestFit="1" customWidth="1"/>
  </cols>
  <sheetData>
    <row r="1" spans="1:7" ht="27" x14ac:dyDescent="0.3">
      <c r="A1" s="9"/>
      <c r="B1" s="10" t="s">
        <v>29</v>
      </c>
      <c r="C1" s="10" t="s">
        <v>30</v>
      </c>
      <c r="D1" s="11" t="s">
        <v>31</v>
      </c>
      <c r="E1" s="11" t="s">
        <v>2</v>
      </c>
      <c r="F1" s="11" t="s">
        <v>3</v>
      </c>
    </row>
    <row r="2" spans="1:7" ht="40.200000000000003" x14ac:dyDescent="0.3">
      <c r="A2" s="2" t="s">
        <v>4</v>
      </c>
      <c r="B2" s="17">
        <f>+SUM(B3:B4)</f>
        <v>515600000</v>
      </c>
      <c r="C2" s="18">
        <f t="shared" ref="C2:D2" si="0">+SUM(C3:C4)</f>
        <v>394500000</v>
      </c>
      <c r="D2" s="18">
        <f t="shared" si="0"/>
        <v>121100000</v>
      </c>
      <c r="E2" s="3">
        <f>+C2/B2</f>
        <v>0.76512800620636157</v>
      </c>
      <c r="F2" s="3">
        <f>+D2/B2</f>
        <v>0.23487199379363849</v>
      </c>
      <c r="G2" s="16"/>
    </row>
    <row r="3" spans="1:7" ht="27" x14ac:dyDescent="0.3">
      <c r="A3" s="4" t="s">
        <v>5</v>
      </c>
      <c r="B3" s="19">
        <v>500600000</v>
      </c>
      <c r="C3" s="20">
        <v>383000000</v>
      </c>
      <c r="D3" s="20">
        <f>+B3-C3</f>
        <v>117600000</v>
      </c>
      <c r="E3" s="3">
        <f t="shared" ref="E3:E10" si="1">+C3/B3</f>
        <v>0.76508190171793844</v>
      </c>
      <c r="F3" s="3">
        <f t="shared" ref="F3:F10" si="2">+D3/B3</f>
        <v>0.23491809828206153</v>
      </c>
      <c r="G3" s="16"/>
    </row>
    <row r="4" spans="1:7" x14ac:dyDescent="0.3">
      <c r="A4" s="4" t="s">
        <v>10</v>
      </c>
      <c r="B4" s="19">
        <v>15000000</v>
      </c>
      <c r="C4" s="20">
        <v>11500000</v>
      </c>
      <c r="D4" s="20">
        <f>+B4-C4</f>
        <v>3500000</v>
      </c>
      <c r="E4" s="3">
        <f t="shared" si="1"/>
        <v>0.76666666666666672</v>
      </c>
      <c r="F4" s="3">
        <f t="shared" si="2"/>
        <v>0.23333333333333334</v>
      </c>
      <c r="G4" s="16"/>
    </row>
    <row r="5" spans="1:7" ht="27" x14ac:dyDescent="0.3">
      <c r="A5" s="2" t="s">
        <v>8</v>
      </c>
      <c r="B5" s="17">
        <f>+SUM(B6+B7+B8)</f>
        <v>1400000</v>
      </c>
      <c r="C5" s="18">
        <f>+SUM(C6+C7+C8)</f>
        <v>1000000</v>
      </c>
      <c r="D5" s="18">
        <f>+SUM(D6+D7+D8)</f>
        <v>400000</v>
      </c>
      <c r="E5" s="3">
        <f t="shared" si="1"/>
        <v>0.7142857142857143</v>
      </c>
      <c r="F5" s="3">
        <f t="shared" si="2"/>
        <v>0.2857142857142857</v>
      </c>
      <c r="G5" s="16"/>
    </row>
    <row r="6" spans="1:7" x14ac:dyDescent="0.3">
      <c r="A6" s="4" t="s">
        <v>9</v>
      </c>
      <c r="B6" s="19">
        <v>150000</v>
      </c>
      <c r="C6" s="20">
        <v>115000</v>
      </c>
      <c r="D6" s="20">
        <f>+B6-C6</f>
        <v>35000</v>
      </c>
      <c r="E6" s="3">
        <f t="shared" si="1"/>
        <v>0.76666666666666672</v>
      </c>
      <c r="F6" s="3">
        <f t="shared" si="2"/>
        <v>0.23333333333333334</v>
      </c>
      <c r="G6" s="16"/>
    </row>
    <row r="7" spans="1:7" ht="27" x14ac:dyDescent="0.3">
      <c r="A7" s="4" t="s">
        <v>15</v>
      </c>
      <c r="B7" s="19">
        <v>250000</v>
      </c>
      <c r="C7" s="20">
        <v>185000</v>
      </c>
      <c r="D7" s="20">
        <f t="shared" ref="D7:D8" si="3">+B7-C7</f>
        <v>65000</v>
      </c>
      <c r="E7" s="3">
        <f t="shared" si="1"/>
        <v>0.74</v>
      </c>
      <c r="F7" s="3">
        <f t="shared" si="2"/>
        <v>0.26</v>
      </c>
      <c r="G7" s="16"/>
    </row>
    <row r="8" spans="1:7" ht="27" x14ac:dyDescent="0.3">
      <c r="A8" s="4" t="s">
        <v>12</v>
      </c>
      <c r="B8" s="19">
        <v>1000000</v>
      </c>
      <c r="C8" s="20">
        <v>700000</v>
      </c>
      <c r="D8" s="20">
        <f t="shared" si="3"/>
        <v>300000</v>
      </c>
      <c r="E8" s="3">
        <f t="shared" si="1"/>
        <v>0.7</v>
      </c>
      <c r="F8" s="3">
        <f t="shared" si="2"/>
        <v>0.3</v>
      </c>
      <c r="G8" s="16"/>
    </row>
    <row r="9" spans="1:7" ht="27" x14ac:dyDescent="0.3">
      <c r="A9" s="2" t="s">
        <v>16</v>
      </c>
      <c r="B9" s="17">
        <v>5000000</v>
      </c>
      <c r="C9" s="17">
        <v>4500000</v>
      </c>
      <c r="D9" s="17">
        <v>500000</v>
      </c>
      <c r="E9" s="3">
        <f t="shared" si="1"/>
        <v>0.9</v>
      </c>
      <c r="F9" s="3">
        <f t="shared" si="2"/>
        <v>0.1</v>
      </c>
      <c r="G9" s="16"/>
    </row>
    <row r="10" spans="1:7" x14ac:dyDescent="0.3">
      <c r="A10" s="12" t="s">
        <v>7</v>
      </c>
      <c r="B10" s="21">
        <f>+SUM(B2+B5+B9)</f>
        <v>522000000</v>
      </c>
      <c r="C10" s="22">
        <f t="shared" ref="C10:D10" si="4">+SUM(C2+C5+C9)</f>
        <v>400000000</v>
      </c>
      <c r="D10" s="22">
        <f t="shared" si="4"/>
        <v>122000000</v>
      </c>
      <c r="E10" s="14">
        <f t="shared" si="1"/>
        <v>0.76628352490421459</v>
      </c>
      <c r="F10" s="14">
        <f t="shared" si="2"/>
        <v>0.23371647509578544</v>
      </c>
    </row>
    <row r="13" spans="1:7" x14ac:dyDescent="0.3">
      <c r="B13" s="15"/>
    </row>
    <row r="14" spans="1:7" x14ac:dyDescent="0.3">
      <c r="B14" s="15"/>
    </row>
    <row r="17" spans="3:3" x14ac:dyDescent="0.3">
      <c r="C17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B2" sqref="B2"/>
    </sheetView>
  </sheetViews>
  <sheetFormatPr defaultColWidth="11.21875" defaultRowHeight="14.4" x14ac:dyDescent="0.3"/>
  <cols>
    <col min="1" max="1" width="31.88671875" customWidth="1"/>
    <col min="2" max="2" width="11" customWidth="1"/>
    <col min="3" max="3" width="12.77734375" customWidth="1"/>
    <col min="4" max="4" width="12.21875" customWidth="1"/>
    <col min="5" max="5" width="13.44140625" customWidth="1"/>
    <col min="6" max="6" width="11.88671875" customWidth="1"/>
    <col min="7" max="7" width="14.6640625" customWidth="1"/>
    <col min="8" max="11" width="11.21875" hidden="1" customWidth="1"/>
    <col min="12" max="12" width="12.109375" hidden="1" customWidth="1"/>
  </cols>
  <sheetData>
    <row r="1" spans="1:13" ht="27" x14ac:dyDescent="0.3">
      <c r="A1" s="9"/>
      <c r="B1" s="12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10" t="s">
        <v>29</v>
      </c>
      <c r="H1" s="10" t="s">
        <v>0</v>
      </c>
      <c r="I1" s="11" t="s">
        <v>1</v>
      </c>
      <c r="J1" s="11" t="s">
        <v>2</v>
      </c>
      <c r="K1" s="11" t="s">
        <v>3</v>
      </c>
    </row>
    <row r="2" spans="1:13" ht="40.200000000000003" x14ac:dyDescent="0.3">
      <c r="A2" s="2" t="s">
        <v>4</v>
      </c>
      <c r="B2" s="23">
        <f>+ROUND($G$2*B13,1)</f>
        <v>103120000</v>
      </c>
      <c r="C2" s="23">
        <f t="shared" ref="C2:F2" si="0">+ROUND($G$2*C13,1)</f>
        <v>128900000</v>
      </c>
      <c r="D2" s="23">
        <f t="shared" si="0"/>
        <v>128900000</v>
      </c>
      <c r="E2" s="23">
        <f t="shared" si="0"/>
        <v>103120000</v>
      </c>
      <c r="F2" s="23">
        <f t="shared" si="0"/>
        <v>51560000</v>
      </c>
      <c r="G2" s="23">
        <f>+'Cuadro de costos'!B2</f>
        <v>515600000</v>
      </c>
      <c r="H2" s="1">
        <f>+G2*J2</f>
        <v>397012000</v>
      </c>
      <c r="I2" s="1">
        <f>+G2*K2</f>
        <v>118588000</v>
      </c>
      <c r="J2" s="3">
        <v>0.77</v>
      </c>
      <c r="K2" s="3">
        <v>0.23</v>
      </c>
      <c r="L2" s="25">
        <f>+SUM(B2:F2)</f>
        <v>515600000</v>
      </c>
    </row>
    <row r="3" spans="1:13" ht="27" x14ac:dyDescent="0.3">
      <c r="A3" s="4" t="s">
        <v>5</v>
      </c>
      <c r="B3" s="24">
        <f>+ROUND($G$3*B13,1)</f>
        <v>100120000</v>
      </c>
      <c r="C3" s="24">
        <f t="shared" ref="C3:F3" si="1">+ROUND($G$3*C13,1)</f>
        <v>125150000</v>
      </c>
      <c r="D3" s="24">
        <f t="shared" si="1"/>
        <v>125150000</v>
      </c>
      <c r="E3" s="24">
        <f t="shared" si="1"/>
        <v>100120000</v>
      </c>
      <c r="F3" s="24">
        <f t="shared" si="1"/>
        <v>50060000</v>
      </c>
      <c r="G3" s="24">
        <f>+'Cuadro de costos'!B3</f>
        <v>500600000</v>
      </c>
      <c r="H3" s="6">
        <f t="shared" ref="H3:H4" si="2">+G3*J3</f>
        <v>385462000</v>
      </c>
      <c r="I3" s="6">
        <f t="shared" ref="I3:I4" si="3">+G3*K3</f>
        <v>115138000</v>
      </c>
      <c r="J3" s="7">
        <v>0.77</v>
      </c>
      <c r="K3" s="7">
        <v>0.23</v>
      </c>
      <c r="L3" s="25">
        <f t="shared" ref="L3:L9" si="4">+SUM(B3:F3)</f>
        <v>500600000</v>
      </c>
    </row>
    <row r="4" spans="1:13" x14ac:dyDescent="0.3">
      <c r="A4" s="4" t="s">
        <v>10</v>
      </c>
      <c r="B4" s="24">
        <f>+ROUND($G$4*B13,1)</f>
        <v>3000000</v>
      </c>
      <c r="C4" s="24">
        <f t="shared" ref="C4:F4" si="5">+ROUND($G$4*C13,1)</f>
        <v>3750000</v>
      </c>
      <c r="D4" s="24">
        <f t="shared" si="5"/>
        <v>3750000</v>
      </c>
      <c r="E4" s="24">
        <f t="shared" si="5"/>
        <v>3000000</v>
      </c>
      <c r="F4" s="24">
        <f t="shared" si="5"/>
        <v>1500000</v>
      </c>
      <c r="G4" s="24">
        <f>+'Cuadro de costos'!B4</f>
        <v>15000000</v>
      </c>
      <c r="H4" s="6">
        <f t="shared" si="2"/>
        <v>11550000</v>
      </c>
      <c r="I4" s="6">
        <f t="shared" si="3"/>
        <v>3450000</v>
      </c>
      <c r="J4" s="7">
        <v>0.77</v>
      </c>
      <c r="K4" s="7">
        <v>0.23</v>
      </c>
      <c r="L4" s="25">
        <f t="shared" si="4"/>
        <v>15000000</v>
      </c>
    </row>
    <row r="5" spans="1:13" ht="27" x14ac:dyDescent="0.3">
      <c r="A5" s="2" t="s">
        <v>8</v>
      </c>
      <c r="B5" s="23">
        <f>+ROUND($G$5*B13,1)</f>
        <v>280000</v>
      </c>
      <c r="C5" s="23">
        <f t="shared" ref="C5:F5" si="6">+ROUND($G$5*C13,1)</f>
        <v>350000</v>
      </c>
      <c r="D5" s="23">
        <f t="shared" si="6"/>
        <v>350000</v>
      </c>
      <c r="E5" s="23">
        <f t="shared" si="6"/>
        <v>280000</v>
      </c>
      <c r="F5" s="23">
        <f t="shared" si="6"/>
        <v>140000</v>
      </c>
      <c r="G5" s="23">
        <f>+'Cuadro de costos'!B5</f>
        <v>1400000</v>
      </c>
      <c r="H5" s="6">
        <f t="shared" ref="H5:I5" si="7">+H6+H7+H8</f>
        <v>1098666.55</v>
      </c>
      <c r="I5" s="6">
        <f t="shared" si="7"/>
        <v>301499.95</v>
      </c>
      <c r="J5" s="8">
        <f>+H5/G5</f>
        <v>0.78476182142857143</v>
      </c>
      <c r="K5" s="8">
        <f>+I5/G5</f>
        <v>0.21535710714285716</v>
      </c>
      <c r="L5" s="25">
        <f t="shared" si="4"/>
        <v>1400000</v>
      </c>
    </row>
    <row r="6" spans="1:13" x14ac:dyDescent="0.3">
      <c r="A6" s="4" t="s">
        <v>9</v>
      </c>
      <c r="B6" s="24">
        <f>+ROUND($G$6*B13,1)</f>
        <v>30000</v>
      </c>
      <c r="C6" s="24">
        <f t="shared" ref="C6:F6" si="8">+ROUND($G$6*C13,1)</f>
        <v>37500</v>
      </c>
      <c r="D6" s="24">
        <f t="shared" si="8"/>
        <v>37500</v>
      </c>
      <c r="E6" s="24">
        <f t="shared" si="8"/>
        <v>30000</v>
      </c>
      <c r="F6" s="24">
        <f t="shared" si="8"/>
        <v>15000</v>
      </c>
      <c r="G6" s="24">
        <f>+'Cuadro de costos'!B6</f>
        <v>150000</v>
      </c>
      <c r="H6" s="5">
        <f>+G6*J6</f>
        <v>98666.549999999988</v>
      </c>
      <c r="I6" s="5">
        <f>+G6*K6</f>
        <v>51499.95</v>
      </c>
      <c r="J6" s="7">
        <v>0.65777699999999995</v>
      </c>
      <c r="K6" s="7">
        <v>0.343333</v>
      </c>
      <c r="L6" s="25">
        <f t="shared" si="4"/>
        <v>150000</v>
      </c>
    </row>
    <row r="7" spans="1:13" ht="27" x14ac:dyDescent="0.3">
      <c r="A7" s="4" t="s">
        <v>6</v>
      </c>
      <c r="B7" s="24">
        <f>+ROUND($G$7*B13,1)</f>
        <v>50000</v>
      </c>
      <c r="C7" s="24">
        <f t="shared" ref="C7:F7" si="9">+ROUND($G$7*C13,1)</f>
        <v>62500</v>
      </c>
      <c r="D7" s="24">
        <f t="shared" si="9"/>
        <v>62500</v>
      </c>
      <c r="E7" s="24">
        <f t="shared" si="9"/>
        <v>50000</v>
      </c>
      <c r="F7" s="24">
        <f t="shared" si="9"/>
        <v>25000</v>
      </c>
      <c r="G7" s="24">
        <f>+'Cuadro de costos'!B7</f>
        <v>250000</v>
      </c>
      <c r="H7" s="5">
        <f>+G7*J7</f>
        <v>0</v>
      </c>
      <c r="I7" s="5">
        <f>+G7*K7</f>
        <v>250000</v>
      </c>
      <c r="J7" s="7">
        <v>0</v>
      </c>
      <c r="K7" s="7">
        <v>1</v>
      </c>
      <c r="L7" s="25">
        <f t="shared" si="4"/>
        <v>250000</v>
      </c>
    </row>
    <row r="8" spans="1:13" ht="27" x14ac:dyDescent="0.3">
      <c r="A8" s="4" t="s">
        <v>12</v>
      </c>
      <c r="B8" s="24">
        <f>+ROUND($G$8*B13,1)</f>
        <v>200000</v>
      </c>
      <c r="C8" s="24">
        <f t="shared" ref="C8:F8" si="10">+ROUND($G$8*C13,1)</f>
        <v>250000</v>
      </c>
      <c r="D8" s="24">
        <f t="shared" si="10"/>
        <v>250000</v>
      </c>
      <c r="E8" s="24">
        <f t="shared" si="10"/>
        <v>200000</v>
      </c>
      <c r="F8" s="24">
        <f t="shared" si="10"/>
        <v>100000</v>
      </c>
      <c r="G8" s="24">
        <f>+'Cuadro de costos'!B8</f>
        <v>1000000</v>
      </c>
      <c r="H8" s="5">
        <f>+G8*J8</f>
        <v>1000000</v>
      </c>
      <c r="I8" s="5">
        <f>+G8*K8</f>
        <v>0</v>
      </c>
      <c r="J8" s="7">
        <v>1</v>
      </c>
      <c r="K8" s="7">
        <v>0</v>
      </c>
      <c r="L8" s="25">
        <f t="shared" si="4"/>
        <v>1000000</v>
      </c>
    </row>
    <row r="9" spans="1:13" ht="27" x14ac:dyDescent="0.3">
      <c r="A9" s="2" t="s">
        <v>11</v>
      </c>
      <c r="B9" s="23">
        <f>+ROUND($G$9*B13,1)</f>
        <v>1000000</v>
      </c>
      <c r="C9" s="23">
        <f t="shared" ref="C9:F9" si="11">+ROUND($G$9*C13,1)</f>
        <v>1250000</v>
      </c>
      <c r="D9" s="23">
        <f t="shared" si="11"/>
        <v>1250000</v>
      </c>
      <c r="E9" s="23">
        <f t="shared" si="11"/>
        <v>1000000</v>
      </c>
      <c r="F9" s="23">
        <f t="shared" si="11"/>
        <v>500000</v>
      </c>
      <c r="G9" s="23">
        <f>+'Cuadro de costos'!B9</f>
        <v>5000000</v>
      </c>
      <c r="H9" s="6">
        <f>+G9*J9</f>
        <v>200000</v>
      </c>
      <c r="I9" s="6">
        <f>+G9*K9</f>
        <v>4800000</v>
      </c>
      <c r="J9" s="3">
        <v>0.04</v>
      </c>
      <c r="K9" s="3">
        <v>0.96</v>
      </c>
      <c r="L9" s="25">
        <f t="shared" si="4"/>
        <v>5000000</v>
      </c>
    </row>
    <row r="10" spans="1:13" hidden="1" x14ac:dyDescent="0.3">
      <c r="A10" s="12" t="s">
        <v>7</v>
      </c>
      <c r="B10" s="12"/>
      <c r="C10" s="4">
        <f t="shared" ref="C10" si="12">+G10*0.3</f>
        <v>156600000</v>
      </c>
      <c r="D10" s="12"/>
      <c r="E10" s="12"/>
      <c r="F10" s="12"/>
      <c r="G10" s="13">
        <f>+SUM(G2+G5+G9)</f>
        <v>522000000</v>
      </c>
      <c r="H10" s="13">
        <f t="shared" ref="H10:I10" si="13">+SUM(H2+H5+H9)</f>
        <v>398310666.55000001</v>
      </c>
      <c r="I10" s="13">
        <f t="shared" si="13"/>
        <v>123689499.95</v>
      </c>
      <c r="J10" s="14">
        <f>+H10/G10</f>
        <v>0.76304725392720307</v>
      </c>
      <c r="K10" s="14">
        <f>+I10/G10</f>
        <v>0.23695306503831418</v>
      </c>
    </row>
    <row r="13" spans="1:13" hidden="1" x14ac:dyDescent="0.3">
      <c r="B13" s="26">
        <v>0.2</v>
      </c>
      <c r="C13" s="26">
        <v>0.25</v>
      </c>
      <c r="D13" s="26">
        <v>0.25</v>
      </c>
      <c r="E13" s="26">
        <v>0.2</v>
      </c>
      <c r="F13" s="26">
        <v>0.1</v>
      </c>
    </row>
    <row r="14" spans="1:13" x14ac:dyDescent="0.3">
      <c r="M14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zoomScale="85" zoomScaleNormal="85" workbookViewId="0">
      <selection activeCell="B8" sqref="B8"/>
    </sheetView>
  </sheetViews>
  <sheetFormatPr defaultColWidth="11.44140625" defaultRowHeight="14.4" x14ac:dyDescent="0.3"/>
  <cols>
    <col min="1" max="1" width="47.33203125" style="28" customWidth="1"/>
    <col min="2" max="2" width="15.88671875" style="29" customWidth="1"/>
    <col min="3" max="4" width="15.88671875" style="27" customWidth="1"/>
    <col min="5" max="5" width="16" style="29" customWidth="1"/>
    <col min="6" max="7" width="16" style="27" customWidth="1"/>
    <col min="8" max="8" width="15.88671875" style="29" customWidth="1"/>
    <col min="9" max="10" width="15.88671875" style="27" customWidth="1"/>
    <col min="11" max="11" width="14" style="29" customWidth="1"/>
    <col min="12" max="13" width="14" style="27" customWidth="1"/>
    <col min="14" max="14" width="14" style="29" customWidth="1"/>
    <col min="15" max="16" width="14" style="27" customWidth="1"/>
    <col min="17" max="17" width="16.33203125" style="29" customWidth="1"/>
    <col min="18" max="18" width="16.88671875" style="27" customWidth="1"/>
    <col min="19" max="19" width="15.33203125" style="27" customWidth="1"/>
    <col min="20" max="20" width="61.5546875" style="28" customWidth="1"/>
    <col min="21" max="16384" width="11.44140625" style="27"/>
  </cols>
  <sheetData>
    <row r="2" spans="1:21" ht="15.6" x14ac:dyDescent="0.3">
      <c r="A2" s="79" t="s">
        <v>23</v>
      </c>
      <c r="B2" s="79"/>
      <c r="C2" s="79"/>
      <c r="D2" s="79"/>
      <c r="E2" s="79"/>
      <c r="F2" s="79"/>
      <c r="G2" s="79"/>
    </row>
    <row r="3" spans="1:21" ht="18" x14ac:dyDescent="0.35">
      <c r="A3" s="45" t="s">
        <v>22</v>
      </c>
      <c r="B3" s="44"/>
      <c r="C3" s="44"/>
      <c r="D3" s="44"/>
      <c r="E3" s="44"/>
    </row>
    <row r="4" spans="1:21" ht="15" thickBot="1" x14ac:dyDescent="0.35">
      <c r="A4" s="27"/>
      <c r="S4" s="33"/>
    </row>
    <row r="5" spans="1:21" x14ac:dyDescent="0.3">
      <c r="A5" s="80" t="s">
        <v>20</v>
      </c>
      <c r="B5" s="73">
        <v>2018</v>
      </c>
      <c r="C5" s="74"/>
      <c r="D5" s="75"/>
      <c r="E5" s="74">
        <v>2019</v>
      </c>
      <c r="F5" s="74"/>
      <c r="G5" s="74"/>
      <c r="H5" s="73">
        <v>2020</v>
      </c>
      <c r="I5" s="74"/>
      <c r="J5" s="75"/>
      <c r="K5" s="74">
        <v>2021</v>
      </c>
      <c r="L5" s="74"/>
      <c r="M5" s="75"/>
      <c r="N5" s="73">
        <v>2022</v>
      </c>
      <c r="O5" s="74"/>
      <c r="P5" s="75"/>
      <c r="Q5" s="73" t="s">
        <v>19</v>
      </c>
      <c r="R5" s="74"/>
      <c r="S5" s="75"/>
      <c r="T5" s="43"/>
    </row>
    <row r="6" spans="1:21" x14ac:dyDescent="0.3">
      <c r="A6" s="81"/>
      <c r="B6" s="76"/>
      <c r="C6" s="77"/>
      <c r="D6" s="78"/>
      <c r="E6" s="77"/>
      <c r="F6" s="77"/>
      <c r="G6" s="77"/>
      <c r="H6" s="76"/>
      <c r="I6" s="77"/>
      <c r="J6" s="78"/>
      <c r="K6" s="77"/>
      <c r="L6" s="77"/>
      <c r="M6" s="78"/>
      <c r="N6" s="76"/>
      <c r="O6" s="77"/>
      <c r="P6" s="78"/>
      <c r="Q6" s="76"/>
      <c r="R6" s="77"/>
      <c r="S6" s="78"/>
      <c r="T6" s="42"/>
    </row>
    <row r="7" spans="1:21" s="35" customFormat="1" ht="15.6" x14ac:dyDescent="0.3">
      <c r="A7" s="41"/>
      <c r="B7" s="38" t="s">
        <v>19</v>
      </c>
      <c r="C7" s="37" t="s">
        <v>21</v>
      </c>
      <c r="D7" s="37" t="s">
        <v>13</v>
      </c>
      <c r="E7" s="39" t="s">
        <v>19</v>
      </c>
      <c r="F7" s="37" t="s">
        <v>21</v>
      </c>
      <c r="G7" s="40" t="s">
        <v>13</v>
      </c>
      <c r="H7" s="38" t="s">
        <v>19</v>
      </c>
      <c r="I7" s="37" t="s">
        <v>21</v>
      </c>
      <c r="J7" s="37" t="s">
        <v>13</v>
      </c>
      <c r="K7" s="39" t="s">
        <v>19</v>
      </c>
      <c r="L7" s="37" t="s">
        <v>21</v>
      </c>
      <c r="M7" s="37" t="s">
        <v>13</v>
      </c>
      <c r="N7" s="38" t="s">
        <v>19</v>
      </c>
      <c r="O7" s="37" t="s">
        <v>21</v>
      </c>
      <c r="P7" s="37" t="s">
        <v>13</v>
      </c>
      <c r="Q7" s="38" t="s">
        <v>19</v>
      </c>
      <c r="R7" s="37" t="s">
        <v>21</v>
      </c>
      <c r="S7" s="37" t="s">
        <v>13</v>
      </c>
      <c r="T7" s="36"/>
    </row>
    <row r="8" spans="1:21" s="60" customFormat="1" ht="26.4" x14ac:dyDescent="0.25">
      <c r="A8" s="46" t="s">
        <v>4</v>
      </c>
      <c r="B8" s="65">
        <f>+'Cuadro costos anuales'!B2</f>
        <v>103120000</v>
      </c>
      <c r="C8" s="66">
        <v>24220000</v>
      </c>
      <c r="D8" s="67">
        <v>78900000</v>
      </c>
      <c r="E8" s="68">
        <f>+'Cuadro costos anuales'!C2</f>
        <v>128900000</v>
      </c>
      <c r="F8" s="66">
        <v>30275000</v>
      </c>
      <c r="G8" s="67">
        <v>98625000</v>
      </c>
      <c r="H8" s="65">
        <f>+'Cuadro costos anuales'!D2</f>
        <v>128900000</v>
      </c>
      <c r="I8" s="66">
        <v>30275000</v>
      </c>
      <c r="J8" s="67">
        <v>98625000</v>
      </c>
      <c r="K8" s="68">
        <f>+'Cuadro costos anuales'!E2</f>
        <v>103120000</v>
      </c>
      <c r="L8" s="66">
        <v>24220000</v>
      </c>
      <c r="M8" s="67">
        <v>78900000</v>
      </c>
      <c r="N8" s="65">
        <f>+'Cuadro costos anuales'!F2</f>
        <v>51560000</v>
      </c>
      <c r="O8" s="66">
        <v>12110000</v>
      </c>
      <c r="P8" s="67">
        <v>39450000</v>
      </c>
      <c r="Q8" s="65">
        <f>+N8+K8+H8+E8+B8</f>
        <v>515600000</v>
      </c>
      <c r="R8" s="65">
        <f>+O8+L8+I8+F8+C8</f>
        <v>121100000</v>
      </c>
      <c r="S8" s="65">
        <f>+P8+M8+J8+G8+D8</f>
        <v>394500000</v>
      </c>
      <c r="T8" s="58"/>
      <c r="U8" s="59"/>
    </row>
    <row r="9" spans="1:21" s="35" customFormat="1" x14ac:dyDescent="0.3">
      <c r="A9" s="48" t="str">
        <f>+'Cuadro costos anuales'!A3</f>
        <v xml:space="preserve">Obras electromecánicas y civiles, equipos </v>
      </c>
      <c r="B9" s="69">
        <f>+'Cuadro costos anuales'!B3</f>
        <v>100120000</v>
      </c>
      <c r="C9" s="70">
        <v>23520000</v>
      </c>
      <c r="D9" s="71">
        <v>76600000</v>
      </c>
      <c r="E9" s="72">
        <f>+'Cuadro costos anuales'!C3</f>
        <v>125150000</v>
      </c>
      <c r="F9" s="70">
        <v>29400000</v>
      </c>
      <c r="G9" s="71">
        <v>95750000</v>
      </c>
      <c r="H9" s="69">
        <f>+'Cuadro costos anuales'!D3</f>
        <v>125150000</v>
      </c>
      <c r="I9" s="70">
        <v>29400000</v>
      </c>
      <c r="J9" s="71">
        <v>95750000</v>
      </c>
      <c r="K9" s="72">
        <f>+'Cuadro costos anuales'!E3</f>
        <v>100120000</v>
      </c>
      <c r="L9" s="70">
        <v>23520000</v>
      </c>
      <c r="M9" s="71">
        <v>76600000</v>
      </c>
      <c r="N9" s="69">
        <f>+'Cuadro costos anuales'!F3</f>
        <v>50060000</v>
      </c>
      <c r="O9" s="70">
        <v>11760000</v>
      </c>
      <c r="P9" s="71">
        <v>38300000</v>
      </c>
      <c r="Q9" s="69">
        <f t="shared" ref="Q9:S15" si="0">+N9+K9+H9+E9+B9</f>
        <v>500600000</v>
      </c>
      <c r="R9" s="69">
        <f t="shared" si="0"/>
        <v>117600000</v>
      </c>
      <c r="S9" s="69">
        <f t="shared" si="0"/>
        <v>383000000</v>
      </c>
      <c r="T9" s="49"/>
      <c r="U9" s="50"/>
    </row>
    <row r="10" spans="1:21" s="35" customFormat="1" ht="15" thickBot="1" x14ac:dyDescent="0.35">
      <c r="A10" s="47" t="str">
        <f>+'Cuadro costos anuales'!A4</f>
        <v>Supervisión tecnica integral</v>
      </c>
      <c r="B10" s="69">
        <f>+'Cuadro costos anuales'!B4</f>
        <v>3000000</v>
      </c>
      <c r="C10" s="70">
        <v>700000</v>
      </c>
      <c r="D10" s="71">
        <v>2300000</v>
      </c>
      <c r="E10" s="72">
        <f>+'Cuadro costos anuales'!C4</f>
        <v>3750000</v>
      </c>
      <c r="F10" s="70">
        <v>875000</v>
      </c>
      <c r="G10" s="71">
        <v>2875000</v>
      </c>
      <c r="H10" s="69">
        <f>+'Cuadro costos anuales'!D4</f>
        <v>3750000</v>
      </c>
      <c r="I10" s="70">
        <v>875000</v>
      </c>
      <c r="J10" s="71">
        <v>2875000</v>
      </c>
      <c r="K10" s="72">
        <f>+'Cuadro costos anuales'!E4</f>
        <v>3000000</v>
      </c>
      <c r="L10" s="70">
        <v>700000</v>
      </c>
      <c r="M10" s="71">
        <v>2300000</v>
      </c>
      <c r="N10" s="69">
        <f>+'Cuadro costos anuales'!F4</f>
        <v>1500000</v>
      </c>
      <c r="O10" s="70">
        <v>350000</v>
      </c>
      <c r="P10" s="71">
        <v>1150000</v>
      </c>
      <c r="Q10" s="69">
        <f t="shared" si="0"/>
        <v>15000000</v>
      </c>
      <c r="R10" s="69">
        <f t="shared" si="0"/>
        <v>3500000</v>
      </c>
      <c r="S10" s="69">
        <f t="shared" si="0"/>
        <v>11500000</v>
      </c>
      <c r="T10" s="49"/>
      <c r="U10" s="50"/>
    </row>
    <row r="11" spans="1:21" s="63" customFormat="1" x14ac:dyDescent="0.3">
      <c r="A11" s="51" t="str">
        <f>+'Cuadro de costos'!A5</f>
        <v>Componente 2. Fortalecimiento institucional</v>
      </c>
      <c r="B11" s="65">
        <f>+'Cuadro costos anuales'!B5</f>
        <v>280000</v>
      </c>
      <c r="C11" s="66">
        <v>80000</v>
      </c>
      <c r="D11" s="67">
        <v>200000</v>
      </c>
      <c r="E11" s="68">
        <f>+'Cuadro costos anuales'!C5</f>
        <v>350000</v>
      </c>
      <c r="F11" s="66">
        <v>100000</v>
      </c>
      <c r="G11" s="67">
        <v>250000</v>
      </c>
      <c r="H11" s="65">
        <f>+'Cuadro costos anuales'!D5</f>
        <v>350000</v>
      </c>
      <c r="I11" s="66">
        <v>100000</v>
      </c>
      <c r="J11" s="67">
        <v>250000</v>
      </c>
      <c r="K11" s="68">
        <f>+'Cuadro costos anuales'!E5</f>
        <v>280000</v>
      </c>
      <c r="L11" s="66">
        <v>80000</v>
      </c>
      <c r="M11" s="67">
        <v>200000</v>
      </c>
      <c r="N11" s="65">
        <f>+'Cuadro costos anuales'!F5</f>
        <v>140000</v>
      </c>
      <c r="O11" s="66">
        <v>40000</v>
      </c>
      <c r="P11" s="67">
        <v>100000</v>
      </c>
      <c r="Q11" s="65">
        <f t="shared" si="0"/>
        <v>1400000</v>
      </c>
      <c r="R11" s="65">
        <f t="shared" si="0"/>
        <v>400000</v>
      </c>
      <c r="S11" s="65">
        <f t="shared" si="0"/>
        <v>1000000</v>
      </c>
      <c r="T11" s="61"/>
      <c r="U11" s="62"/>
    </row>
    <row r="12" spans="1:21" x14ac:dyDescent="0.3">
      <c r="A12" s="54" t="str">
        <f>+'Cuadro de costos'!A6</f>
        <v xml:space="preserve">Estudios y pre-inversión </v>
      </c>
      <c r="B12" s="69">
        <f>+'Cuadro costos anuales'!B6</f>
        <v>30000</v>
      </c>
      <c r="C12" s="70">
        <v>7000</v>
      </c>
      <c r="D12" s="71">
        <v>23000</v>
      </c>
      <c r="E12" s="72">
        <f>+'Cuadro costos anuales'!C6</f>
        <v>37500</v>
      </c>
      <c r="F12" s="70">
        <v>8749.9999999999964</v>
      </c>
      <c r="G12" s="71">
        <v>28750.000000000004</v>
      </c>
      <c r="H12" s="69">
        <f>+'Cuadro costos anuales'!D6</f>
        <v>37500</v>
      </c>
      <c r="I12" s="70">
        <v>8749.9999999999964</v>
      </c>
      <c r="J12" s="71">
        <v>28750.000000000004</v>
      </c>
      <c r="K12" s="72">
        <f>+'Cuadro costos anuales'!E6</f>
        <v>30000</v>
      </c>
      <c r="L12" s="70">
        <v>7000</v>
      </c>
      <c r="M12" s="71">
        <v>23000</v>
      </c>
      <c r="N12" s="69">
        <f>+'Cuadro costos anuales'!F6</f>
        <v>15000</v>
      </c>
      <c r="O12" s="70">
        <v>3500</v>
      </c>
      <c r="P12" s="71">
        <v>11500</v>
      </c>
      <c r="Q12" s="69">
        <f t="shared" si="0"/>
        <v>150000</v>
      </c>
      <c r="R12" s="69">
        <f t="shared" si="0"/>
        <v>34999.999999999993</v>
      </c>
      <c r="S12" s="69">
        <f t="shared" si="0"/>
        <v>115000</v>
      </c>
      <c r="T12" s="53"/>
      <c r="U12" s="52"/>
    </row>
    <row r="13" spans="1:21" x14ac:dyDescent="0.3">
      <c r="A13" s="54" t="str">
        <f>+'Cuadro de costos'!A7</f>
        <v>Adquisición de software OpenTrack y capacitación</v>
      </c>
      <c r="B13" s="69">
        <f>+'Cuadro costos anuales'!B7</f>
        <v>50000</v>
      </c>
      <c r="C13" s="70">
        <v>13000</v>
      </c>
      <c r="D13" s="71">
        <v>37000</v>
      </c>
      <c r="E13" s="72">
        <f>+'Cuadro costos anuales'!C7</f>
        <v>62500</v>
      </c>
      <c r="F13" s="70">
        <v>16250</v>
      </c>
      <c r="G13" s="71">
        <v>46250</v>
      </c>
      <c r="H13" s="69">
        <f>+'Cuadro costos anuales'!D7</f>
        <v>62500</v>
      </c>
      <c r="I13" s="70">
        <v>16250</v>
      </c>
      <c r="J13" s="71">
        <v>46250</v>
      </c>
      <c r="K13" s="72">
        <f>+'Cuadro costos anuales'!E7</f>
        <v>50000</v>
      </c>
      <c r="L13" s="70">
        <v>13000</v>
      </c>
      <c r="M13" s="71">
        <v>37000</v>
      </c>
      <c r="N13" s="69">
        <f>+'Cuadro costos anuales'!F7</f>
        <v>25000</v>
      </c>
      <c r="O13" s="70">
        <v>6500</v>
      </c>
      <c r="P13" s="71">
        <v>18500</v>
      </c>
      <c r="Q13" s="69">
        <f t="shared" si="0"/>
        <v>250000</v>
      </c>
      <c r="R13" s="69">
        <f t="shared" si="0"/>
        <v>65000</v>
      </c>
      <c r="S13" s="69">
        <f t="shared" si="0"/>
        <v>185000</v>
      </c>
      <c r="T13" s="53"/>
      <c r="U13" s="52"/>
    </row>
    <row r="14" spans="1:21" ht="28.8" x14ac:dyDescent="0.3">
      <c r="A14" s="55" t="str">
        <f>+'Cuadro de costos'!A8</f>
        <v>Estudio de actualización de normativa sobre operación ferroviaria</v>
      </c>
      <c r="B14" s="69">
        <f>+'Cuadro costos anuales'!B8</f>
        <v>200000</v>
      </c>
      <c r="C14" s="70">
        <v>60000</v>
      </c>
      <c r="D14" s="71">
        <v>140000</v>
      </c>
      <c r="E14" s="72">
        <f>+'Cuadro costos anuales'!C8</f>
        <v>250000</v>
      </c>
      <c r="F14" s="70">
        <v>75000</v>
      </c>
      <c r="G14" s="71">
        <v>175000</v>
      </c>
      <c r="H14" s="69">
        <f>+'Cuadro costos anuales'!D8</f>
        <v>250000</v>
      </c>
      <c r="I14" s="70">
        <v>75000</v>
      </c>
      <c r="J14" s="71">
        <v>175000</v>
      </c>
      <c r="K14" s="72">
        <f>+'Cuadro costos anuales'!E8</f>
        <v>200000</v>
      </c>
      <c r="L14" s="70">
        <v>60000</v>
      </c>
      <c r="M14" s="71">
        <v>140000</v>
      </c>
      <c r="N14" s="69">
        <f>+'Cuadro costos anuales'!F8</f>
        <v>100000</v>
      </c>
      <c r="O14" s="70">
        <v>30000</v>
      </c>
      <c r="P14" s="71">
        <v>70000</v>
      </c>
      <c r="Q14" s="69">
        <f t="shared" si="0"/>
        <v>1000000</v>
      </c>
      <c r="R14" s="69">
        <f t="shared" si="0"/>
        <v>300000</v>
      </c>
      <c r="S14" s="69">
        <f t="shared" si="0"/>
        <v>700000</v>
      </c>
      <c r="T14" s="53"/>
      <c r="U14" s="52"/>
    </row>
    <row r="15" spans="1:21" s="63" customFormat="1" ht="15" thickBot="1" x14ac:dyDescent="0.35">
      <c r="A15" s="56" t="str">
        <f>+'Cuadro de costos'!A9</f>
        <v>Administración, gerenciamiento y auditoría</v>
      </c>
      <c r="B15" s="65">
        <f>+'Cuadro costos anuales'!B9</f>
        <v>1000000</v>
      </c>
      <c r="C15" s="66">
        <v>100000</v>
      </c>
      <c r="D15" s="67">
        <v>900000</v>
      </c>
      <c r="E15" s="68">
        <f>+'Cuadro costos anuales'!C9</f>
        <v>1250000</v>
      </c>
      <c r="F15" s="66">
        <v>125000</v>
      </c>
      <c r="G15" s="67">
        <v>1125000</v>
      </c>
      <c r="H15" s="65">
        <f>+'Cuadro costos anuales'!D9</f>
        <v>1250000</v>
      </c>
      <c r="I15" s="66">
        <v>125000</v>
      </c>
      <c r="J15" s="67">
        <v>1125000</v>
      </c>
      <c r="K15" s="68">
        <f>+'Cuadro costos anuales'!E9</f>
        <v>1000000</v>
      </c>
      <c r="L15" s="66">
        <v>100000</v>
      </c>
      <c r="M15" s="67">
        <v>900000</v>
      </c>
      <c r="N15" s="65">
        <f>+'Cuadro costos anuales'!F9</f>
        <v>500000</v>
      </c>
      <c r="O15" s="66">
        <v>50000</v>
      </c>
      <c r="P15" s="67">
        <v>450000</v>
      </c>
      <c r="Q15" s="65">
        <f t="shared" si="0"/>
        <v>5000000</v>
      </c>
      <c r="R15" s="65">
        <f t="shared" si="0"/>
        <v>500000</v>
      </c>
      <c r="S15" s="65">
        <f t="shared" si="0"/>
        <v>4500000</v>
      </c>
      <c r="T15" s="64"/>
      <c r="U15" s="62"/>
    </row>
    <row r="16" spans="1:21" ht="15" thickBot="1" x14ac:dyDescent="0.35">
      <c r="A16" s="57" t="s">
        <v>18</v>
      </c>
      <c r="B16" s="65">
        <f>+B8+B11+B15</f>
        <v>104400000</v>
      </c>
      <c r="C16" s="65">
        <f t="shared" ref="C16:P16" si="1">+C8+C11+C15</f>
        <v>24400000</v>
      </c>
      <c r="D16" s="65">
        <f t="shared" si="1"/>
        <v>80000000</v>
      </c>
      <c r="E16" s="65">
        <f t="shared" si="1"/>
        <v>130500000</v>
      </c>
      <c r="F16" s="65">
        <f t="shared" si="1"/>
        <v>30500000</v>
      </c>
      <c r="G16" s="65">
        <f t="shared" si="1"/>
        <v>100000000</v>
      </c>
      <c r="H16" s="65">
        <f t="shared" si="1"/>
        <v>130500000</v>
      </c>
      <c r="I16" s="65">
        <f t="shared" si="1"/>
        <v>30500000</v>
      </c>
      <c r="J16" s="65">
        <f t="shared" si="1"/>
        <v>100000000</v>
      </c>
      <c r="K16" s="65">
        <f t="shared" si="1"/>
        <v>104400000</v>
      </c>
      <c r="L16" s="65">
        <f t="shared" si="1"/>
        <v>24400000</v>
      </c>
      <c r="M16" s="65">
        <f t="shared" si="1"/>
        <v>80000000</v>
      </c>
      <c r="N16" s="65">
        <f t="shared" si="1"/>
        <v>52200000</v>
      </c>
      <c r="O16" s="65">
        <f t="shared" si="1"/>
        <v>12200000</v>
      </c>
      <c r="P16" s="65">
        <f t="shared" si="1"/>
        <v>40000000</v>
      </c>
      <c r="Q16" s="65">
        <f>+Q8+Q11+Q15</f>
        <v>522000000</v>
      </c>
      <c r="R16" s="65">
        <f>+R8+R11+R15</f>
        <v>122000000</v>
      </c>
      <c r="S16" s="65">
        <f>+S8+S11+S15</f>
        <v>400000000</v>
      </c>
      <c r="T16" s="53"/>
      <c r="U16" s="52"/>
    </row>
    <row r="17" spans="1:19" x14ac:dyDescent="0.3">
      <c r="A17" s="27"/>
      <c r="B17" s="34"/>
      <c r="C17" s="33"/>
      <c r="F17" s="33"/>
      <c r="G17" s="33"/>
      <c r="I17" s="33"/>
      <c r="L17" s="33"/>
      <c r="O17" s="33"/>
      <c r="R17" s="33"/>
      <c r="S17" s="33"/>
    </row>
    <row r="18" spans="1:19" x14ac:dyDescent="0.3">
      <c r="A18" s="27"/>
    </row>
    <row r="19" spans="1:19" x14ac:dyDescent="0.3">
      <c r="A19" s="27"/>
      <c r="C19" s="32"/>
      <c r="D19" s="32"/>
      <c r="F19" s="32"/>
      <c r="G19" s="32"/>
      <c r="I19" s="32"/>
      <c r="J19" s="32"/>
      <c r="R19" s="33"/>
    </row>
    <row r="20" spans="1:19" x14ac:dyDescent="0.3">
      <c r="A20" s="27"/>
      <c r="C20" s="32"/>
      <c r="D20" s="32"/>
      <c r="F20" s="32"/>
      <c r="G20" s="32"/>
      <c r="I20" s="32"/>
      <c r="J20" s="32"/>
      <c r="K20" s="32"/>
      <c r="L20" s="32"/>
    </row>
    <row r="21" spans="1:19" x14ac:dyDescent="0.3">
      <c r="A21" s="27"/>
    </row>
    <row r="22" spans="1:19" x14ac:dyDescent="0.3">
      <c r="A22" s="27"/>
    </row>
    <row r="23" spans="1:19" x14ac:dyDescent="0.3">
      <c r="A23" s="27"/>
    </row>
    <row r="24" spans="1:19" x14ac:dyDescent="0.3">
      <c r="A24" s="27"/>
    </row>
    <row r="25" spans="1:19" x14ac:dyDescent="0.3">
      <c r="A25" s="27"/>
    </row>
    <row r="26" spans="1:19" x14ac:dyDescent="0.3">
      <c r="A26" s="31"/>
      <c r="B26" s="31"/>
      <c r="C26" s="30"/>
      <c r="D26" s="30"/>
    </row>
  </sheetData>
  <mergeCells count="8">
    <mergeCell ref="N5:P6"/>
    <mergeCell ref="Q5:S6"/>
    <mergeCell ref="A2:G2"/>
    <mergeCell ref="A5:A6"/>
    <mergeCell ref="B5:D6"/>
    <mergeCell ref="E5:G6"/>
    <mergeCell ref="H5:J6"/>
    <mergeCell ref="K5:M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A4B936532095845BAD759A350796F6E" ma:contentTypeVersion="20" ma:contentTypeDescription="A content type to manage public (operations) IDB documents" ma:contentTypeScope="" ma:versionID="dcfec00001e1f9cd8da611755bec654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R0000969746</Record_x0020_Number>
    <Key_x0020_Document xmlns="cdc7663a-08f0-4737-9e8c-148ce897a09c">false</Key_x0020_Document>
    <Division_x0020_or_x0020_Unit xmlns="cdc7663a-08f0-4737-9e8c-148ce897a09c">INE/TSP</Division_x0020_or_x0020_Unit>
    <Other_x0020_Author xmlns="cdc7663a-08f0-4737-9e8c-148ce897a09c" xsi:nil="true"/>
    <IDBDocs_x0020_Number xmlns="cdc7663a-08f0-4737-9e8c-148ce897a09c" xsi:nil="true"/>
    <Document_x0020_Author xmlns="cdc7663a-08f0-4737-9e8c-148ce897a09c">Cocha, Maria Augustina</Document_x0020_Author>
    <_dlc_DocId xmlns="cdc7663a-08f0-4737-9e8c-148ce897a09c">EZSHARE-1703464048-93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TaxCatchAll xmlns="cdc7663a-08f0-4737-9e8c-148ce897a09c">
      <Value>60</Value>
      <Value>4</Value>
      <Value>3</Value>
      <Value>1</Value>
      <Value>5</Value>
    </TaxCatchAll>
    <Fiscal_x0020_Year_x0020_IDB xmlns="cdc7663a-08f0-4737-9e8c-148ce897a09c">2017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AR-L1267</Project_x0020_Number>
    <Package_x0020_Code xmlns="cdc7663a-08f0-4737-9e8c-148ce897a09c" xsi:nil="true"/>
    <Migration_x0020_Info xmlns="cdc7663a-08f0-4737-9e8c-148ce897a09c" xsi:nil="true"/>
    <Approval_x0020_Number xmlns="cdc7663a-08f0-4737-9e8c-148ce897a09c" xsi:nil="true"/>
    <Business_x0020_Area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0f151751-6416-4989-96c6-78ae1be43d3a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https://idbg.sharepoint.com/teams/EZ-AR-LON/AR-L1267/_layouts/15/DocIdRedir.aspx?ID=EZSHARE-1703464048-93</Url>
      <Description>EZSHARE-1703464048-93</Description>
    </_dlc_DocIdUrl>
    <Phase xmlns="cdc7663a-08f0-4737-9e8c-148ce897a09c" xsi:nil="true"/>
    <Disclosure_x0020_Activity xmlns="cdc7663a-08f0-4737-9e8c-148ce897a09c">Technical Note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5F005369-694B-43AE-A832-356174936EC4}"/>
</file>

<file path=customXml/itemProps2.xml><?xml version="1.0" encoding="utf-8"?>
<ds:datastoreItem xmlns:ds="http://schemas.openxmlformats.org/officeDocument/2006/customXml" ds:itemID="{765BAEE0-A488-4CEF-A0B5-CA1D23C28C90}"/>
</file>

<file path=customXml/itemProps3.xml><?xml version="1.0" encoding="utf-8"?>
<ds:datastoreItem xmlns:ds="http://schemas.openxmlformats.org/officeDocument/2006/customXml" ds:itemID="{523319B2-2E27-4C75-A88F-C8AC2BDE86BE}"/>
</file>

<file path=customXml/itemProps4.xml><?xml version="1.0" encoding="utf-8"?>
<ds:datastoreItem xmlns:ds="http://schemas.openxmlformats.org/officeDocument/2006/customXml" ds:itemID="{F49EC76D-D0FA-49FC-A86B-BBB55A12ADA4}"/>
</file>

<file path=customXml/itemProps5.xml><?xml version="1.0" encoding="utf-8"?>
<ds:datastoreItem xmlns:ds="http://schemas.openxmlformats.org/officeDocument/2006/customXml" ds:itemID="{031FB624-F503-4C29-ABE9-6C00665263AD}"/>
</file>

<file path=customXml/itemProps6.xml><?xml version="1.0" encoding="utf-8"?>
<ds:datastoreItem xmlns:ds="http://schemas.openxmlformats.org/officeDocument/2006/customXml" ds:itemID="{1E85DE47-A105-44A8-AB6E-323266CA4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Cuadro de costos</vt:lpstr>
      <vt:lpstr>Cuadro costos anuales</vt:lpstr>
      <vt:lpstr>PEP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keywords/>
  <cp:lastModifiedBy>Cocha, Agustina</cp:lastModifiedBy>
  <dcterms:created xsi:type="dcterms:W3CDTF">2017-05-01T21:20:20Z</dcterms:created>
  <dcterms:modified xsi:type="dcterms:W3CDTF">2017-08-01T20:32:52Z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60;#TRANSPORT|0f151751-6416-4989-96c6-78ae1be43d3a</vt:lpwstr>
  </property>
  <property fmtid="{D5CDD505-2E9C-101B-9397-08002B2CF9AE}" pid="7" name="Country">
    <vt:lpwstr>5;#Argentina|eb1b705c-195f-4c3b-9661-b201f2fee3c5</vt:lpwstr>
  </property>
  <property fmtid="{D5CDD505-2E9C-101B-9397-08002B2CF9AE}" pid="8" name="Fund IDB">
    <vt:lpwstr>4;#ORC|c028a4b2-ad8b-4cf4-9cac-a2ae6a778e23</vt:lpwstr>
  </property>
  <property fmtid="{D5CDD505-2E9C-101B-9397-08002B2CF9AE}" pid="9" name="_dlc_DocIdItemGuid">
    <vt:lpwstr>f5c1463f-3460-4ad0-9a27-cb2595b1ff0c</vt:lpwstr>
  </property>
  <property fmtid="{D5CDD505-2E9C-101B-9397-08002B2CF9AE}" pid="10" name="Sector IDB">
    <vt:lpwstr>3;#TRANSPORT|5a25d1a8-4baf-41a8-9e3b-e167accda6ea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Disclosure Activity">
    <vt:lpwstr>Technical Note</vt:lpwstr>
  </property>
  <property fmtid="{D5CDD505-2E9C-101B-9397-08002B2CF9AE}" pid="13" name="ContentTypeId">
    <vt:lpwstr>0x0101001A458A224826124E8B45B1D613300CFC00DA4B936532095845BAD759A350796F6E</vt:lpwstr>
  </property>
</Properties>
</file>