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240" yWindow="1080" windowWidth="20730" windowHeight="8310" firstSheet="5" activeTab="5"/>
  </bookViews>
  <sheets>
    <sheet name="Estimativa  R$" sheetId="2" state="hidden" r:id="rId1"/>
    <sheet name="Estimativa  R$ Anual" sheetId="10" state="hidden" r:id="rId2"/>
    <sheet name="Estimativa  US$3,64-Compr." sheetId="7" state="hidden" r:id="rId3"/>
    <sheet name="02_resumo US$+Proj" sheetId="15" state="hidden" r:id="rId4"/>
    <sheet name="02_resumo US$ 4 ANOS 90%" sheetId="23" state="hidden" r:id="rId5"/>
    <sheet name="05_PA" sheetId="30" r:id="rId6"/>
    <sheet name="04_análise CT+A CONT-US$-4an" sheetId="19" state="hidden" r:id="rId7"/>
    <sheet name="Resumo_4 anos" sheetId="32" state="hidden" r:id="rId8"/>
    <sheet name="resumo R$" sheetId="6" state="hidden" r:id="rId9"/>
    <sheet name="resumo US$" sheetId="5" state="hidden" r:id="rId10"/>
    <sheet name="Plan1" sheetId="34" r:id="rId11"/>
  </sheets>
  <definedNames>
    <definedName name="_xlnm.Print_Area" localSheetId="4">'02_resumo US$ 4 ANOS 90%'!$B$1:$L$71</definedName>
    <definedName name="_xlnm.Print_Area" localSheetId="3">'02_resumo US$+Proj'!$B$1:$L$68</definedName>
    <definedName name="_xlnm.Print_Area" localSheetId="6">'04_análise CT+A CONT-US$-4an'!$A$1:$P$37</definedName>
    <definedName name="_xlnm.Print_Area" localSheetId="5">'05_PA'!$C$1:$S$105</definedName>
    <definedName name="_xlnm.Print_Area" localSheetId="0">'Estimativa  R$'!$B$2:$P$65</definedName>
    <definedName name="_xlnm.Print_Area" localSheetId="1">'Estimativa  R$ Anual'!$B$1:$AV$67</definedName>
    <definedName name="_xlnm.Print_Area" localSheetId="2">'Estimativa  US$3,64-Compr.'!$B$1:$X$69</definedName>
    <definedName name="_xlnm.Print_Area" localSheetId="8">'resumo R$'!$A$1:$K$75</definedName>
    <definedName name="_xlnm.Print_Area" localSheetId="9">'resumo US$'!$A$1:$L$75</definedName>
    <definedName name="_xlnm.Print_Area" localSheetId="7">'Resumo_4 anos'!$A$1:$I$32</definedName>
  </definedNames>
  <calcPr calcId="145621"/>
</workbook>
</file>

<file path=xl/calcChain.xml><?xml version="1.0" encoding="utf-8"?>
<calcChain xmlns="http://schemas.openxmlformats.org/spreadsheetml/2006/main">
  <c r="J95" i="30" l="1"/>
  <c r="J35" i="30"/>
  <c r="J18" i="30"/>
  <c r="J97" i="30" l="1"/>
  <c r="J49" i="30" l="1"/>
  <c r="J64" i="30" l="1"/>
  <c r="J58" i="30" l="1"/>
  <c r="J98" i="30" l="1"/>
  <c r="E46" i="23"/>
  <c r="E49" i="23" s="1"/>
  <c r="D28" i="32"/>
  <c r="D26" i="32"/>
  <c r="D24" i="32" s="1"/>
  <c r="J46" i="23" l="1"/>
  <c r="L44" i="19"/>
  <c r="L43" i="19"/>
  <c r="L42" i="19"/>
  <c r="L41" i="19"/>
  <c r="J42" i="19"/>
  <c r="J41" i="19"/>
  <c r="E28" i="19"/>
  <c r="E26" i="19"/>
  <c r="R68" i="23"/>
  <c r="Q68" i="23"/>
  <c r="S67" i="23"/>
  <c r="U59" i="23"/>
  <c r="L28" i="19" l="1"/>
  <c r="K28" i="19"/>
  <c r="I46" i="23"/>
  <c r="K72" i="2" l="1"/>
  <c r="K63" i="2"/>
  <c r="K47" i="2"/>
  <c r="K23" i="2"/>
  <c r="K25" i="2"/>
  <c r="L69" i="2"/>
  <c r="K69" i="2"/>
  <c r="J69" i="2"/>
  <c r="N51" i="10" l="1"/>
  <c r="O50" i="10"/>
  <c r="N50" i="10"/>
  <c r="N33" i="10"/>
  <c r="N22" i="10"/>
  <c r="N20" i="10"/>
  <c r="N21" i="10"/>
  <c r="N21" i="2"/>
  <c r="K21" i="2" l="1"/>
  <c r="K42" i="2" l="1"/>
  <c r="K44" i="2"/>
  <c r="G44" i="2"/>
  <c r="G42" i="2" s="1"/>
  <c r="J44" i="2"/>
  <c r="J32" i="2"/>
  <c r="J25" i="2" s="1"/>
  <c r="J24" i="2" s="1"/>
  <c r="J33" i="2"/>
  <c r="L33" i="2" s="1"/>
  <c r="G6" i="2"/>
  <c r="G5" i="2" s="1"/>
  <c r="H6" i="2"/>
  <c r="I6" i="2"/>
  <c r="J6" i="2"/>
  <c r="I7" i="2"/>
  <c r="L7" i="2"/>
  <c r="O7" i="2" s="1"/>
  <c r="I8" i="2"/>
  <c r="K8" i="2"/>
  <c r="K6" i="2" s="1"/>
  <c r="L8" i="2"/>
  <c r="M8" i="2"/>
  <c r="N8" i="2" s="1"/>
  <c r="G9" i="2"/>
  <c r="H9" i="2"/>
  <c r="J9" i="2"/>
  <c r="L10" i="2"/>
  <c r="O10" i="2" s="1"/>
  <c r="I11" i="2"/>
  <c r="L11" i="2"/>
  <c r="O11" i="2"/>
  <c r="I12" i="2"/>
  <c r="L12" i="2"/>
  <c r="O12" i="2"/>
  <c r="I13" i="2"/>
  <c r="L13" i="2"/>
  <c r="O13" i="2"/>
  <c r="I14" i="2"/>
  <c r="L14" i="2"/>
  <c r="O14" i="2" s="1"/>
  <c r="I15" i="2"/>
  <c r="L15" i="2"/>
  <c r="O15" i="2"/>
  <c r="I16" i="2"/>
  <c r="L16" i="2"/>
  <c r="N16" i="2"/>
  <c r="O16" i="2"/>
  <c r="I17" i="2"/>
  <c r="L17" i="2"/>
  <c r="N17" i="2"/>
  <c r="O17" i="2"/>
  <c r="I18" i="2"/>
  <c r="L18" i="2"/>
  <c r="M18" i="2"/>
  <c r="N18" i="2"/>
  <c r="O18" i="2" s="1"/>
  <c r="I19" i="2"/>
  <c r="L19" i="2"/>
  <c r="O19" i="2"/>
  <c r="I20" i="2"/>
  <c r="L20" i="2"/>
  <c r="M20" i="2"/>
  <c r="N20" i="2"/>
  <c r="O20" i="2" s="1"/>
  <c r="I21" i="2"/>
  <c r="L21" i="2"/>
  <c r="I22" i="2"/>
  <c r="N22" i="2" s="1"/>
  <c r="O22" i="2" s="1"/>
  <c r="L22" i="2"/>
  <c r="G25" i="2"/>
  <c r="H25" i="2"/>
  <c r="I26" i="2"/>
  <c r="L26" i="2"/>
  <c r="O26" i="2" s="1"/>
  <c r="I27" i="2"/>
  <c r="L27" i="2"/>
  <c r="O27" i="2"/>
  <c r="I28" i="2"/>
  <c r="K28" i="2"/>
  <c r="L28" i="2"/>
  <c r="O28" i="2"/>
  <c r="I29" i="2"/>
  <c r="L29" i="2"/>
  <c r="N29" i="2"/>
  <c r="O29" i="2"/>
  <c r="I30" i="2"/>
  <c r="L30" i="2"/>
  <c r="N30" i="2"/>
  <c r="O30" i="2"/>
  <c r="I31" i="2"/>
  <c r="L31" i="2"/>
  <c r="N31" i="2"/>
  <c r="O31" i="2"/>
  <c r="I32" i="2"/>
  <c r="L32" i="2"/>
  <c r="N32" i="2"/>
  <c r="O32" i="2"/>
  <c r="I33" i="2"/>
  <c r="N33" i="2" s="1"/>
  <c r="I34" i="2"/>
  <c r="L34" i="2"/>
  <c r="N34" i="2"/>
  <c r="O34" i="2"/>
  <c r="G35" i="2"/>
  <c r="H35" i="2"/>
  <c r="I35" i="2"/>
  <c r="J35" i="2"/>
  <c r="L35" i="2" s="1"/>
  <c r="K35" i="2"/>
  <c r="I36" i="2"/>
  <c r="L36" i="2"/>
  <c r="O36" i="2"/>
  <c r="I37" i="2"/>
  <c r="L37" i="2"/>
  <c r="O37" i="2"/>
  <c r="I38" i="2"/>
  <c r="L38" i="2"/>
  <c r="O38" i="2" s="1"/>
  <c r="I39" i="2"/>
  <c r="L39" i="2"/>
  <c r="O39" i="2"/>
  <c r="I40" i="2"/>
  <c r="L40" i="2"/>
  <c r="O40" i="2"/>
  <c r="I41" i="2"/>
  <c r="N41" i="2" s="1"/>
  <c r="L41" i="2"/>
  <c r="J42" i="2"/>
  <c r="I43" i="2"/>
  <c r="L43" i="2"/>
  <c r="O43" i="2"/>
  <c r="H42" i="2"/>
  <c r="L44" i="2"/>
  <c r="I45" i="2"/>
  <c r="N45" i="2" s="1"/>
  <c r="L45" i="2"/>
  <c r="I46" i="2"/>
  <c r="L46" i="2"/>
  <c r="O46" i="2"/>
  <c r="G48" i="2"/>
  <c r="I48" i="2" s="1"/>
  <c r="H48" i="2"/>
  <c r="H47" i="2" s="1"/>
  <c r="J48" i="2"/>
  <c r="J47" i="2" s="1"/>
  <c r="L47" i="2" s="1"/>
  <c r="K48" i="2"/>
  <c r="L48" i="2"/>
  <c r="I49" i="2"/>
  <c r="N49" i="2" s="1"/>
  <c r="L49" i="2"/>
  <c r="G50" i="2"/>
  <c r="I50" i="2" s="1"/>
  <c r="H50" i="2"/>
  <c r="J50" i="2"/>
  <c r="K50" i="2"/>
  <c r="L50" i="2"/>
  <c r="O50" i="2" s="1"/>
  <c r="N50" i="2"/>
  <c r="I51" i="2"/>
  <c r="L51" i="2"/>
  <c r="O51" i="2" s="1"/>
  <c r="G52" i="2"/>
  <c r="H52" i="2"/>
  <c r="I52" i="2"/>
  <c r="J52" i="2"/>
  <c r="K52" i="2"/>
  <c r="L52" i="2"/>
  <c r="N52" i="2"/>
  <c r="O52" i="2" s="1"/>
  <c r="I53" i="2"/>
  <c r="L53" i="2"/>
  <c r="O53" i="2"/>
  <c r="I54" i="2"/>
  <c r="L54" i="2"/>
  <c r="O54" i="2"/>
  <c r="I55" i="2"/>
  <c r="L55" i="2"/>
  <c r="O55" i="2"/>
  <c r="I57" i="2"/>
  <c r="L57" i="2"/>
  <c r="O57" i="2" s="1"/>
  <c r="G59" i="2"/>
  <c r="G58" i="2" s="1"/>
  <c r="H59" i="2"/>
  <c r="H58" i="2" s="1"/>
  <c r="H56" i="2" s="1"/>
  <c r="I59" i="2"/>
  <c r="J59" i="2"/>
  <c r="J58" i="2" s="1"/>
  <c r="K59" i="2"/>
  <c r="K58" i="2" s="1"/>
  <c r="K56" i="2" s="1"/>
  <c r="L59" i="2"/>
  <c r="I60" i="2"/>
  <c r="L60" i="2"/>
  <c r="N60" i="2"/>
  <c r="O60" i="2" s="1"/>
  <c r="I61" i="2"/>
  <c r="L61" i="2"/>
  <c r="O61" i="2"/>
  <c r="I62" i="2"/>
  <c r="L62" i="2"/>
  <c r="O62" i="2"/>
  <c r="J5" i="2" l="1"/>
  <c r="O45" i="2"/>
  <c r="L42" i="2"/>
  <c r="K24" i="2"/>
  <c r="I44" i="2"/>
  <c r="N44" i="2" s="1"/>
  <c r="N42" i="2" s="1"/>
  <c r="I42" i="2"/>
  <c r="L25" i="2"/>
  <c r="O25" i="2" s="1"/>
  <c r="O33" i="2"/>
  <c r="N25" i="2"/>
  <c r="I25" i="2"/>
  <c r="O21" i="2"/>
  <c r="K9" i="2"/>
  <c r="L9" i="2" s="1"/>
  <c r="H5" i="2"/>
  <c r="I9" i="2"/>
  <c r="G56" i="2"/>
  <c r="I56" i="2" s="1"/>
  <c r="I58" i="2"/>
  <c r="O49" i="2"/>
  <c r="N48" i="2"/>
  <c r="J23" i="2"/>
  <c r="N9" i="2"/>
  <c r="O8" i="2"/>
  <c r="N6" i="2"/>
  <c r="J56" i="2"/>
  <c r="L56" i="2" s="1"/>
  <c r="L58" i="2"/>
  <c r="N35" i="2"/>
  <c r="O35" i="2" s="1"/>
  <c r="O41" i="2"/>
  <c r="H24" i="2"/>
  <c r="H23" i="2" s="1"/>
  <c r="H63" i="2" s="1"/>
  <c r="L6" i="2"/>
  <c r="I5" i="2"/>
  <c r="N59" i="2"/>
  <c r="G47" i="2"/>
  <c r="I47" i="2" s="1"/>
  <c r="G24" i="2"/>
  <c r="K5" i="2" l="1"/>
  <c r="O9" i="2"/>
  <c r="L24" i="2"/>
  <c r="O42" i="2"/>
  <c r="L23" i="2"/>
  <c r="O44" i="2"/>
  <c r="I24" i="2"/>
  <c r="G23" i="2"/>
  <c r="O59" i="2"/>
  <c r="N58" i="2"/>
  <c r="O48" i="2"/>
  <c r="N47" i="2"/>
  <c r="O47" i="2" s="1"/>
  <c r="J63" i="2"/>
  <c r="N24" i="2"/>
  <c r="O6" i="2"/>
  <c r="N5" i="2"/>
  <c r="L5" i="2" l="1"/>
  <c r="L63" i="2"/>
  <c r="I23" i="2"/>
  <c r="G63" i="2"/>
  <c r="I63" i="2" s="1"/>
  <c r="O24" i="2"/>
  <c r="N23" i="2"/>
  <c r="O23" i="2" s="1"/>
  <c r="N56" i="2"/>
  <c r="O56" i="2" s="1"/>
  <c r="O58" i="2"/>
  <c r="O5" i="2" l="1"/>
  <c r="N63" i="2"/>
  <c r="O63" i="2" s="1"/>
  <c r="Q59" i="23" l="1"/>
  <c r="R59" i="23"/>
  <c r="T59" i="23"/>
  <c r="S59" i="23"/>
  <c r="L71" i="23" l="1"/>
  <c r="J43" i="23"/>
  <c r="I43" i="23"/>
  <c r="J36" i="23"/>
  <c r="J34" i="23" s="1"/>
  <c r="I36" i="23"/>
  <c r="I34" i="23" s="1"/>
  <c r="H36" i="23"/>
  <c r="H34" i="23" s="1"/>
  <c r="G36" i="23"/>
  <c r="G34" i="23" s="1"/>
  <c r="F36" i="23"/>
  <c r="K35" i="23"/>
  <c r="E35" i="23"/>
  <c r="E34" i="23" s="1"/>
  <c r="E24" i="23"/>
  <c r="J23" i="23"/>
  <c r="I23" i="23"/>
  <c r="E21" i="23"/>
  <c r="J15" i="23"/>
  <c r="J13" i="23" s="1"/>
  <c r="I15" i="23"/>
  <c r="I13" i="23" s="1"/>
  <c r="H15" i="23"/>
  <c r="G15" i="23"/>
  <c r="F15" i="23"/>
  <c r="E12" i="23"/>
  <c r="J11" i="23"/>
  <c r="I11" i="23"/>
  <c r="L11" i="19" l="1"/>
  <c r="K11" i="19"/>
  <c r="H13" i="23"/>
  <c r="K36" i="23"/>
  <c r="L36" i="23" s="1"/>
  <c r="L35" i="23"/>
  <c r="K15" i="23"/>
  <c r="L15" i="23" s="1"/>
  <c r="F34" i="23"/>
  <c r="K34" i="23" s="1"/>
  <c r="L34" i="23" s="1"/>
  <c r="F85" i="15" l="1"/>
  <c r="P36" i="19"/>
  <c r="H46" i="23" l="1"/>
  <c r="G46" i="23"/>
  <c r="F46" i="23"/>
  <c r="I45" i="23"/>
  <c r="F18" i="19" l="1"/>
  <c r="F12" i="19"/>
  <c r="F11" i="19"/>
  <c r="E16" i="19"/>
  <c r="F17" i="19"/>
  <c r="E11" i="19"/>
  <c r="E17" i="19"/>
  <c r="E18" i="19"/>
  <c r="F24" i="19"/>
  <c r="E12" i="19"/>
  <c r="F16" i="19"/>
  <c r="E45" i="23"/>
  <c r="K46" i="23"/>
  <c r="L46" i="23" s="1"/>
  <c r="J45" i="23"/>
  <c r="H42" i="15"/>
  <c r="H42" i="23"/>
  <c r="I30" i="23"/>
  <c r="I28" i="23" s="1"/>
  <c r="F27" i="23"/>
  <c r="F30" i="23"/>
  <c r="G42" i="23"/>
  <c r="J41" i="23"/>
  <c r="J41" i="15"/>
  <c r="H30" i="23"/>
  <c r="H28" i="23" s="1"/>
  <c r="J30" i="23"/>
  <c r="G30" i="23"/>
  <c r="G42" i="15"/>
  <c r="E20" i="19" l="1"/>
  <c r="I42" i="23"/>
  <c r="E24" i="19"/>
  <c r="E56" i="23"/>
  <c r="C14" i="32" s="1"/>
  <c r="F28" i="19"/>
  <c r="F20" i="19"/>
  <c r="I42" i="15"/>
  <c r="K19" i="19"/>
  <c r="L19" i="19"/>
  <c r="E58" i="23"/>
  <c r="C16" i="32" s="1"/>
  <c r="H62" i="15"/>
  <c r="H66" i="15" s="1"/>
  <c r="F42" i="23"/>
  <c r="F42" i="15"/>
  <c r="I41" i="23"/>
  <c r="I41" i="15"/>
  <c r="J42" i="15"/>
  <c r="J40" i="15" s="1"/>
  <c r="J42" i="23"/>
  <c r="J40" i="23" s="1"/>
  <c r="J28" i="23"/>
  <c r="G28" i="23"/>
  <c r="K30" i="23"/>
  <c r="L30" i="23" s="1"/>
  <c r="I40" i="23" l="1"/>
  <c r="C12" i="32"/>
  <c r="I40" i="15"/>
  <c r="L24" i="19"/>
  <c r="L30" i="19" s="1"/>
  <c r="K24" i="19"/>
  <c r="L17" i="19"/>
  <c r="K17" i="19"/>
  <c r="H64" i="15"/>
  <c r="K12" i="19"/>
  <c r="L12" i="19"/>
  <c r="L10" i="19" s="1"/>
  <c r="K42" i="23"/>
  <c r="L42" i="23" s="1"/>
  <c r="L20" i="19" l="1"/>
  <c r="K20" i="19"/>
  <c r="M29" i="19"/>
  <c r="M27" i="19"/>
  <c r="M25" i="19"/>
  <c r="M23" i="19"/>
  <c r="M21" i="19"/>
  <c r="M13" i="19"/>
  <c r="F30" i="19"/>
  <c r="E30" i="19"/>
  <c r="C30" i="19"/>
  <c r="B30" i="19"/>
  <c r="J29" i="19"/>
  <c r="G29" i="19"/>
  <c r="R28" i="19"/>
  <c r="G28" i="19"/>
  <c r="D28" i="19"/>
  <c r="V28" i="19" s="1"/>
  <c r="J27" i="19"/>
  <c r="G27" i="19"/>
  <c r="P27" i="19"/>
  <c r="D27" i="19"/>
  <c r="G26" i="19"/>
  <c r="D26" i="19"/>
  <c r="U26" i="19" s="1"/>
  <c r="J25" i="19"/>
  <c r="G25" i="19"/>
  <c r="P25" i="19"/>
  <c r="D25" i="19"/>
  <c r="G24" i="19"/>
  <c r="D24" i="19"/>
  <c r="U24" i="19" s="1"/>
  <c r="J23" i="19"/>
  <c r="G23" i="19"/>
  <c r="P23" i="19"/>
  <c r="D23" i="19"/>
  <c r="J21" i="19"/>
  <c r="G21" i="19"/>
  <c r="P21" i="19"/>
  <c r="D21" i="19"/>
  <c r="G20" i="19"/>
  <c r="D20" i="19"/>
  <c r="V20" i="19" s="1"/>
  <c r="G19" i="19"/>
  <c r="W19" i="19" s="1"/>
  <c r="D19" i="19"/>
  <c r="V19" i="19" s="1"/>
  <c r="G18" i="19"/>
  <c r="W18" i="19" s="1"/>
  <c r="D18" i="19"/>
  <c r="U18" i="19" s="1"/>
  <c r="G17" i="19"/>
  <c r="W17" i="19" s="1"/>
  <c r="D17" i="19"/>
  <c r="V17" i="19" s="1"/>
  <c r="G16" i="19"/>
  <c r="W16" i="19" s="1"/>
  <c r="D16" i="19"/>
  <c r="F15" i="19"/>
  <c r="F14" i="19" s="1"/>
  <c r="E15" i="19"/>
  <c r="C15" i="19"/>
  <c r="C14" i="19" s="1"/>
  <c r="B15" i="19"/>
  <c r="J13" i="19"/>
  <c r="G13" i="19"/>
  <c r="P13" i="19"/>
  <c r="D13" i="19"/>
  <c r="G12" i="19"/>
  <c r="W12" i="19" s="1"/>
  <c r="D12" i="19"/>
  <c r="V12" i="19" s="1"/>
  <c r="G11" i="19"/>
  <c r="B11" i="19"/>
  <c r="D11" i="19" s="1"/>
  <c r="F10" i="19"/>
  <c r="E10" i="19"/>
  <c r="C10" i="19"/>
  <c r="M20" i="19" l="1"/>
  <c r="G30" i="19"/>
  <c r="G15" i="19"/>
  <c r="E14" i="19"/>
  <c r="E22" i="19" s="1"/>
  <c r="E32" i="19" s="1"/>
  <c r="R26" i="19"/>
  <c r="S26" i="19"/>
  <c r="V18" i="19"/>
  <c r="W26" i="19"/>
  <c r="M19" i="19"/>
  <c r="R11" i="19"/>
  <c r="T11" i="19"/>
  <c r="V24" i="19"/>
  <c r="W11" i="19"/>
  <c r="S18" i="19"/>
  <c r="S19" i="19"/>
  <c r="W20" i="19"/>
  <c r="W24" i="19"/>
  <c r="V26" i="19"/>
  <c r="W28" i="19"/>
  <c r="B10" i="19"/>
  <c r="D10" i="19" s="1"/>
  <c r="U10" i="19" s="1"/>
  <c r="D15" i="19"/>
  <c r="U19" i="19"/>
  <c r="D30" i="19"/>
  <c r="M17" i="19"/>
  <c r="S15" i="19"/>
  <c r="S28" i="19"/>
  <c r="S16" i="19"/>
  <c r="C22" i="19"/>
  <c r="C32" i="19" s="1"/>
  <c r="T12" i="19"/>
  <c r="T20" i="19"/>
  <c r="S20" i="19"/>
  <c r="R16" i="19"/>
  <c r="T16" i="19"/>
  <c r="V15" i="19"/>
  <c r="T19" i="19"/>
  <c r="R19" i="19"/>
  <c r="G10" i="19"/>
  <c r="V11" i="19"/>
  <c r="S11" i="19"/>
  <c r="S12" i="19"/>
  <c r="B14" i="19"/>
  <c r="D14" i="19" s="1"/>
  <c r="U16" i="19"/>
  <c r="T24" i="19"/>
  <c r="T26" i="19"/>
  <c r="U28" i="19"/>
  <c r="V16" i="19"/>
  <c r="U17" i="19"/>
  <c r="F22" i="19"/>
  <c r="F32" i="19" s="1"/>
  <c r="R24" i="19"/>
  <c r="U11" i="19"/>
  <c r="U12" i="19"/>
  <c r="R17" i="19"/>
  <c r="U20" i="19"/>
  <c r="S24" i="19"/>
  <c r="R12" i="19"/>
  <c r="R20" i="19"/>
  <c r="G14" i="19" l="1"/>
  <c r="W15" i="19"/>
  <c r="U14" i="19"/>
  <c r="W30" i="19"/>
  <c r="U15" i="19"/>
  <c r="R30" i="19"/>
  <c r="V30" i="19"/>
  <c r="U30" i="19"/>
  <c r="R10" i="19"/>
  <c r="V10" i="19"/>
  <c r="W10" i="19"/>
  <c r="V14" i="19"/>
  <c r="T28" i="19"/>
  <c r="S14" i="19"/>
  <c r="G32" i="19"/>
  <c r="E34" i="19" s="1"/>
  <c r="T15" i="19"/>
  <c r="R15" i="19"/>
  <c r="S17" i="19"/>
  <c r="T17" i="19"/>
  <c r="S10" i="19"/>
  <c r="G22" i="19"/>
  <c r="T10" i="19"/>
  <c r="R18" i="19"/>
  <c r="T18" i="19"/>
  <c r="W14" i="19"/>
  <c r="B22" i="19"/>
  <c r="E54" i="15" l="1"/>
  <c r="E56" i="15"/>
  <c r="S30" i="19"/>
  <c r="T30" i="19"/>
  <c r="B32" i="19"/>
  <c r="D22" i="19"/>
  <c r="W22" i="19" s="1"/>
  <c r="F34" i="19"/>
  <c r="G34" i="19" s="1"/>
  <c r="J43" i="15"/>
  <c r="J36" i="15"/>
  <c r="J30" i="15"/>
  <c r="J28" i="15" s="1"/>
  <c r="J15" i="15"/>
  <c r="I43" i="15"/>
  <c r="I36" i="15"/>
  <c r="I34" i="15" s="1"/>
  <c r="I30" i="15"/>
  <c r="I28" i="15" s="1"/>
  <c r="I15" i="15"/>
  <c r="I13" i="15" s="1"/>
  <c r="H36" i="15"/>
  <c r="H34" i="15" s="1"/>
  <c r="H30" i="15"/>
  <c r="H15" i="15"/>
  <c r="H13" i="15" s="1"/>
  <c r="G36" i="15"/>
  <c r="G34" i="15" s="1"/>
  <c r="G30" i="15"/>
  <c r="G28" i="15" s="1"/>
  <c r="G15" i="15"/>
  <c r="F36" i="15"/>
  <c r="F30" i="15"/>
  <c r="F27" i="15"/>
  <c r="F15" i="15"/>
  <c r="E35" i="15"/>
  <c r="E34" i="15" s="1"/>
  <c r="K35" i="15"/>
  <c r="E24" i="15"/>
  <c r="E21" i="15" s="1"/>
  <c r="J23" i="15"/>
  <c r="I23" i="15"/>
  <c r="J13" i="15"/>
  <c r="E12" i="15"/>
  <c r="J11" i="15"/>
  <c r="I11" i="15"/>
  <c r="E52" i="15" l="1"/>
  <c r="E54" i="23"/>
  <c r="K15" i="15"/>
  <c r="L15" i="15" s="1"/>
  <c r="E47" i="15"/>
  <c r="L35" i="15"/>
  <c r="K30" i="15"/>
  <c r="H28" i="15"/>
  <c r="K36" i="15"/>
  <c r="S22" i="19"/>
  <c r="T14" i="19"/>
  <c r="R14" i="19"/>
  <c r="D32" i="19"/>
  <c r="S32" i="19" s="1"/>
  <c r="U22" i="19"/>
  <c r="V22" i="19"/>
  <c r="F34" i="15"/>
  <c r="J34" i="15"/>
  <c r="B34" i="19" l="1"/>
  <c r="L30" i="15"/>
  <c r="F33" i="23"/>
  <c r="F33" i="15"/>
  <c r="F24" i="15" s="1"/>
  <c r="O19" i="19"/>
  <c r="J19" i="19"/>
  <c r="N19" i="19"/>
  <c r="L36" i="15"/>
  <c r="T22" i="19"/>
  <c r="R22" i="19"/>
  <c r="T32" i="19"/>
  <c r="U32" i="19"/>
  <c r="V32" i="19"/>
  <c r="C34" i="19"/>
  <c r="D34" i="19" s="1"/>
  <c r="W32" i="19"/>
  <c r="R32" i="19"/>
  <c r="K34" i="15"/>
  <c r="L34" i="15" s="1"/>
  <c r="F24" i="23" l="1"/>
  <c r="P19" i="19" l="1"/>
  <c r="L68" i="15" l="1"/>
  <c r="H33" i="15" l="1"/>
  <c r="H31" i="15" s="1"/>
  <c r="I18" i="23"/>
  <c r="I18" i="15"/>
  <c r="H27" i="15"/>
  <c r="G33" i="23"/>
  <c r="I33" i="15"/>
  <c r="I31" i="15" s="1"/>
  <c r="I33" i="23"/>
  <c r="I31" i="23" s="1"/>
  <c r="J33" i="23"/>
  <c r="J31" i="23" s="1"/>
  <c r="F39" i="23"/>
  <c r="F21" i="23" s="1"/>
  <c r="F39" i="15"/>
  <c r="F21" i="15" s="1"/>
  <c r="J18" i="23"/>
  <c r="J18" i="15"/>
  <c r="G18" i="23"/>
  <c r="G12" i="23" s="1"/>
  <c r="G18" i="15"/>
  <c r="G12" i="15" s="1"/>
  <c r="H18" i="23"/>
  <c r="H12" i="23" s="1"/>
  <c r="H18" i="15"/>
  <c r="H12" i="15" s="1"/>
  <c r="I39" i="23"/>
  <c r="I39" i="15"/>
  <c r="J39" i="23"/>
  <c r="J39" i="15"/>
  <c r="H33" i="23"/>
  <c r="H31" i="23" s="1"/>
  <c r="F18" i="23"/>
  <c r="F18" i="15"/>
  <c r="J44" i="23"/>
  <c r="J44" i="15"/>
  <c r="I44" i="23"/>
  <c r="I44" i="15"/>
  <c r="H39" i="23"/>
  <c r="H39" i="15"/>
  <c r="G39" i="23"/>
  <c r="G39" i="15"/>
  <c r="J33" i="15"/>
  <c r="G33" i="15"/>
  <c r="H27" i="23" l="1"/>
  <c r="H24" i="23" s="1"/>
  <c r="H21" i="23" s="1"/>
  <c r="H49" i="23" s="1"/>
  <c r="I27" i="15"/>
  <c r="I25" i="15" s="1"/>
  <c r="I27" i="23"/>
  <c r="I24" i="23" s="1"/>
  <c r="K18" i="19"/>
  <c r="L18" i="19"/>
  <c r="H24" i="15"/>
  <c r="H21" i="15" s="1"/>
  <c r="H47" i="15" s="1"/>
  <c r="J16" i="23"/>
  <c r="J12" i="23"/>
  <c r="I16" i="15"/>
  <c r="I12" i="15"/>
  <c r="I10" i="15" s="1"/>
  <c r="J27" i="15"/>
  <c r="J25" i="15" s="1"/>
  <c r="J27" i="23"/>
  <c r="J16" i="15"/>
  <c r="J12" i="15"/>
  <c r="J10" i="15" s="1"/>
  <c r="I16" i="23"/>
  <c r="I12" i="23"/>
  <c r="I38" i="15"/>
  <c r="I37" i="15" s="1"/>
  <c r="I38" i="23"/>
  <c r="F12" i="23"/>
  <c r="F49" i="23" s="1"/>
  <c r="K18" i="23"/>
  <c r="L18" i="23" s="1"/>
  <c r="G27" i="23"/>
  <c r="G27" i="15"/>
  <c r="J38" i="23"/>
  <c r="K18" i="15"/>
  <c r="L18" i="15" s="1"/>
  <c r="F12" i="15"/>
  <c r="K33" i="23"/>
  <c r="L33" i="23" s="1"/>
  <c r="K39" i="23"/>
  <c r="L39" i="23" s="1"/>
  <c r="K39" i="15"/>
  <c r="J31" i="15"/>
  <c r="J38" i="15"/>
  <c r="K42" i="15"/>
  <c r="L42" i="15" s="1"/>
  <c r="K33" i="15"/>
  <c r="I20" i="15" l="1"/>
  <c r="I46" i="15" s="1"/>
  <c r="I25" i="23"/>
  <c r="I24" i="15"/>
  <c r="I22" i="15" s="1"/>
  <c r="K27" i="15"/>
  <c r="L27" i="15" s="1"/>
  <c r="L33" i="15"/>
  <c r="K12" i="15"/>
  <c r="L12" i="15" s="1"/>
  <c r="G24" i="15"/>
  <c r="G21" i="15" s="1"/>
  <c r="I21" i="15"/>
  <c r="I47" i="15" s="1"/>
  <c r="I45" i="15" s="1"/>
  <c r="M18" i="19"/>
  <c r="J20" i="23"/>
  <c r="J48" i="23" s="1"/>
  <c r="J37" i="23"/>
  <c r="I37" i="23"/>
  <c r="I20" i="23"/>
  <c r="I48" i="23" s="1"/>
  <c r="F47" i="15"/>
  <c r="I10" i="23"/>
  <c r="J10" i="23"/>
  <c r="J24" i="15"/>
  <c r="K27" i="23"/>
  <c r="L27" i="23" s="1"/>
  <c r="G24" i="23"/>
  <c r="J25" i="23"/>
  <c r="J24" i="23"/>
  <c r="I21" i="23"/>
  <c r="I49" i="23" s="1"/>
  <c r="I22" i="23"/>
  <c r="K12" i="23"/>
  <c r="L12" i="23" s="1"/>
  <c r="L39" i="15"/>
  <c r="J37" i="15"/>
  <c r="J20" i="15"/>
  <c r="J46" i="15" s="1"/>
  <c r="K24" i="15" l="1"/>
  <c r="L24" i="15" s="1"/>
  <c r="I19" i="15"/>
  <c r="K16" i="19"/>
  <c r="K15" i="19" s="1"/>
  <c r="L16" i="19"/>
  <c r="L15" i="19" s="1"/>
  <c r="L14" i="19" s="1"/>
  <c r="L22" i="19" s="1"/>
  <c r="E43" i="23"/>
  <c r="J21" i="15"/>
  <c r="J47" i="15" s="1"/>
  <c r="J45" i="15" s="1"/>
  <c r="J22" i="15"/>
  <c r="G62" i="15"/>
  <c r="K24" i="23"/>
  <c r="L24" i="23" s="1"/>
  <c r="G21" i="23"/>
  <c r="G49" i="23" s="1"/>
  <c r="I19" i="23"/>
  <c r="J22" i="23"/>
  <c r="J21" i="23"/>
  <c r="J49" i="23" s="1"/>
  <c r="G47" i="15"/>
  <c r="I54" i="15"/>
  <c r="I56" i="15"/>
  <c r="E43" i="15"/>
  <c r="K47" i="15" l="1"/>
  <c r="L47" i="15" s="1"/>
  <c r="E44" i="23"/>
  <c r="E32" i="15"/>
  <c r="E31" i="15" s="1"/>
  <c r="E32" i="23"/>
  <c r="J47" i="23"/>
  <c r="J56" i="23" s="1"/>
  <c r="J19" i="15"/>
  <c r="J54" i="15"/>
  <c r="G66" i="15"/>
  <c r="G64" i="15"/>
  <c r="E26" i="15"/>
  <c r="E26" i="23"/>
  <c r="E17" i="15"/>
  <c r="E16" i="15" s="1"/>
  <c r="E17" i="23"/>
  <c r="E41" i="15"/>
  <c r="E40" i="15" s="1"/>
  <c r="E41" i="23"/>
  <c r="K21" i="15"/>
  <c r="L21" i="15" s="1"/>
  <c r="J56" i="15"/>
  <c r="I47" i="23"/>
  <c r="I56" i="23" s="1"/>
  <c r="G14" i="32" s="1"/>
  <c r="E14" i="15"/>
  <c r="E13" i="15" s="1"/>
  <c r="E14" i="23"/>
  <c r="E29" i="15"/>
  <c r="E28" i="15" s="1"/>
  <c r="E29" i="23"/>
  <c r="K21" i="23"/>
  <c r="L21" i="23" s="1"/>
  <c r="K49" i="23"/>
  <c r="L49" i="23" s="1"/>
  <c r="J19" i="23"/>
  <c r="I52" i="15"/>
  <c r="E44" i="15"/>
  <c r="E23" i="15" l="1"/>
  <c r="H14" i="32"/>
  <c r="J58" i="23"/>
  <c r="H16" i="32" s="1"/>
  <c r="E25" i="15"/>
  <c r="I58" i="23"/>
  <c r="G16" i="32" s="1"/>
  <c r="E28" i="23"/>
  <c r="E31" i="23"/>
  <c r="E16" i="23"/>
  <c r="E11" i="15"/>
  <c r="E13" i="23"/>
  <c r="E11" i="23"/>
  <c r="E25" i="23"/>
  <c r="E23" i="23"/>
  <c r="E38" i="15"/>
  <c r="E37" i="15" s="1"/>
  <c r="E38" i="23"/>
  <c r="E37" i="23" s="1"/>
  <c r="E40" i="23"/>
  <c r="E10" i="15"/>
  <c r="E20" i="15" l="1"/>
  <c r="E46" i="15" s="1"/>
  <c r="E45" i="15" s="1"/>
  <c r="E22" i="15"/>
  <c r="H12" i="32"/>
  <c r="G12" i="32"/>
  <c r="I54" i="23"/>
  <c r="J54" i="23"/>
  <c r="E22" i="23"/>
  <c r="E20" i="23"/>
  <c r="E10" i="23"/>
  <c r="E19" i="15" l="1"/>
  <c r="E48" i="23"/>
  <c r="E47" i="23" s="1"/>
  <c r="E19" i="23"/>
  <c r="M16" i="19"/>
  <c r="M12" i="19"/>
  <c r="K14" i="19" l="1"/>
  <c r="M14" i="19" s="1"/>
  <c r="M15" i="19"/>
  <c r="N62" i="10"/>
  <c r="N61" i="10" s="1"/>
  <c r="N59" i="10" s="1"/>
  <c r="O62" i="10"/>
  <c r="O61" i="10" s="1"/>
  <c r="O59" i="10" s="1"/>
  <c r="P62" i="10"/>
  <c r="P61" i="10" s="1"/>
  <c r="P59" i="10" s="1"/>
  <c r="Q62" i="10"/>
  <c r="Q61" i="10" s="1"/>
  <c r="Q59" i="10" s="1"/>
  <c r="R62" i="10"/>
  <c r="R61" i="10" s="1"/>
  <c r="R59" i="10" s="1"/>
  <c r="S62" i="10"/>
  <c r="S61" i="10" s="1"/>
  <c r="S59" i="10" s="1"/>
  <c r="T62" i="10"/>
  <c r="T61" i="10" s="1"/>
  <c r="T59" i="10" s="1"/>
  <c r="V62" i="10"/>
  <c r="V61" i="10" s="1"/>
  <c r="V59" i="10" s="1"/>
  <c r="W62" i="10"/>
  <c r="W61" i="10" s="1"/>
  <c r="W59" i="10" s="1"/>
  <c r="X62" i="10"/>
  <c r="X61" i="10" s="1"/>
  <c r="X59" i="10" s="1"/>
  <c r="Y62" i="10"/>
  <c r="Y61" i="10" s="1"/>
  <c r="Y59" i="10" s="1"/>
  <c r="Z62" i="10"/>
  <c r="Z61" i="10" s="1"/>
  <c r="Z59" i="10" s="1"/>
  <c r="AA62" i="10"/>
  <c r="AA61" i="10" s="1"/>
  <c r="AA59" i="10" s="1"/>
  <c r="AB62" i="10"/>
  <c r="AB61" i="10" s="1"/>
  <c r="AB59" i="10" s="1"/>
  <c r="AC62" i="10"/>
  <c r="AC61" i="10" s="1"/>
  <c r="AC59" i="10" s="1"/>
  <c r="AD62" i="10"/>
  <c r="AD61" i="10" s="1"/>
  <c r="AD59" i="10" s="1"/>
  <c r="AE62" i="10"/>
  <c r="AE61" i="10" s="1"/>
  <c r="AE59" i="10" s="1"/>
  <c r="AF62" i="10"/>
  <c r="AF61" i="10" s="1"/>
  <c r="AF59" i="10" s="1"/>
  <c r="AG62" i="10"/>
  <c r="AG61" i="10" s="1"/>
  <c r="AG59" i="10" s="1"/>
  <c r="AI62" i="10"/>
  <c r="AI61" i="10" s="1"/>
  <c r="AI59" i="10" s="1"/>
  <c r="AJ62" i="10"/>
  <c r="AJ61" i="10" s="1"/>
  <c r="AJ59" i="10" s="1"/>
  <c r="AK62" i="10"/>
  <c r="AK61" i="10" s="1"/>
  <c r="AK59" i="10" s="1"/>
  <c r="AL62" i="10"/>
  <c r="AL61" i="10" s="1"/>
  <c r="AL59" i="10" s="1"/>
  <c r="AM62" i="10"/>
  <c r="AM61" i="10" s="1"/>
  <c r="AM59" i="10" s="1"/>
  <c r="AN62" i="10"/>
  <c r="AN61" i="10" s="1"/>
  <c r="AN59" i="10" s="1"/>
  <c r="AO62" i="10"/>
  <c r="AO61" i="10" s="1"/>
  <c r="AO59" i="10" s="1"/>
  <c r="AP62" i="10"/>
  <c r="AP61" i="10" s="1"/>
  <c r="AP59" i="10" s="1"/>
  <c r="AQ62" i="10"/>
  <c r="AQ61" i="10" s="1"/>
  <c r="AQ59" i="10" s="1"/>
  <c r="AR62" i="10"/>
  <c r="AR61" i="10" s="1"/>
  <c r="AR59" i="10" s="1"/>
  <c r="AS62" i="10"/>
  <c r="AS61" i="10" s="1"/>
  <c r="AS59" i="10" s="1"/>
  <c r="AT62" i="10"/>
  <c r="AT61" i="10" s="1"/>
  <c r="AT59" i="10" s="1"/>
  <c r="Q60" i="7"/>
  <c r="P60" i="7"/>
  <c r="O60" i="7"/>
  <c r="O37" i="7"/>
  <c r="Q36" i="7"/>
  <c r="P36" i="7"/>
  <c r="O36" i="7"/>
  <c r="Q27" i="7"/>
  <c r="Q26" i="7"/>
  <c r="O27" i="7"/>
  <c r="P27" i="7"/>
  <c r="P26" i="7"/>
  <c r="O26" i="7"/>
  <c r="M24" i="19" l="1"/>
  <c r="U44" i="10" l="1"/>
  <c r="U8" i="10"/>
  <c r="U7" i="10"/>
  <c r="AV36" i="10"/>
  <c r="AV27" i="10"/>
  <c r="AV26" i="10"/>
  <c r="AV64" i="10"/>
  <c r="AU64" i="10"/>
  <c r="AU63" i="10"/>
  <c r="AU58" i="10"/>
  <c r="AV58" i="10" s="1"/>
  <c r="AU57" i="10"/>
  <c r="AV57" i="10" s="1"/>
  <c r="AU56" i="10"/>
  <c r="AV56" i="10" s="1"/>
  <c r="AU55" i="10"/>
  <c r="AV55" i="10" s="1"/>
  <c r="AU54" i="10"/>
  <c r="AU53" i="10"/>
  <c r="AV53" i="10" s="1"/>
  <c r="AU52" i="10"/>
  <c r="AU51" i="10"/>
  <c r="AU47" i="10"/>
  <c r="AV47" i="10" s="1"/>
  <c r="AU46" i="10"/>
  <c r="AU45" i="10"/>
  <c r="AU44" i="10"/>
  <c r="AU42" i="10"/>
  <c r="AU41" i="10"/>
  <c r="AU40" i="10"/>
  <c r="AU39" i="10"/>
  <c r="AU38" i="10"/>
  <c r="AU37" i="10"/>
  <c r="AU32" i="10"/>
  <c r="AU31" i="10"/>
  <c r="AU30" i="10"/>
  <c r="AU29" i="10"/>
  <c r="AU28" i="10"/>
  <c r="AU21" i="10"/>
  <c r="AU19" i="10"/>
  <c r="AU18" i="10"/>
  <c r="AU17" i="10"/>
  <c r="AU16" i="10"/>
  <c r="AU15" i="10"/>
  <c r="AU14" i="10"/>
  <c r="AU13" i="10"/>
  <c r="AU12" i="10"/>
  <c r="AU11" i="10"/>
  <c r="AU10" i="10"/>
  <c r="AU8" i="10"/>
  <c r="AU7" i="10"/>
  <c r="AH64" i="10"/>
  <c r="AH63" i="10"/>
  <c r="AH58" i="10"/>
  <c r="AH57" i="10"/>
  <c r="AH56" i="10"/>
  <c r="AH55" i="10"/>
  <c r="AH54" i="10"/>
  <c r="AH53" i="10"/>
  <c r="AH46" i="10"/>
  <c r="AH44" i="10"/>
  <c r="AV44" i="10" s="1"/>
  <c r="AH42" i="10"/>
  <c r="AH41" i="10"/>
  <c r="AH40" i="10"/>
  <c r="AH39" i="10"/>
  <c r="AH38" i="10"/>
  <c r="AH37" i="10"/>
  <c r="AV37" i="10" s="1"/>
  <c r="AH32" i="10"/>
  <c r="AH31" i="10"/>
  <c r="AH30" i="10"/>
  <c r="AH29" i="10"/>
  <c r="AH28" i="10"/>
  <c r="AH19" i="10"/>
  <c r="AH18" i="10"/>
  <c r="AH17" i="10"/>
  <c r="AH16" i="10"/>
  <c r="AH15" i="10"/>
  <c r="AH14" i="10"/>
  <c r="AH13" i="10"/>
  <c r="AH12" i="10"/>
  <c r="AH11" i="10"/>
  <c r="AH10" i="10"/>
  <c r="AH7" i="10"/>
  <c r="AH47" i="10"/>
  <c r="U64" i="10"/>
  <c r="U63" i="10"/>
  <c r="U58" i="10"/>
  <c r="U57" i="10"/>
  <c r="U56" i="10"/>
  <c r="U55" i="10"/>
  <c r="U54" i="10"/>
  <c r="AV54" i="10" s="1"/>
  <c r="U53" i="10"/>
  <c r="U52" i="10"/>
  <c r="U47" i="10"/>
  <c r="U46" i="10"/>
  <c r="U45" i="10"/>
  <c r="U42" i="10"/>
  <c r="U41" i="10"/>
  <c r="AV41" i="10" s="1"/>
  <c r="U40" i="10"/>
  <c r="U39" i="10"/>
  <c r="AV39" i="10" s="1"/>
  <c r="U38" i="10"/>
  <c r="U34" i="10"/>
  <c r="U33" i="10"/>
  <c r="U32" i="10"/>
  <c r="AV32" i="10" s="1"/>
  <c r="M32" i="7" s="1"/>
  <c r="U31" i="10"/>
  <c r="U30" i="10"/>
  <c r="U29" i="10"/>
  <c r="U28" i="10"/>
  <c r="U22" i="10"/>
  <c r="U21" i="10"/>
  <c r="U20" i="10"/>
  <c r="U17" i="10"/>
  <c r="AV17" i="10" s="1"/>
  <c r="M17" i="7" s="1"/>
  <c r="U16" i="10"/>
  <c r="U15" i="10"/>
  <c r="U14" i="10"/>
  <c r="U13" i="10"/>
  <c r="AV13" i="10" s="1"/>
  <c r="U12" i="10"/>
  <c r="U11" i="10"/>
  <c r="AV11" i="10" s="1"/>
  <c r="U10" i="10"/>
  <c r="AA52" i="10"/>
  <c r="AH52" i="10" s="1"/>
  <c r="F45" i="23" l="1"/>
  <c r="U6" i="10"/>
  <c r="U43" i="10"/>
  <c r="O10" i="7"/>
  <c r="O33" i="7"/>
  <c r="P16" i="7"/>
  <c r="P46" i="7"/>
  <c r="Q10" i="7"/>
  <c r="Q37" i="7"/>
  <c r="O15" i="7"/>
  <c r="O12" i="7"/>
  <c r="O31" i="7"/>
  <c r="O38" i="7"/>
  <c r="O52" i="7"/>
  <c r="P10" i="7"/>
  <c r="P14" i="7"/>
  <c r="P18" i="7"/>
  <c r="AV30" i="10"/>
  <c r="M30" i="7" s="1"/>
  <c r="P38" i="7"/>
  <c r="P42" i="7"/>
  <c r="AU6" i="10"/>
  <c r="Q7" i="7"/>
  <c r="Q12" i="7"/>
  <c r="Q16" i="7"/>
  <c r="Q21" i="7"/>
  <c r="Q31" i="7"/>
  <c r="Q39" i="7"/>
  <c r="AU43" i="10"/>
  <c r="Q44" i="7"/>
  <c r="Q51" i="7"/>
  <c r="AU62" i="10"/>
  <c r="AU61" i="10" s="1"/>
  <c r="AU59" i="10" s="1"/>
  <c r="Q63" i="7"/>
  <c r="Q62" i="7" s="1"/>
  <c r="Q61" i="7" s="1"/>
  <c r="Q59" i="7" s="1"/>
  <c r="AV15" i="10"/>
  <c r="AV46" i="10"/>
  <c r="M46" i="7" s="1"/>
  <c r="O20" i="7"/>
  <c r="O40" i="7"/>
  <c r="P28" i="7"/>
  <c r="P40" i="7"/>
  <c r="Q14" i="7"/>
  <c r="Q29" i="7"/>
  <c r="Q46" i="7"/>
  <c r="F14" i="23"/>
  <c r="F14" i="15"/>
  <c r="O11" i="7"/>
  <c r="P52" i="7"/>
  <c r="O16" i="7"/>
  <c r="O22" i="7"/>
  <c r="O42" i="7"/>
  <c r="O13" i="7"/>
  <c r="O28" i="7"/>
  <c r="O32" i="7"/>
  <c r="O39" i="7"/>
  <c r="O45" i="7"/>
  <c r="P11" i="7"/>
  <c r="P15" i="7"/>
  <c r="P19" i="7"/>
  <c r="P31" i="7"/>
  <c r="P39" i="7"/>
  <c r="P44" i="7"/>
  <c r="P63" i="7"/>
  <c r="P62" i="7" s="1"/>
  <c r="P61" i="7" s="1"/>
  <c r="P59" i="7" s="1"/>
  <c r="AH62" i="10"/>
  <c r="AH61" i="10" s="1"/>
  <c r="AH59" i="10" s="1"/>
  <c r="Q8" i="7"/>
  <c r="Q13" i="7"/>
  <c r="Q17" i="7"/>
  <c r="Q28" i="7"/>
  <c r="Q32" i="7"/>
  <c r="Q40" i="7"/>
  <c r="Q45" i="7"/>
  <c r="Q52" i="7"/>
  <c r="AV12" i="10"/>
  <c r="AV16" i="10"/>
  <c r="AV28" i="10"/>
  <c r="AV38" i="10"/>
  <c r="AV42" i="10"/>
  <c r="M42" i="7" s="1"/>
  <c r="AV7" i="10"/>
  <c r="O7" i="7"/>
  <c r="O14" i="7"/>
  <c r="O29" i="7"/>
  <c r="O46" i="7"/>
  <c r="P12" i="7"/>
  <c r="P32" i="7"/>
  <c r="Q18" i="7"/>
  <c r="Q41" i="7"/>
  <c r="AV29" i="10"/>
  <c r="O30" i="7"/>
  <c r="O34" i="7"/>
  <c r="O41" i="7"/>
  <c r="U62" i="10"/>
  <c r="U61" i="10" s="1"/>
  <c r="U59" i="10" s="1"/>
  <c r="AV63" i="10"/>
  <c r="O63" i="7"/>
  <c r="O62" i="7" s="1"/>
  <c r="O61" i="7" s="1"/>
  <c r="O59" i="7" s="1"/>
  <c r="P8" i="7"/>
  <c r="P13" i="7"/>
  <c r="P17" i="7"/>
  <c r="P29" i="7"/>
  <c r="P37" i="7"/>
  <c r="P41" i="7"/>
  <c r="Q11" i="7"/>
  <c r="Q15" i="7"/>
  <c r="Q19" i="7"/>
  <c r="Q30" i="7"/>
  <c r="Q38" i="7"/>
  <c r="Q42" i="7"/>
  <c r="AV10" i="10"/>
  <c r="M10" i="7" s="1"/>
  <c r="AV14" i="10"/>
  <c r="AV31" i="10"/>
  <c r="AV40" i="10"/>
  <c r="AV52" i="10"/>
  <c r="M52" i="7" s="1"/>
  <c r="O44" i="7"/>
  <c r="Q65" i="7"/>
  <c r="P65" i="7"/>
  <c r="O21" i="7"/>
  <c r="O17" i="7"/>
  <c r="O8" i="7"/>
  <c r="P30" i="7"/>
  <c r="O65" i="7"/>
  <c r="AU35" i="10"/>
  <c r="U25" i="10"/>
  <c r="AH35" i="10"/>
  <c r="U35" i="10"/>
  <c r="J52" i="10"/>
  <c r="Z51" i="10"/>
  <c r="Y51" i="10"/>
  <c r="X51" i="10"/>
  <c r="W51" i="10"/>
  <c r="V51" i="10"/>
  <c r="T51" i="10"/>
  <c r="U51" i="10" s="1"/>
  <c r="AJ50" i="10"/>
  <c r="AI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Y45" i="10"/>
  <c r="X45" i="10"/>
  <c r="W45" i="10"/>
  <c r="V45" i="10"/>
  <c r="AT34" i="10"/>
  <c r="AS34" i="10"/>
  <c r="AR34" i="10"/>
  <c r="AQ34" i="10"/>
  <c r="AP34" i="10"/>
  <c r="AO34" i="10"/>
  <c r="AN34" i="10"/>
  <c r="AM34" i="10"/>
  <c r="AL34" i="10"/>
  <c r="AK34" i="10"/>
  <c r="AJ34" i="10"/>
  <c r="AI34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V33" i="10"/>
  <c r="W33" i="10"/>
  <c r="X33" i="10"/>
  <c r="Y33" i="10"/>
  <c r="Z33" i="10"/>
  <c r="AA33" i="10"/>
  <c r="AB33" i="10"/>
  <c r="AC33" i="10"/>
  <c r="AD33" i="10"/>
  <c r="AE33" i="10"/>
  <c r="AF33" i="10"/>
  <c r="AG33" i="10"/>
  <c r="AK33" i="10"/>
  <c r="AJ33" i="10"/>
  <c r="AI33" i="10"/>
  <c r="AV35" i="10" l="1"/>
  <c r="Q43" i="7"/>
  <c r="O6" i="7"/>
  <c r="F32" i="15"/>
  <c r="F31" i="15" s="1"/>
  <c r="F32" i="23"/>
  <c r="F31" i="23" s="1"/>
  <c r="O51" i="7"/>
  <c r="F26" i="23"/>
  <c r="F26" i="15"/>
  <c r="P35" i="7"/>
  <c r="Q35" i="7"/>
  <c r="U24" i="10"/>
  <c r="F29" i="23"/>
  <c r="F29" i="15"/>
  <c r="O43" i="7"/>
  <c r="F13" i="15"/>
  <c r="M63" i="7"/>
  <c r="AV62" i="10"/>
  <c r="AV61" i="10" s="1"/>
  <c r="AV59" i="10" s="1"/>
  <c r="O25" i="7"/>
  <c r="F13" i="23"/>
  <c r="O35" i="7"/>
  <c r="Q6" i="7"/>
  <c r="F44" i="23"/>
  <c r="F44" i="15"/>
  <c r="M65" i="7"/>
  <c r="N65" i="7" s="1"/>
  <c r="S65" i="7" s="1"/>
  <c r="AU33" i="10"/>
  <c r="AH34" i="10"/>
  <c r="AU34" i="10"/>
  <c r="AH45" i="10"/>
  <c r="AH50" i="10"/>
  <c r="AU50" i="10"/>
  <c r="AH33" i="10"/>
  <c r="AH51" i="10"/>
  <c r="AV51" i="10" s="1"/>
  <c r="M51" i="7" s="1"/>
  <c r="AI22" i="10"/>
  <c r="AU22" i="10" s="1"/>
  <c r="V22" i="10"/>
  <c r="AH22" i="10" s="1"/>
  <c r="Z21" i="10"/>
  <c r="AH21" i="10" s="1"/>
  <c r="AB20" i="10"/>
  <c r="AC20" i="10"/>
  <c r="AD20" i="10"/>
  <c r="AE20" i="10"/>
  <c r="AF20" i="10"/>
  <c r="AG20" i="10"/>
  <c r="AI20" i="10"/>
  <c r="AJ20" i="10"/>
  <c r="AK20" i="10"/>
  <c r="AL20" i="10"/>
  <c r="AM20" i="10"/>
  <c r="AP20" i="10" s="1"/>
  <c r="AA20" i="10"/>
  <c r="O18" i="10"/>
  <c r="U18" i="10" s="1"/>
  <c r="H45" i="23" l="1"/>
  <c r="G45" i="23"/>
  <c r="I28" i="19"/>
  <c r="H28" i="19"/>
  <c r="P21" i="7"/>
  <c r="AV21" i="10"/>
  <c r="M21" i="7" s="1"/>
  <c r="K63" i="10"/>
  <c r="N63" i="7"/>
  <c r="S63" i="7" s="1"/>
  <c r="F25" i="23"/>
  <c r="F23" i="23"/>
  <c r="Q22" i="7"/>
  <c r="Q33" i="7"/>
  <c r="AH25" i="10"/>
  <c r="P33" i="7"/>
  <c r="AV33" i="10"/>
  <c r="AU25" i="10"/>
  <c r="Q34" i="7"/>
  <c r="P22" i="7"/>
  <c r="AV22" i="10"/>
  <c r="M22" i="7" s="1"/>
  <c r="AU49" i="10"/>
  <c r="AU48" i="10" s="1"/>
  <c r="Q50" i="7"/>
  <c r="Q49" i="7" s="1"/>
  <c r="P34" i="7"/>
  <c r="AV34" i="10"/>
  <c r="M34" i="7" s="1"/>
  <c r="O24" i="7"/>
  <c r="K29" i="15"/>
  <c r="F28" i="15"/>
  <c r="K28" i="15" s="1"/>
  <c r="L28" i="15" s="1"/>
  <c r="P50" i="7"/>
  <c r="F23" i="15"/>
  <c r="F25" i="15"/>
  <c r="O18" i="7"/>
  <c r="AV18" i="10"/>
  <c r="P51" i="7"/>
  <c r="AH43" i="10"/>
  <c r="P45" i="7"/>
  <c r="P43" i="7" s="1"/>
  <c r="AV45" i="10"/>
  <c r="K29" i="23"/>
  <c r="L29" i="23" s="1"/>
  <c r="F28" i="23"/>
  <c r="K28" i="23" s="1"/>
  <c r="L28" i="23" s="1"/>
  <c r="H44" i="23"/>
  <c r="G44" i="23"/>
  <c r="G44" i="15"/>
  <c r="H44" i="15"/>
  <c r="AH20" i="10"/>
  <c r="AH49" i="10"/>
  <c r="AH48" i="10" s="1"/>
  <c r="AS20" i="10"/>
  <c r="AO20" i="10"/>
  <c r="AR20" i="10"/>
  <c r="AN20" i="10"/>
  <c r="AQ20" i="10"/>
  <c r="AT20" i="10"/>
  <c r="K64" i="10"/>
  <c r="K60" i="10"/>
  <c r="K58" i="10"/>
  <c r="K57" i="10"/>
  <c r="K56" i="10"/>
  <c r="K54" i="10"/>
  <c r="K44" i="10"/>
  <c r="K41" i="10"/>
  <c r="K40" i="10"/>
  <c r="K39" i="10"/>
  <c r="K38" i="10"/>
  <c r="K28" i="10"/>
  <c r="K19" i="10"/>
  <c r="K15" i="10"/>
  <c r="K14" i="10"/>
  <c r="K13" i="10"/>
  <c r="K12" i="10"/>
  <c r="K11" i="10"/>
  <c r="K10" i="10"/>
  <c r="K7" i="10"/>
  <c r="K45" i="23" l="1"/>
  <c r="L45" i="23" s="1"/>
  <c r="AU20" i="10"/>
  <c r="Q25" i="7"/>
  <c r="Q24" i="7" s="1"/>
  <c r="G38" i="23"/>
  <c r="G37" i="23" s="1"/>
  <c r="G38" i="15"/>
  <c r="G37" i="15" s="1"/>
  <c r="G32" i="23"/>
  <c r="G32" i="15"/>
  <c r="F22" i="23"/>
  <c r="AH24" i="10"/>
  <c r="AH23" i="10" s="1"/>
  <c r="P49" i="7"/>
  <c r="L29" i="15"/>
  <c r="F22" i="15"/>
  <c r="M18" i="7"/>
  <c r="AU24" i="10"/>
  <c r="AU23" i="10" s="1"/>
  <c r="H26" i="23"/>
  <c r="H26" i="15"/>
  <c r="G26" i="23"/>
  <c r="G26" i="15"/>
  <c r="H41" i="23"/>
  <c r="H40" i="23" s="1"/>
  <c r="H41" i="15"/>
  <c r="H40" i="15" s="1"/>
  <c r="AU9" i="10"/>
  <c r="Q20" i="7"/>
  <c r="Q9" i="7" s="1"/>
  <c r="Q5" i="7" s="1"/>
  <c r="M33" i="7"/>
  <c r="AV25" i="10"/>
  <c r="AH9" i="10"/>
  <c r="P20" i="7"/>
  <c r="P9" i="7" s="1"/>
  <c r="AV20" i="10"/>
  <c r="M20" i="7" s="1"/>
  <c r="G41" i="23"/>
  <c r="G40" i="23" s="1"/>
  <c r="G41" i="15"/>
  <c r="G40" i="15" s="1"/>
  <c r="M45" i="7"/>
  <c r="AV43" i="10"/>
  <c r="H38" i="23"/>
  <c r="H37" i="23" s="1"/>
  <c r="H38" i="15"/>
  <c r="H37" i="15" s="1"/>
  <c r="P25" i="7"/>
  <c r="P24" i="7" s="1"/>
  <c r="K44" i="23"/>
  <c r="L44" i="23" s="1"/>
  <c r="K44" i="15"/>
  <c r="R19" i="10"/>
  <c r="U19" i="10" s="1"/>
  <c r="H17" i="19" l="1"/>
  <c r="I17" i="19"/>
  <c r="N28" i="19"/>
  <c r="G31" i="15"/>
  <c r="K31" i="15" s="1"/>
  <c r="L31" i="15" s="1"/>
  <c r="K32" i="15"/>
  <c r="G17" i="23"/>
  <c r="G16" i="23" s="1"/>
  <c r="G17" i="15"/>
  <c r="G16" i="15" s="1"/>
  <c r="AV24" i="10"/>
  <c r="G23" i="15"/>
  <c r="G25" i="15"/>
  <c r="K26" i="15"/>
  <c r="G31" i="23"/>
  <c r="K31" i="23" s="1"/>
  <c r="L31" i="23" s="1"/>
  <c r="K32" i="23"/>
  <c r="L32" i="23" s="1"/>
  <c r="U9" i="10"/>
  <c r="O19" i="7"/>
  <c r="O9" i="7" s="1"/>
  <c r="O5" i="7" s="1"/>
  <c r="AV19" i="10"/>
  <c r="F41" i="23"/>
  <c r="F41" i="15"/>
  <c r="H23" i="15"/>
  <c r="H25" i="15"/>
  <c r="G23" i="23"/>
  <c r="G25" i="23"/>
  <c r="K26" i="23"/>
  <c r="L26" i="23" s="1"/>
  <c r="AU5" i="10"/>
  <c r="H17" i="23"/>
  <c r="H17" i="15"/>
  <c r="H23" i="23"/>
  <c r="H25" i="23"/>
  <c r="O28" i="19"/>
  <c r="L44" i="15"/>
  <c r="AH8" i="10"/>
  <c r="N17" i="19" l="1"/>
  <c r="J17" i="19"/>
  <c r="O17" i="19"/>
  <c r="H24" i="19"/>
  <c r="I24" i="19"/>
  <c r="K25" i="23"/>
  <c r="L25" i="23" s="1"/>
  <c r="H11" i="23"/>
  <c r="H16" i="23"/>
  <c r="F40" i="15"/>
  <c r="K40" i="15" s="1"/>
  <c r="L40" i="15" s="1"/>
  <c r="K41" i="15"/>
  <c r="L41" i="15" s="1"/>
  <c r="F17" i="23"/>
  <c r="F17" i="15"/>
  <c r="G20" i="15"/>
  <c r="G19" i="15" s="1"/>
  <c r="G22" i="15"/>
  <c r="K23" i="15"/>
  <c r="L23" i="15" s="1"/>
  <c r="L32" i="15"/>
  <c r="H16" i="15"/>
  <c r="H11" i="15"/>
  <c r="G20" i="23"/>
  <c r="G19" i="23" s="1"/>
  <c r="G22" i="23"/>
  <c r="K23" i="23"/>
  <c r="L23" i="23" s="1"/>
  <c r="K41" i="23"/>
  <c r="L41" i="23" s="1"/>
  <c r="F40" i="23"/>
  <c r="K40" i="23" s="1"/>
  <c r="L40" i="23" s="1"/>
  <c r="G14" i="23"/>
  <c r="G14" i="15"/>
  <c r="H20" i="23"/>
  <c r="H19" i="23" s="1"/>
  <c r="H22" i="23"/>
  <c r="H20" i="15"/>
  <c r="H19" i="15" s="1"/>
  <c r="H22" i="15"/>
  <c r="M19" i="7"/>
  <c r="AV9" i="10"/>
  <c r="L26" i="15"/>
  <c r="K25" i="15"/>
  <c r="L25" i="15" s="1"/>
  <c r="J28" i="19"/>
  <c r="AH6" i="10"/>
  <c r="AV8" i="10"/>
  <c r="U5" i="10"/>
  <c r="P17" i="19" l="1"/>
  <c r="H16" i="19"/>
  <c r="I16" i="19"/>
  <c r="I18" i="19"/>
  <c r="H18" i="19"/>
  <c r="H10" i="23"/>
  <c r="O24" i="19"/>
  <c r="G13" i="15"/>
  <c r="K13" i="15" s="1"/>
  <c r="L13" i="15" s="1"/>
  <c r="G11" i="15"/>
  <c r="K14" i="15"/>
  <c r="G11" i="23"/>
  <c r="G13" i="23"/>
  <c r="K13" i="23" s="1"/>
  <c r="L13" i="23" s="1"/>
  <c r="K14" i="23"/>
  <c r="L14" i="23" s="1"/>
  <c r="K22" i="23"/>
  <c r="L22" i="23" s="1"/>
  <c r="F16" i="15"/>
  <c r="K16" i="15" s="1"/>
  <c r="L16" i="15" s="1"/>
  <c r="K17" i="15"/>
  <c r="F11" i="15"/>
  <c r="N24" i="19"/>
  <c r="J24" i="19"/>
  <c r="H10" i="15"/>
  <c r="K22" i="15"/>
  <c r="L22" i="15" s="1"/>
  <c r="K17" i="23"/>
  <c r="L17" i="23" s="1"/>
  <c r="F16" i="23"/>
  <c r="K16" i="23" s="1"/>
  <c r="L16" i="23" s="1"/>
  <c r="F11" i="23"/>
  <c r="P28" i="19"/>
  <c r="AV6" i="10"/>
  <c r="AV5" i="10" s="1"/>
  <c r="M8" i="7"/>
  <c r="AH5" i="10"/>
  <c r="P7" i="7"/>
  <c r="P6" i="7" s="1"/>
  <c r="P5" i="7" s="1"/>
  <c r="N10" i="7"/>
  <c r="S10" i="7" s="1"/>
  <c r="O18" i="19" l="1"/>
  <c r="I15" i="19"/>
  <c r="N16" i="19"/>
  <c r="N18" i="19"/>
  <c r="O16" i="19"/>
  <c r="J16" i="19"/>
  <c r="H15" i="19"/>
  <c r="J18" i="19"/>
  <c r="L14" i="15"/>
  <c r="K11" i="23"/>
  <c r="F10" i="23"/>
  <c r="F10" i="15"/>
  <c r="K11" i="15"/>
  <c r="O15" i="19"/>
  <c r="L17" i="15"/>
  <c r="G10" i="23"/>
  <c r="P24" i="19"/>
  <c r="G10" i="15"/>
  <c r="M28" i="19"/>
  <c r="K65" i="7"/>
  <c r="J15" i="19" l="1"/>
  <c r="P16" i="19"/>
  <c r="N15" i="19"/>
  <c r="P15" i="19" s="1"/>
  <c r="P18" i="19"/>
  <c r="H12" i="19"/>
  <c r="I12" i="19"/>
  <c r="K10" i="23"/>
  <c r="L10" i="23" s="1"/>
  <c r="L11" i="23"/>
  <c r="K10" i="15"/>
  <c r="L10" i="15" s="1"/>
  <c r="L11" i="15"/>
  <c r="J12" i="19" l="1"/>
  <c r="O12" i="19"/>
  <c r="N12" i="19"/>
  <c r="V37" i="7"/>
  <c r="U37" i="7"/>
  <c r="W37" i="7" s="1"/>
  <c r="T37" i="7"/>
  <c r="N37" i="7"/>
  <c r="L37" i="7"/>
  <c r="I37" i="7"/>
  <c r="P12" i="19" l="1"/>
  <c r="I11" i="19"/>
  <c r="H11" i="19"/>
  <c r="R6" i="7"/>
  <c r="O11" i="19" l="1"/>
  <c r="I10" i="19"/>
  <c r="N11" i="19"/>
  <c r="H10" i="19"/>
  <c r="J11" i="19"/>
  <c r="J10" i="19" l="1"/>
  <c r="K25" i="7" l="1"/>
  <c r="T65" i="7"/>
  <c r="R49" i="7"/>
  <c r="K49" i="7"/>
  <c r="J49" i="7"/>
  <c r="L49" i="7" s="1"/>
  <c r="H49" i="7"/>
  <c r="I49" i="7" s="1"/>
  <c r="G49" i="7"/>
  <c r="U52" i="7"/>
  <c r="N52" i="7"/>
  <c r="S52" i="7" s="1"/>
  <c r="L52" i="7"/>
  <c r="I52" i="7"/>
  <c r="T52" i="7" l="1"/>
  <c r="V52" i="7"/>
  <c r="W52" i="7" s="1"/>
  <c r="U51" i="7" l="1"/>
  <c r="N51" i="7"/>
  <c r="S51" i="7" s="1"/>
  <c r="L51" i="7"/>
  <c r="I51" i="7"/>
  <c r="T51" i="7" l="1"/>
  <c r="V51" i="7"/>
  <c r="W51" i="7" s="1"/>
  <c r="G70" i="6" l="1"/>
  <c r="I83" i="5"/>
  <c r="I82" i="5"/>
  <c r="S31" i="7"/>
  <c r="S29" i="7"/>
  <c r="V29" i="7" s="1"/>
  <c r="N29" i="7"/>
  <c r="V65" i="7"/>
  <c r="U65" i="7"/>
  <c r="U50" i="7"/>
  <c r="U49" i="7" s="1"/>
  <c r="W60" i="7"/>
  <c r="V63" i="7"/>
  <c r="U63" i="7"/>
  <c r="V58" i="7"/>
  <c r="U58" i="7"/>
  <c r="V57" i="7"/>
  <c r="U57" i="7"/>
  <c r="V56" i="7"/>
  <c r="U56" i="7"/>
  <c r="V54" i="7"/>
  <c r="V53" i="7" s="1"/>
  <c r="U54" i="7"/>
  <c r="U53" i="7" s="1"/>
  <c r="V47" i="7"/>
  <c r="U47" i="7"/>
  <c r="U46" i="7"/>
  <c r="V44" i="7"/>
  <c r="U44" i="7"/>
  <c r="V41" i="7"/>
  <c r="U41" i="7"/>
  <c r="V40" i="7"/>
  <c r="U40" i="7"/>
  <c r="V39" i="7"/>
  <c r="U39" i="7"/>
  <c r="V38" i="7"/>
  <c r="U38" i="7"/>
  <c r="V36" i="7"/>
  <c r="U36" i="7"/>
  <c r="U28" i="7"/>
  <c r="V27" i="7"/>
  <c r="U27" i="7"/>
  <c r="V26" i="7"/>
  <c r="U26" i="7"/>
  <c r="U22" i="7"/>
  <c r="U21" i="7"/>
  <c r="U20" i="7"/>
  <c r="U19" i="7"/>
  <c r="U18" i="7"/>
  <c r="U17" i="7"/>
  <c r="U16" i="7"/>
  <c r="V15" i="7"/>
  <c r="U15" i="7"/>
  <c r="V14" i="7"/>
  <c r="U14" i="7"/>
  <c r="V13" i="7"/>
  <c r="U13" i="7"/>
  <c r="V12" i="7"/>
  <c r="U12" i="7"/>
  <c r="V11" i="7"/>
  <c r="U11" i="7"/>
  <c r="V10" i="7"/>
  <c r="U10" i="7"/>
  <c r="U8" i="7"/>
  <c r="V7" i="7"/>
  <c r="U7" i="7"/>
  <c r="V31" i="7"/>
  <c r="R31" i="7"/>
  <c r="U31" i="7" s="1"/>
  <c r="N36" i="7"/>
  <c r="N27" i="7"/>
  <c r="N26" i="7"/>
  <c r="R29" i="7"/>
  <c r="U29" i="7" s="1"/>
  <c r="I84" i="5" l="1"/>
  <c r="I87" i="5" s="1"/>
  <c r="W53" i="7"/>
  <c r="I86" i="5" l="1"/>
  <c r="T64" i="7"/>
  <c r="T63" i="7"/>
  <c r="T60" i="7"/>
  <c r="T58" i="7"/>
  <c r="T57" i="7"/>
  <c r="T56" i="7"/>
  <c r="T54" i="7"/>
  <c r="T47" i="7"/>
  <c r="T44" i="7"/>
  <c r="T41" i="7"/>
  <c r="T40" i="7"/>
  <c r="T39" i="7"/>
  <c r="T38" i="7"/>
  <c r="T36" i="7"/>
  <c r="T31" i="7"/>
  <c r="T29" i="7"/>
  <c r="T28" i="7"/>
  <c r="T27" i="7"/>
  <c r="T26" i="7"/>
  <c r="T15" i="7"/>
  <c r="T14" i="7"/>
  <c r="T13" i="7"/>
  <c r="T12" i="7"/>
  <c r="T11" i="7"/>
  <c r="T10" i="7"/>
  <c r="T7" i="7"/>
  <c r="W65" i="7"/>
  <c r="W64" i="7"/>
  <c r="W63" i="7"/>
  <c r="V62" i="7"/>
  <c r="V61" i="7" s="1"/>
  <c r="V59" i="7" s="1"/>
  <c r="U62" i="7"/>
  <c r="W58" i="7"/>
  <c r="W57" i="7"/>
  <c r="W56" i="7"/>
  <c r="W54" i="7"/>
  <c r="W47" i="7"/>
  <c r="W44" i="7"/>
  <c r="W41" i="7"/>
  <c r="W40" i="7"/>
  <c r="W39" i="7"/>
  <c r="W38" i="7"/>
  <c r="W36" i="7"/>
  <c r="W31" i="7"/>
  <c r="W29" i="7"/>
  <c r="W27" i="7"/>
  <c r="W26" i="7"/>
  <c r="W15" i="7"/>
  <c r="W14" i="7"/>
  <c r="W13" i="7"/>
  <c r="W12" i="7"/>
  <c r="W11" i="7"/>
  <c r="W10" i="7"/>
  <c r="U9" i="7"/>
  <c r="W7" i="7"/>
  <c r="U6" i="7"/>
  <c r="S62" i="7"/>
  <c r="S61" i="7" s="1"/>
  <c r="S59" i="7" s="1"/>
  <c r="R62" i="7"/>
  <c r="S55" i="7"/>
  <c r="R55" i="7"/>
  <c r="T55" i="7" s="1"/>
  <c r="S53" i="7"/>
  <c r="R53" i="7"/>
  <c r="R9" i="7"/>
  <c r="M64" i="7"/>
  <c r="N64" i="7" s="1"/>
  <c r="O64" i="7" s="1"/>
  <c r="P64" i="7" s="1"/>
  <c r="Q64" i="7" s="1"/>
  <c r="M60" i="7"/>
  <c r="N60" i="7" s="1"/>
  <c r="M58" i="7"/>
  <c r="N58" i="7" s="1"/>
  <c r="O58" i="7" s="1"/>
  <c r="P58" i="7" s="1"/>
  <c r="Q58" i="7" s="1"/>
  <c r="M57" i="7"/>
  <c r="N57" i="7" s="1"/>
  <c r="O57" i="7" s="1"/>
  <c r="P57" i="7" s="1"/>
  <c r="Q57" i="7" s="1"/>
  <c r="M56" i="7"/>
  <c r="N56" i="7" s="1"/>
  <c r="O56" i="7" s="1"/>
  <c r="P56" i="7" s="1"/>
  <c r="Q56" i="7" s="1"/>
  <c r="M54" i="7"/>
  <c r="N54" i="7" s="1"/>
  <c r="O54" i="7" s="1"/>
  <c r="P54" i="7" s="1"/>
  <c r="Q54" i="7" s="1"/>
  <c r="N46" i="7"/>
  <c r="S46" i="7" s="1"/>
  <c r="V46" i="7" s="1"/>
  <c r="W46" i="7" s="1"/>
  <c r="N45" i="7"/>
  <c r="M44" i="7"/>
  <c r="N44" i="7" s="1"/>
  <c r="N42" i="7"/>
  <c r="M41" i="7"/>
  <c r="N41" i="7" s="1"/>
  <c r="M40" i="7"/>
  <c r="N40" i="7" s="1"/>
  <c r="M39" i="7"/>
  <c r="N39" i="7" s="1"/>
  <c r="M38" i="7"/>
  <c r="N38" i="7" s="1"/>
  <c r="N34" i="7"/>
  <c r="N33" i="7"/>
  <c r="N32" i="7"/>
  <c r="R32" i="7" s="1"/>
  <c r="N31" i="7"/>
  <c r="N30" i="7"/>
  <c r="M28" i="7"/>
  <c r="N22" i="7"/>
  <c r="S22" i="7" s="1"/>
  <c r="N21" i="7"/>
  <c r="S21" i="7" s="1"/>
  <c r="N20" i="7"/>
  <c r="S20" i="7" s="1"/>
  <c r="N19" i="7"/>
  <c r="S19" i="7" s="1"/>
  <c r="N18" i="7"/>
  <c r="S18" i="7" s="1"/>
  <c r="N17" i="7"/>
  <c r="S17" i="7" s="1"/>
  <c r="M15" i="7"/>
  <c r="N15" i="7" s="1"/>
  <c r="M14" i="7"/>
  <c r="N14" i="7" s="1"/>
  <c r="M13" i="7"/>
  <c r="N13" i="7" s="1"/>
  <c r="M12" i="7"/>
  <c r="N12" i="7" s="1"/>
  <c r="M11" i="7"/>
  <c r="N11" i="7" s="1"/>
  <c r="M7" i="7"/>
  <c r="M6" i="7" s="1"/>
  <c r="N47" i="7"/>
  <c r="L65" i="7"/>
  <c r="I65" i="7"/>
  <c r="L64" i="7"/>
  <c r="I64" i="7"/>
  <c r="L63" i="7"/>
  <c r="I63" i="7"/>
  <c r="K62" i="7"/>
  <c r="K61" i="7" s="1"/>
  <c r="K59" i="7" s="1"/>
  <c r="J62" i="7"/>
  <c r="J61" i="7" s="1"/>
  <c r="H62" i="7"/>
  <c r="H61" i="7" s="1"/>
  <c r="H59" i="7" s="1"/>
  <c r="G62" i="7"/>
  <c r="G61" i="7" s="1"/>
  <c r="L60" i="7"/>
  <c r="I60" i="7"/>
  <c r="L58" i="7"/>
  <c r="I58" i="7"/>
  <c r="L57" i="7"/>
  <c r="I57" i="7"/>
  <c r="L56" i="7"/>
  <c r="I56" i="7"/>
  <c r="K55" i="7"/>
  <c r="V55" i="7" s="1"/>
  <c r="J55" i="7"/>
  <c r="U55" i="7" s="1"/>
  <c r="U48" i="7" s="1"/>
  <c r="H55" i="7"/>
  <c r="G55" i="7"/>
  <c r="L54" i="7"/>
  <c r="I54" i="7"/>
  <c r="K53" i="7"/>
  <c r="J53" i="7"/>
  <c r="H53" i="7"/>
  <c r="G53" i="7"/>
  <c r="L50" i="7"/>
  <c r="I50" i="7"/>
  <c r="L47" i="7"/>
  <c r="I47" i="7"/>
  <c r="L46" i="7"/>
  <c r="I46" i="7"/>
  <c r="L45" i="7"/>
  <c r="H45" i="7"/>
  <c r="I45" i="7" s="1"/>
  <c r="L44" i="7"/>
  <c r="I44" i="7"/>
  <c r="K43" i="7"/>
  <c r="J43" i="7"/>
  <c r="G43" i="7"/>
  <c r="L42" i="7"/>
  <c r="I42" i="7"/>
  <c r="L41" i="7"/>
  <c r="I41" i="7"/>
  <c r="L40" i="7"/>
  <c r="I40" i="7"/>
  <c r="L39" i="7"/>
  <c r="I39" i="7"/>
  <c r="L38" i="7"/>
  <c r="I38" i="7"/>
  <c r="L36" i="7"/>
  <c r="I36" i="7"/>
  <c r="K35" i="7"/>
  <c r="J35" i="7"/>
  <c r="H35" i="7"/>
  <c r="G35" i="7"/>
  <c r="L34" i="7"/>
  <c r="I34" i="7"/>
  <c r="L33" i="7"/>
  <c r="I33" i="7"/>
  <c r="L32" i="7"/>
  <c r="I32" i="7"/>
  <c r="L31" i="7"/>
  <c r="I31" i="7"/>
  <c r="L30" i="7"/>
  <c r="I30" i="7"/>
  <c r="L29" i="7"/>
  <c r="I29" i="7"/>
  <c r="I28" i="7"/>
  <c r="L27" i="7"/>
  <c r="I27" i="7"/>
  <c r="L26" i="7"/>
  <c r="I26" i="7"/>
  <c r="J25" i="7"/>
  <c r="H25" i="7"/>
  <c r="G25" i="7"/>
  <c r="L22" i="7"/>
  <c r="I22" i="7"/>
  <c r="L21" i="7"/>
  <c r="H21" i="7"/>
  <c r="I21" i="7" s="1"/>
  <c r="L20" i="7"/>
  <c r="I20" i="7"/>
  <c r="L19" i="7"/>
  <c r="I19" i="7"/>
  <c r="L18" i="7"/>
  <c r="I18" i="7"/>
  <c r="L17" i="7"/>
  <c r="I17" i="7"/>
  <c r="L16" i="7"/>
  <c r="I16" i="7"/>
  <c r="L15" i="7"/>
  <c r="I15" i="7"/>
  <c r="L14" i="7"/>
  <c r="I14" i="7"/>
  <c r="L13" i="7"/>
  <c r="I13" i="7"/>
  <c r="L12" i="7"/>
  <c r="I12" i="7"/>
  <c r="L11" i="7"/>
  <c r="I11" i="7"/>
  <c r="L10" i="7"/>
  <c r="I10" i="7"/>
  <c r="K9" i="7"/>
  <c r="J9" i="7"/>
  <c r="G9" i="7"/>
  <c r="I8" i="7"/>
  <c r="L7" i="7"/>
  <c r="I7" i="7"/>
  <c r="J6" i="7"/>
  <c r="H6" i="7"/>
  <c r="G6" i="7"/>
  <c r="T62" i="7" l="1"/>
  <c r="G24" i="7"/>
  <c r="J24" i="7"/>
  <c r="K24" i="7"/>
  <c r="S33" i="7"/>
  <c r="V33" i="7" s="1"/>
  <c r="R33" i="7"/>
  <c r="S45" i="7"/>
  <c r="R45" i="7"/>
  <c r="S34" i="7"/>
  <c r="V34" i="7" s="1"/>
  <c r="R34" i="7"/>
  <c r="R5" i="7"/>
  <c r="N28" i="7"/>
  <c r="N25" i="7" s="1"/>
  <c r="M25" i="7"/>
  <c r="T53" i="7"/>
  <c r="V20" i="7"/>
  <c r="W20" i="7" s="1"/>
  <c r="T20" i="7"/>
  <c r="V17" i="7"/>
  <c r="W17" i="7" s="1"/>
  <c r="T17" i="7"/>
  <c r="V21" i="7"/>
  <c r="W21" i="7" s="1"/>
  <c r="T21" i="7"/>
  <c r="V18" i="7"/>
  <c r="W18" i="7" s="1"/>
  <c r="T18" i="7"/>
  <c r="V22" i="7"/>
  <c r="W22" i="7" s="1"/>
  <c r="T22" i="7"/>
  <c r="T19" i="7"/>
  <c r="V19" i="7"/>
  <c r="W19" i="7" s="1"/>
  <c r="L28" i="7"/>
  <c r="V28" i="7"/>
  <c r="S32" i="7"/>
  <c r="V32" i="7" s="1"/>
  <c r="V45" i="7"/>
  <c r="V43" i="7" s="1"/>
  <c r="T46" i="7"/>
  <c r="N8" i="7"/>
  <c r="S8" i="7" s="1"/>
  <c r="R30" i="7"/>
  <c r="S30" i="7"/>
  <c r="S25" i="7" s="1"/>
  <c r="K6" i="7"/>
  <c r="L6" i="7" s="1"/>
  <c r="S42" i="7"/>
  <c r="R42" i="7"/>
  <c r="W62" i="7"/>
  <c r="W55" i="7"/>
  <c r="U5" i="7"/>
  <c r="U61" i="7"/>
  <c r="R48" i="7"/>
  <c r="R61" i="7"/>
  <c r="T61" i="7" s="1"/>
  <c r="I53" i="7"/>
  <c r="I61" i="7"/>
  <c r="L61" i="7"/>
  <c r="L62" i="7"/>
  <c r="I25" i="7"/>
  <c r="L43" i="7"/>
  <c r="J5" i="7"/>
  <c r="L35" i="7"/>
  <c r="L8" i="7"/>
  <c r="K48" i="7"/>
  <c r="I6" i="7"/>
  <c r="H43" i="7"/>
  <c r="I43" i="7" s="1"/>
  <c r="L53" i="7"/>
  <c r="I55" i="7"/>
  <c r="L55" i="7"/>
  <c r="J59" i="7"/>
  <c r="L59" i="7" s="1"/>
  <c r="N35" i="7"/>
  <c r="H9" i="7"/>
  <c r="I9" i="7" s="1"/>
  <c r="J48" i="7"/>
  <c r="H48" i="7"/>
  <c r="I62" i="7"/>
  <c r="N43" i="7"/>
  <c r="L9" i="7"/>
  <c r="G5" i="7"/>
  <c r="M43" i="7"/>
  <c r="I35" i="7"/>
  <c r="M35" i="7"/>
  <c r="G48" i="7"/>
  <c r="G59" i="7"/>
  <c r="I59" i="7" s="1"/>
  <c r="K72" i="5"/>
  <c r="K70" i="5"/>
  <c r="J72" i="6"/>
  <c r="J70" i="6"/>
  <c r="L24" i="7" l="1"/>
  <c r="L23" i="7" s="1"/>
  <c r="H24" i="7"/>
  <c r="I24" i="7" s="1"/>
  <c r="R25" i="7"/>
  <c r="V8" i="7"/>
  <c r="V6" i="7" s="1"/>
  <c r="W6" i="7" s="1"/>
  <c r="S6" i="7"/>
  <c r="M24" i="7"/>
  <c r="N24" i="7"/>
  <c r="K5" i="7"/>
  <c r="V42" i="7"/>
  <c r="V35" i="7" s="1"/>
  <c r="S35" i="7"/>
  <c r="U30" i="7"/>
  <c r="T30" i="7"/>
  <c r="U45" i="7"/>
  <c r="T45" i="7"/>
  <c r="T43" i="7" s="1"/>
  <c r="R43" i="7"/>
  <c r="U34" i="7"/>
  <c r="W34" i="7" s="1"/>
  <c r="T34" i="7"/>
  <c r="T8" i="7"/>
  <c r="T6" i="7" s="1"/>
  <c r="N6" i="7"/>
  <c r="U33" i="7"/>
  <c r="W33" i="7" s="1"/>
  <c r="T33" i="7"/>
  <c r="U32" i="7"/>
  <c r="W32" i="7" s="1"/>
  <c r="T32" i="7"/>
  <c r="S43" i="7"/>
  <c r="U42" i="7"/>
  <c r="T42" i="7"/>
  <c r="T35" i="7" s="1"/>
  <c r="R35" i="7"/>
  <c r="V30" i="7"/>
  <c r="V25" i="7" s="1"/>
  <c r="W28" i="7"/>
  <c r="W61" i="7"/>
  <c r="U59" i="7"/>
  <c r="W59" i="7" s="1"/>
  <c r="R59" i="7"/>
  <c r="L48" i="7"/>
  <c r="K23" i="7"/>
  <c r="H5" i="7"/>
  <c r="I5" i="7" s="1"/>
  <c r="I48" i="7"/>
  <c r="J23" i="7"/>
  <c r="G23" i="7"/>
  <c r="L25" i="7"/>
  <c r="L5" i="7"/>
  <c r="J49" i="5"/>
  <c r="J32" i="5"/>
  <c r="I49" i="6"/>
  <c r="I32" i="6"/>
  <c r="W8" i="7" l="1"/>
  <c r="V24" i="7"/>
  <c r="T25" i="7"/>
  <c r="R24" i="7"/>
  <c r="R23" i="7" s="1"/>
  <c r="S24" i="7"/>
  <c r="T59" i="7"/>
  <c r="K66" i="7"/>
  <c r="U35" i="7"/>
  <c r="W35" i="7" s="1"/>
  <c r="W42" i="7"/>
  <c r="U25" i="7"/>
  <c r="W30" i="7"/>
  <c r="U43" i="7"/>
  <c r="W43" i="7" s="1"/>
  <c r="W45" i="7"/>
  <c r="H23" i="7"/>
  <c r="H66" i="7" s="1"/>
  <c r="G66" i="7"/>
  <c r="J66" i="7"/>
  <c r="U24" i="7" l="1"/>
  <c r="W24" i="7" s="1"/>
  <c r="T24" i="7"/>
  <c r="R66" i="7"/>
  <c r="W25" i="7"/>
  <c r="L66" i="7"/>
  <c r="K69" i="7" s="1"/>
  <c r="I66" i="7"/>
  <c r="I23" i="7"/>
  <c r="J69" i="7" l="1"/>
  <c r="U23" i="7"/>
  <c r="K10" i="6"/>
  <c r="U66" i="7" l="1"/>
  <c r="H52" i="6"/>
  <c r="H51" i="6"/>
  <c r="H50" i="6"/>
  <c r="H48" i="6"/>
  <c r="H47" i="6"/>
  <c r="H46" i="6"/>
  <c r="H45" i="6"/>
  <c r="H44" i="6"/>
  <c r="H43" i="6"/>
  <c r="H41" i="6"/>
  <c r="H40" i="6"/>
  <c r="H39" i="6"/>
  <c r="H38" i="6"/>
  <c r="H37" i="6"/>
  <c r="H36" i="6"/>
  <c r="H35" i="6"/>
  <c r="H34" i="6"/>
  <c r="H33" i="6"/>
  <c r="H31" i="6"/>
  <c r="G72" i="6" l="1"/>
  <c r="K72" i="6" l="1"/>
  <c r="K70" i="6"/>
  <c r="K67" i="6"/>
  <c r="J67" i="6"/>
  <c r="G67" i="6"/>
  <c r="K66" i="6"/>
  <c r="J66" i="6"/>
  <c r="G66" i="6"/>
  <c r="K65" i="6"/>
  <c r="J65" i="6"/>
  <c r="G65" i="6"/>
  <c r="K64" i="6"/>
  <c r="J64" i="6"/>
  <c r="G64" i="6"/>
  <c r="K63" i="6"/>
  <c r="J63" i="6"/>
  <c r="G63" i="6"/>
  <c r="K62" i="6"/>
  <c r="J62" i="6"/>
  <c r="G62" i="6"/>
  <c r="K61" i="6"/>
  <c r="J61" i="6"/>
  <c r="G61" i="6"/>
  <c r="K60" i="6"/>
  <c r="J60" i="6"/>
  <c r="G60" i="6"/>
  <c r="K59" i="6"/>
  <c r="J59" i="6"/>
  <c r="G59" i="6"/>
  <c r="K58" i="6"/>
  <c r="J58" i="6"/>
  <c r="G58" i="6"/>
  <c r="K57" i="6"/>
  <c r="J57" i="6"/>
  <c r="G57" i="6"/>
  <c r="K56" i="6"/>
  <c r="J56" i="6"/>
  <c r="G56" i="6"/>
  <c r="K55" i="6"/>
  <c r="J55" i="6"/>
  <c r="G55" i="6"/>
  <c r="K54" i="6"/>
  <c r="J54" i="6"/>
  <c r="G54" i="6"/>
  <c r="K53" i="6"/>
  <c r="J53" i="6"/>
  <c r="G53" i="6"/>
  <c r="K52" i="6"/>
  <c r="J52" i="6"/>
  <c r="G52" i="6"/>
  <c r="K51" i="6"/>
  <c r="G51" i="6"/>
  <c r="J50" i="6"/>
  <c r="G50" i="6"/>
  <c r="K49" i="6"/>
  <c r="J49" i="6"/>
  <c r="G49" i="6"/>
  <c r="K48" i="6"/>
  <c r="G48" i="6"/>
  <c r="J47" i="6"/>
  <c r="G47" i="6"/>
  <c r="K46" i="6"/>
  <c r="G46" i="6"/>
  <c r="J45" i="6"/>
  <c r="G45" i="6"/>
  <c r="J44" i="6"/>
  <c r="G44" i="6"/>
  <c r="K43" i="6"/>
  <c r="J43" i="6"/>
  <c r="G43" i="6"/>
  <c r="K42" i="6"/>
  <c r="J42" i="6"/>
  <c r="G42" i="6"/>
  <c r="K41" i="6"/>
  <c r="G41" i="6"/>
  <c r="K40" i="6"/>
  <c r="G40" i="6"/>
  <c r="K39" i="6"/>
  <c r="J39" i="6"/>
  <c r="G39" i="6"/>
  <c r="K38" i="6"/>
  <c r="J38" i="6"/>
  <c r="G38" i="6"/>
  <c r="K37" i="6"/>
  <c r="G37" i="6"/>
  <c r="J36" i="6"/>
  <c r="G36" i="6"/>
  <c r="K35" i="6"/>
  <c r="J35" i="6"/>
  <c r="G35" i="6"/>
  <c r="J34" i="6"/>
  <c r="G34" i="6"/>
  <c r="K33" i="6"/>
  <c r="G33" i="6"/>
  <c r="K32" i="6"/>
  <c r="J32" i="6"/>
  <c r="G32" i="6"/>
  <c r="I31" i="6"/>
  <c r="I30" i="6" s="1"/>
  <c r="H30" i="6"/>
  <c r="H68" i="6" s="1"/>
  <c r="H71" i="6" s="1"/>
  <c r="F31" i="6"/>
  <c r="F30" i="6" s="1"/>
  <c r="F68" i="6" s="1"/>
  <c r="E31" i="6"/>
  <c r="E30" i="6" s="1"/>
  <c r="E68" i="6" s="1"/>
  <c r="J10" i="6"/>
  <c r="G10" i="6"/>
  <c r="K34" i="6" l="1"/>
  <c r="K44" i="6"/>
  <c r="J48" i="6"/>
  <c r="K47" i="6"/>
  <c r="I68" i="6"/>
  <c r="J30" i="6"/>
  <c r="E71" i="6"/>
  <c r="E73" i="6"/>
  <c r="G68" i="6"/>
  <c r="F73" i="6"/>
  <c r="F71" i="6"/>
  <c r="G30" i="6"/>
  <c r="K30" i="6"/>
  <c r="J31" i="6"/>
  <c r="J40" i="6"/>
  <c r="G31" i="6"/>
  <c r="K31" i="6"/>
  <c r="J33" i="6"/>
  <c r="K36" i="6"/>
  <c r="J37" i="6"/>
  <c r="J41" i="6"/>
  <c r="K45" i="6"/>
  <c r="J46" i="6"/>
  <c r="K50" i="6"/>
  <c r="J51" i="6"/>
  <c r="H73" i="6"/>
  <c r="J68" i="6" l="1"/>
  <c r="I73" i="6"/>
  <c r="K68" i="6"/>
  <c r="K71" i="6" s="1"/>
  <c r="I71" i="6"/>
  <c r="G71" i="6"/>
  <c r="G73" i="6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F73" i="5"/>
  <c r="L72" i="5"/>
  <c r="F71" i="5"/>
  <c r="L70" i="5"/>
  <c r="L67" i="5"/>
  <c r="K67" i="5"/>
  <c r="M67" i="5" s="1"/>
  <c r="L66" i="5"/>
  <c r="K66" i="5"/>
  <c r="M66" i="5" s="1"/>
  <c r="L65" i="5"/>
  <c r="K65" i="5"/>
  <c r="M65" i="5" s="1"/>
  <c r="L64" i="5"/>
  <c r="K64" i="5"/>
  <c r="M64" i="5" s="1"/>
  <c r="M63" i="5"/>
  <c r="L63" i="5"/>
  <c r="K63" i="5"/>
  <c r="L62" i="5"/>
  <c r="K62" i="5"/>
  <c r="M62" i="5" s="1"/>
  <c r="L61" i="5"/>
  <c r="K61" i="5"/>
  <c r="M61" i="5" s="1"/>
  <c r="L60" i="5"/>
  <c r="K60" i="5"/>
  <c r="M60" i="5" s="1"/>
  <c r="L59" i="5"/>
  <c r="K59" i="5"/>
  <c r="M59" i="5" s="1"/>
  <c r="L58" i="5"/>
  <c r="K58" i="5"/>
  <c r="M58" i="5" s="1"/>
  <c r="L57" i="5"/>
  <c r="K57" i="5"/>
  <c r="M57" i="5" s="1"/>
  <c r="L56" i="5"/>
  <c r="K56" i="5"/>
  <c r="M56" i="5" s="1"/>
  <c r="L55" i="5"/>
  <c r="K55" i="5"/>
  <c r="M55" i="5" s="1"/>
  <c r="M54" i="5"/>
  <c r="L54" i="5"/>
  <c r="K54" i="5"/>
  <c r="L53" i="5"/>
  <c r="K53" i="5"/>
  <c r="M53" i="5" s="1"/>
  <c r="I52" i="5"/>
  <c r="K52" i="5" s="1"/>
  <c r="M52" i="5" s="1"/>
  <c r="I51" i="5"/>
  <c r="K51" i="5" s="1"/>
  <c r="M51" i="5" s="1"/>
  <c r="I50" i="5"/>
  <c r="K50" i="5" s="1"/>
  <c r="M50" i="5" s="1"/>
  <c r="L49" i="5"/>
  <c r="K49" i="5"/>
  <c r="M49" i="5" s="1"/>
  <c r="I48" i="5"/>
  <c r="L48" i="5" s="1"/>
  <c r="I47" i="5"/>
  <c r="L47" i="5" s="1"/>
  <c r="I46" i="5"/>
  <c r="L46" i="5" s="1"/>
  <c r="I45" i="5"/>
  <c r="L45" i="5" s="1"/>
  <c r="I44" i="5"/>
  <c r="L44" i="5" s="1"/>
  <c r="I43" i="5"/>
  <c r="L43" i="5" s="1"/>
  <c r="M42" i="5"/>
  <c r="L42" i="5"/>
  <c r="K42" i="5"/>
  <c r="I41" i="5"/>
  <c r="K41" i="5" s="1"/>
  <c r="M41" i="5" s="1"/>
  <c r="I40" i="5"/>
  <c r="K40" i="5" s="1"/>
  <c r="M40" i="5" s="1"/>
  <c r="I39" i="5"/>
  <c r="K39" i="5" s="1"/>
  <c r="M39" i="5" s="1"/>
  <c r="L38" i="5"/>
  <c r="I38" i="5"/>
  <c r="K38" i="5" s="1"/>
  <c r="M38" i="5" s="1"/>
  <c r="I37" i="5"/>
  <c r="K37" i="5" s="1"/>
  <c r="M37" i="5" s="1"/>
  <c r="I36" i="5"/>
  <c r="K36" i="5" s="1"/>
  <c r="M36" i="5" s="1"/>
  <c r="I35" i="5"/>
  <c r="K35" i="5" s="1"/>
  <c r="M35" i="5" s="1"/>
  <c r="L34" i="5"/>
  <c r="I34" i="5"/>
  <c r="K34" i="5" s="1"/>
  <c r="M34" i="5" s="1"/>
  <c r="I33" i="5"/>
  <c r="K33" i="5" s="1"/>
  <c r="M33" i="5" s="1"/>
  <c r="L32" i="5"/>
  <c r="K32" i="5"/>
  <c r="M32" i="5" s="1"/>
  <c r="J31" i="5"/>
  <c r="J30" i="5" s="1"/>
  <c r="J68" i="5" s="1"/>
  <c r="J73" i="5" s="1"/>
  <c r="I31" i="5"/>
  <c r="G31" i="5"/>
  <c r="F31" i="5"/>
  <c r="F30" i="5" s="1"/>
  <c r="E31" i="5"/>
  <c r="G30" i="5"/>
  <c r="G68" i="5" s="1"/>
  <c r="E30" i="5"/>
  <c r="E68" i="5" s="1"/>
  <c r="H68" i="5" s="1"/>
  <c r="L10" i="5"/>
  <c r="K10" i="5"/>
  <c r="M10" i="5" s="1"/>
  <c r="H10" i="5"/>
  <c r="H31" i="5" l="1"/>
  <c r="L36" i="5"/>
  <c r="K46" i="5"/>
  <c r="M46" i="5" s="1"/>
  <c r="L40" i="5"/>
  <c r="K45" i="5"/>
  <c r="M45" i="5" s="1"/>
  <c r="J73" i="6"/>
  <c r="J71" i="6"/>
  <c r="K16" i="10"/>
  <c r="M16" i="7"/>
  <c r="G73" i="5"/>
  <c r="G71" i="5"/>
  <c r="H73" i="5"/>
  <c r="H71" i="5"/>
  <c r="H30" i="5"/>
  <c r="L31" i="5"/>
  <c r="L33" i="5"/>
  <c r="L35" i="5"/>
  <c r="L37" i="5"/>
  <c r="L39" i="5"/>
  <c r="L41" i="5"/>
  <c r="K44" i="5"/>
  <c r="M44" i="5" s="1"/>
  <c r="K48" i="5"/>
  <c r="M48" i="5" s="1"/>
  <c r="K43" i="5"/>
  <c r="M43" i="5" s="1"/>
  <c r="K47" i="5"/>
  <c r="M47" i="5" s="1"/>
  <c r="K31" i="5"/>
  <c r="M31" i="5" s="1"/>
  <c r="I30" i="5"/>
  <c r="K73" i="6"/>
  <c r="E73" i="5"/>
  <c r="E71" i="5"/>
  <c r="L50" i="5"/>
  <c r="L51" i="5"/>
  <c r="L52" i="5"/>
  <c r="J71" i="5"/>
  <c r="N16" i="7" l="1"/>
  <c r="M9" i="7"/>
  <c r="M5" i="7" s="1"/>
  <c r="I68" i="5"/>
  <c r="K30" i="5"/>
  <c r="M30" i="5" s="1"/>
  <c r="L30" i="5"/>
  <c r="S16" i="7" l="1"/>
  <c r="N9" i="7"/>
  <c r="N5" i="7" s="1"/>
  <c r="K68" i="5"/>
  <c r="L68" i="5"/>
  <c r="I71" i="5"/>
  <c r="I73" i="5"/>
  <c r="V16" i="7" l="1"/>
  <c r="T16" i="7"/>
  <c r="T9" i="7" s="1"/>
  <c r="T5" i="7" s="1"/>
  <c r="S9" i="7"/>
  <c r="L71" i="5"/>
  <c r="L73" i="5"/>
  <c r="K73" i="5"/>
  <c r="M68" i="5"/>
  <c r="K71" i="5"/>
  <c r="S5" i="7" l="1"/>
  <c r="W16" i="7"/>
  <c r="V9" i="7"/>
  <c r="W9" i="7" l="1"/>
  <c r="V5" i="7"/>
  <c r="W5" i="7" l="1"/>
  <c r="K55" i="10" l="1"/>
  <c r="M55" i="7"/>
  <c r="N55" i="7" s="1"/>
  <c r="O55" i="7" s="1"/>
  <c r="P55" i="7" s="1"/>
  <c r="Q55" i="7" s="1"/>
  <c r="K53" i="10"/>
  <c r="M53" i="7"/>
  <c r="N53" i="7" s="1"/>
  <c r="O53" i="7" s="1"/>
  <c r="P53" i="7" s="1"/>
  <c r="K62" i="10"/>
  <c r="M62" i="7"/>
  <c r="N62" i="7" s="1"/>
  <c r="P48" i="7" l="1"/>
  <c r="P23" i="7" s="1"/>
  <c r="P66" i="7" s="1"/>
  <c r="Q53" i="7"/>
  <c r="Q48" i="7" s="1"/>
  <c r="Q23" i="7" s="1"/>
  <c r="Q66" i="7" s="1"/>
  <c r="K61" i="10"/>
  <c r="K59" i="10" s="1"/>
  <c r="M61" i="7"/>
  <c r="K17" i="10"/>
  <c r="N61" i="7" l="1"/>
  <c r="M59" i="7"/>
  <c r="N59" i="7" l="1"/>
  <c r="K50" i="10"/>
  <c r="K49" i="10" l="1"/>
  <c r="K48" i="10" s="1"/>
  <c r="U50" i="10"/>
  <c r="U49" i="10" l="1"/>
  <c r="U48" i="10" s="1"/>
  <c r="O50" i="7"/>
  <c r="O49" i="7" s="1"/>
  <c r="O48" i="7" s="1"/>
  <c r="O23" i="7" s="1"/>
  <c r="O66" i="7" s="1"/>
  <c r="AV50" i="10"/>
  <c r="K46" i="10"/>
  <c r="K45" i="10"/>
  <c r="K42" i="10"/>
  <c r="K35" i="10" s="1"/>
  <c r="K34" i="10"/>
  <c r="K33" i="10"/>
  <c r="K32" i="10"/>
  <c r="K30" i="10"/>
  <c r="K22" i="10"/>
  <c r="K21" i="10"/>
  <c r="M50" i="7" l="1"/>
  <c r="AV49" i="10"/>
  <c r="AV48" i="10" s="1"/>
  <c r="AV23" i="10" s="1"/>
  <c r="K43" i="10"/>
  <c r="K25" i="10"/>
  <c r="K24" i="10" s="1"/>
  <c r="K23" i="10" s="1"/>
  <c r="U23" i="10"/>
  <c r="F38" i="23"/>
  <c r="F38" i="15"/>
  <c r="K20" i="10"/>
  <c r="K18" i="10"/>
  <c r="K8" i="10"/>
  <c r="K9" i="10" l="1"/>
  <c r="J8" i="10"/>
  <c r="K6" i="10"/>
  <c r="K5" i="10" s="1"/>
  <c r="F37" i="15"/>
  <c r="K37" i="15" s="1"/>
  <c r="L37" i="15" s="1"/>
  <c r="K38" i="15"/>
  <c r="F20" i="15"/>
  <c r="F37" i="23"/>
  <c r="K37" i="23" s="1"/>
  <c r="L37" i="23" s="1"/>
  <c r="K38" i="23"/>
  <c r="L38" i="23" s="1"/>
  <c r="F20" i="23"/>
  <c r="M49" i="7"/>
  <c r="M48" i="7" s="1"/>
  <c r="M23" i="7" s="1"/>
  <c r="M66" i="7" s="1"/>
  <c r="N50" i="7"/>
  <c r="F19" i="23" l="1"/>
  <c r="K19" i="23" s="1"/>
  <c r="L19" i="23" s="1"/>
  <c r="K20" i="23"/>
  <c r="L20" i="23" s="1"/>
  <c r="F19" i="15"/>
  <c r="K19" i="15" s="1"/>
  <c r="L19" i="15" s="1"/>
  <c r="K20" i="15"/>
  <c r="L20" i="15" s="1"/>
  <c r="N49" i="7"/>
  <c r="N48" i="7" s="1"/>
  <c r="N23" i="7" s="1"/>
  <c r="N66" i="7" s="1"/>
  <c r="S50" i="7"/>
  <c r="L38" i="15"/>
  <c r="S49" i="7" l="1"/>
  <c r="S48" i="7" s="1"/>
  <c r="V50" i="7"/>
  <c r="T50" i="7"/>
  <c r="T49" i="7" s="1"/>
  <c r="S23" i="7" l="1"/>
  <c r="S66" i="7" s="1"/>
  <c r="T48" i="7"/>
  <c r="T23" i="7" s="1"/>
  <c r="V49" i="7"/>
  <c r="V48" i="7" s="1"/>
  <c r="W50" i="7"/>
  <c r="W49" i="7" s="1"/>
  <c r="W48" i="7" s="1"/>
  <c r="V23" i="7" l="1"/>
  <c r="Z48" i="7"/>
  <c r="T66" i="7"/>
  <c r="R69" i="7" s="1"/>
  <c r="S69" i="7" l="1"/>
  <c r="W23" i="7"/>
  <c r="V66" i="7"/>
  <c r="W66" i="7" s="1"/>
  <c r="V69" i="7" l="1"/>
  <c r="U69" i="7"/>
  <c r="F43" i="23" l="1"/>
  <c r="F48" i="23" s="1"/>
  <c r="F43" i="15"/>
  <c r="G43" i="23" l="1"/>
  <c r="G48" i="23" s="1"/>
  <c r="G43" i="15"/>
  <c r="G46" i="15" s="1"/>
  <c r="F46" i="15"/>
  <c r="H43" i="23" l="1"/>
  <c r="H43" i="15"/>
  <c r="H46" i="15" s="1"/>
  <c r="K46" i="15" s="1"/>
  <c r="F56" i="15"/>
  <c r="F54" i="15"/>
  <c r="F45" i="15"/>
  <c r="G47" i="23"/>
  <c r="G56" i="15"/>
  <c r="G54" i="15"/>
  <c r="G45" i="15"/>
  <c r="F47" i="23"/>
  <c r="I20" i="19" l="1"/>
  <c r="H20" i="19"/>
  <c r="H48" i="23"/>
  <c r="K48" i="23" s="1"/>
  <c r="I26" i="19"/>
  <c r="H26" i="19"/>
  <c r="G56" i="23"/>
  <c r="E14" i="32" s="1"/>
  <c r="G58" i="23"/>
  <c r="E16" i="32" s="1"/>
  <c r="F58" i="23"/>
  <c r="D16" i="32" s="1"/>
  <c r="F56" i="23"/>
  <c r="D14" i="32" s="1"/>
  <c r="K43" i="15"/>
  <c r="L43" i="15" s="1"/>
  <c r="K43" i="23"/>
  <c r="L43" i="23" s="1"/>
  <c r="K45" i="15"/>
  <c r="L45" i="15" s="1"/>
  <c r="L46" i="15"/>
  <c r="E62" i="15" s="1"/>
  <c r="F55" i="15"/>
  <c r="G55" i="15" s="1"/>
  <c r="F52" i="15"/>
  <c r="F53" i="15" s="1"/>
  <c r="H56" i="15"/>
  <c r="K56" i="15" s="1"/>
  <c r="L56" i="15" s="1"/>
  <c r="H54" i="15"/>
  <c r="H45" i="15"/>
  <c r="G52" i="15"/>
  <c r="F57" i="15"/>
  <c r="G57" i="15" s="1"/>
  <c r="H47" i="23" l="1"/>
  <c r="H56" i="23" s="1"/>
  <c r="F14" i="32" s="1"/>
  <c r="I14" i="32" s="1"/>
  <c r="L48" i="23"/>
  <c r="E64" i="23" s="1"/>
  <c r="F64" i="23" s="1"/>
  <c r="K47" i="23"/>
  <c r="L47" i="23" s="1"/>
  <c r="O20" i="19"/>
  <c r="I14" i="19"/>
  <c r="I22" i="19" s="1"/>
  <c r="N20" i="19"/>
  <c r="H14" i="19"/>
  <c r="J20" i="19"/>
  <c r="F57" i="23"/>
  <c r="G57" i="23" s="1"/>
  <c r="E12" i="32"/>
  <c r="D12" i="32"/>
  <c r="D13" i="32" s="1"/>
  <c r="D15" i="32"/>
  <c r="E15" i="32" s="1"/>
  <c r="D17" i="32"/>
  <c r="E17" i="32" s="1"/>
  <c r="G54" i="23"/>
  <c r="H57" i="15"/>
  <c r="I57" i="15" s="1"/>
  <c r="J57" i="15" s="1"/>
  <c r="H52" i="15"/>
  <c r="H58" i="23"/>
  <c r="F16" i="32" s="1"/>
  <c r="F62" i="15"/>
  <c r="F63" i="15"/>
  <c r="G63" i="15" s="1"/>
  <c r="H63" i="15" s="1"/>
  <c r="G53" i="15"/>
  <c r="N26" i="19"/>
  <c r="K30" i="19"/>
  <c r="M30" i="19" s="1"/>
  <c r="M26" i="19"/>
  <c r="H55" i="15"/>
  <c r="I55" i="15" s="1"/>
  <c r="J26" i="19"/>
  <c r="H30" i="19"/>
  <c r="O26" i="19"/>
  <c r="I30" i="19"/>
  <c r="H22" i="19" l="1"/>
  <c r="J22" i="19" s="1"/>
  <c r="J14" i="19"/>
  <c r="O14" i="19"/>
  <c r="N14" i="19"/>
  <c r="P20" i="19"/>
  <c r="I32" i="19"/>
  <c r="E13" i="32"/>
  <c r="H57" i="23"/>
  <c r="I57" i="23" s="1"/>
  <c r="J57" i="23" s="1"/>
  <c r="F12" i="32"/>
  <c r="F15" i="32"/>
  <c r="G15" i="32" s="1"/>
  <c r="H15" i="32" s="1"/>
  <c r="F65" i="23"/>
  <c r="F17" i="32"/>
  <c r="G17" i="32" s="1"/>
  <c r="H17" i="32" s="1"/>
  <c r="I16" i="32"/>
  <c r="I12" i="32" s="1"/>
  <c r="H53" i="15"/>
  <c r="I53" i="15" s="1"/>
  <c r="K56" i="23"/>
  <c r="L56" i="23" s="1"/>
  <c r="H54" i="23"/>
  <c r="O30" i="19"/>
  <c r="P26" i="19"/>
  <c r="N30" i="19"/>
  <c r="J30" i="19"/>
  <c r="F13" i="32" l="1"/>
  <c r="G13" i="32" s="1"/>
  <c r="H13" i="32" s="1"/>
  <c r="H32" i="19"/>
  <c r="J32" i="19" s="1"/>
  <c r="P14" i="19"/>
  <c r="P30" i="19"/>
  <c r="H34" i="19" l="1"/>
  <c r="I34" i="19"/>
  <c r="E66" i="23"/>
  <c r="J34" i="19" l="1"/>
  <c r="C26" i="32"/>
  <c r="D27" i="32" s="1"/>
  <c r="G66" i="23"/>
  <c r="E26" i="32" s="1"/>
  <c r="F67" i="23"/>
  <c r="H66" i="23"/>
  <c r="F26" i="32" s="1"/>
  <c r="E64" i="15"/>
  <c r="F65" i="15" s="1"/>
  <c r="G65" i="15" s="1"/>
  <c r="H65" i="15" s="1"/>
  <c r="E66" i="15" l="1"/>
  <c r="F67" i="15" s="1"/>
  <c r="G67" i="15" s="1"/>
  <c r="H67" i="15" s="1"/>
  <c r="E68" i="23"/>
  <c r="F69" i="23" s="1"/>
  <c r="G26" i="32"/>
  <c r="E27" i="32"/>
  <c r="F27" i="32" s="1"/>
  <c r="G67" i="23"/>
  <c r="H67" i="23" s="1"/>
  <c r="O10" i="19"/>
  <c r="O22" i="19" s="1"/>
  <c r="O32" i="19" s="1"/>
  <c r="L32" i="19"/>
  <c r="P11" i="19"/>
  <c r="N10" i="19"/>
  <c r="M11" i="19"/>
  <c r="C28" i="32" l="1"/>
  <c r="D29" i="32" s="1"/>
  <c r="P10" i="19"/>
  <c r="K10" i="19"/>
  <c r="N22" i="19"/>
  <c r="C24" i="32" l="1"/>
  <c r="D25" i="32" s="1"/>
  <c r="N32" i="19"/>
  <c r="P32" i="19" s="1"/>
  <c r="P22" i="19"/>
  <c r="K22" i="19"/>
  <c r="M10" i="19"/>
  <c r="K32" i="19" l="1"/>
  <c r="M22" i="19"/>
  <c r="O34" i="19" l="1"/>
  <c r="N34" i="19"/>
  <c r="M32" i="19"/>
  <c r="L34" i="19" s="1"/>
  <c r="P34" i="19" l="1"/>
  <c r="K34" i="19"/>
  <c r="M34" i="19" l="1"/>
  <c r="N63" i="15" l="1"/>
  <c r="J55" i="15"/>
  <c r="J52" i="15"/>
  <c r="J53" i="15" s="1"/>
  <c r="K54" i="15"/>
  <c r="K52" i="15" s="1"/>
  <c r="L52" i="15" s="1"/>
  <c r="L54" i="15" l="1"/>
  <c r="K58" i="23" l="1"/>
  <c r="L58" i="23" s="1"/>
  <c r="F54" i="23"/>
  <c r="F55" i="23" s="1"/>
  <c r="G55" i="23" s="1"/>
  <c r="H55" i="23" s="1"/>
  <c r="I55" i="23" s="1"/>
  <c r="J55" i="23" s="1"/>
  <c r="F59" i="23"/>
  <c r="G59" i="23" s="1"/>
  <c r="H59" i="23" s="1"/>
  <c r="I59" i="23" s="1"/>
  <c r="J59" i="23" s="1"/>
  <c r="H68" i="23" l="1"/>
  <c r="F28" i="32" s="1"/>
  <c r="F24" i="32" s="1"/>
  <c r="G68" i="23"/>
  <c r="K54" i="23"/>
  <c r="L54" i="23" s="1"/>
  <c r="H64" i="23" l="1"/>
  <c r="G64" i="23"/>
  <c r="G65" i="23" s="1"/>
  <c r="E28" i="32"/>
  <c r="G69" i="23"/>
  <c r="H69" i="23" s="1"/>
  <c r="H65" i="23" l="1"/>
  <c r="G28" i="32"/>
  <c r="G24" i="32" s="1"/>
  <c r="E29" i="32"/>
  <c r="F29" i="32" s="1"/>
  <c r="E24" i="32"/>
  <c r="E25" i="32" s="1"/>
  <c r="F25" i="32" s="1"/>
</calcChain>
</file>

<file path=xl/comments1.xml><?xml version="1.0" encoding="utf-8"?>
<comments xmlns="http://schemas.openxmlformats.org/spreadsheetml/2006/main">
  <authors>
    <author>Celia Regina Rodrigues Franklin</author>
  </authors>
  <commentList>
    <comment ref="I10" authorId="0">
      <text>
        <r>
          <rPr>
            <b/>
            <sz val="9"/>
            <color indexed="81"/>
            <rFont val="Tahoma"/>
            <family val="2"/>
          </rPr>
          <t>Celia Regina Rodrigues Franklin:</t>
        </r>
        <r>
          <rPr>
            <sz val="9"/>
            <color indexed="81"/>
            <rFont val="Tahoma"/>
            <family val="2"/>
          </rPr>
          <t xml:space="preserve">
med abr Po 28.570,37</t>
        </r>
      </text>
    </comment>
    <comment ref="T10" authorId="0">
      <text>
        <r>
          <rPr>
            <b/>
            <sz val="9"/>
            <color indexed="81"/>
            <rFont val="Tahoma"/>
            <family val="2"/>
          </rPr>
          <t>Celia Regina Rodrigues Franklin:</t>
        </r>
        <r>
          <rPr>
            <sz val="9"/>
            <color indexed="81"/>
            <rFont val="Tahoma"/>
            <family val="2"/>
          </rPr>
          <t xml:space="preserve">
med abr Po 28.570,37</t>
        </r>
      </text>
    </comment>
  </commentList>
</comments>
</file>

<file path=xl/sharedStrings.xml><?xml version="1.0" encoding="utf-8"?>
<sst xmlns="http://schemas.openxmlformats.org/spreadsheetml/2006/main" count="1976" uniqueCount="568">
  <si>
    <t>CONTRATADA</t>
  </si>
  <si>
    <t>OBJETO</t>
  </si>
  <si>
    <t>BID</t>
  </si>
  <si>
    <t>SABESP</t>
  </si>
  <si>
    <t>TOTAL</t>
  </si>
  <si>
    <t>Valor Medido</t>
  </si>
  <si>
    <t>Saldo Contratual</t>
  </si>
  <si>
    <t>Consórcio HGE</t>
  </si>
  <si>
    <t>ATO - TG</t>
  </si>
  <si>
    <t>Estática</t>
  </si>
  <si>
    <t>ATO - ME</t>
  </si>
  <si>
    <t>Consórcio Pró-Tietê</t>
  </si>
  <si>
    <t xml:space="preserve">GERENCIAMENTO DO PROJETO TIETÊ </t>
  </si>
  <si>
    <t>Lenc</t>
  </si>
  <si>
    <t>AUDITORIA DA GESTÃO DA QUALIDADE DAS OBRAS - Grupo A1</t>
  </si>
  <si>
    <t>Alphageos</t>
  </si>
  <si>
    <t>CONTROLE TECNOLÓGICO - ETE BARUERI</t>
  </si>
  <si>
    <t>Sanejets</t>
  </si>
  <si>
    <t xml:space="preserve"> TELEVISIONAMENTO E REGISTRO -  Grupo A1</t>
  </si>
  <si>
    <t xml:space="preserve">Alphageos </t>
  </si>
  <si>
    <t>AUDITORIA DA GESTÃO DE QUALIDADE  -  GRUPO B1</t>
  </si>
  <si>
    <t>AUDITORIA DA GESTÃO AMBIENTAL DAS OBRAS - Grupo B1</t>
  </si>
  <si>
    <t>Norte Sul Hidrotecnologia</t>
  </si>
  <si>
    <t>TELEVISIONAMENTO E REGISTRO -  GRUPOS A2 E A3</t>
  </si>
  <si>
    <t>EPT</t>
  </si>
  <si>
    <t>AUDITORIA DA GESTÃO DE QUALIDADE  -  GRUPOS A2 E A3</t>
  </si>
  <si>
    <t>Cons. Auditor Ambiental</t>
  </si>
  <si>
    <t>AUDITORIA DA GESTÃO AMBIENTAL DAS OBRAS - Grupo A1</t>
  </si>
  <si>
    <t>TELEVISIONAMENTO PARA OBRAS DO GRUPO B1</t>
  </si>
  <si>
    <t>L. A. Falcão Bauer</t>
  </si>
  <si>
    <t>AUDITORIA DA GESTÃO AMBIENTAL DAS OBRAS - GRUPOS A2 E A3</t>
  </si>
  <si>
    <t xml:space="preserve">AUD. DE GESTÃO DA QUALIDADE DAS OBRAS DE AMPLIAÇÃO </t>
  </si>
  <si>
    <t>Concremat-EPT</t>
  </si>
  <si>
    <t>CONTROLE TECNOLÓGICO - ME</t>
  </si>
  <si>
    <t>Interceptores e Coletores Tronco</t>
  </si>
  <si>
    <t>ECL</t>
  </si>
  <si>
    <t xml:space="preserve">OBRAS DE COLETORES GRUPO A-2 - LOTE 1 - SUL </t>
  </si>
  <si>
    <t xml:space="preserve">OBRAS DE COLETORES - GRUPO A-2 -  OESTE </t>
  </si>
  <si>
    <t>Aliter</t>
  </si>
  <si>
    <t>OBRAS DE COLETORES - POLO INSTITUCIONAL ITAQUERA</t>
  </si>
  <si>
    <t>Cons. Projeto Tietê III</t>
  </si>
  <si>
    <t xml:space="preserve">OBRAS COLETORES TRONCO- GRUPO A-1 -SUL </t>
  </si>
  <si>
    <t>Cons. Jofegê / Enotec</t>
  </si>
  <si>
    <t>OBRAS DO INTERCEPTOR IPi-8, CTs E EEE, GRUPO A-1 - OESTE</t>
  </si>
  <si>
    <t>Cons. H &amp; F / Infracon</t>
  </si>
  <si>
    <t>OBRAS DO INTERCEPTOR ITI-16, CT  - GRUPO A1 - NORTE LESTE</t>
  </si>
  <si>
    <t>Stemag</t>
  </si>
  <si>
    <t>OBRAS DE COLETORES  - GRUPO A2 - LOTE 3 - NORTE E LESTE</t>
  </si>
  <si>
    <t>Consórcio Cesbe / LFM</t>
  </si>
  <si>
    <t>OBRAS DE INTERCEPTORES E COLETORES -  A3  -  SUL</t>
  </si>
  <si>
    <t>Cons. Tejofran A. Velloso</t>
  </si>
  <si>
    <t>OBRAS DE INTERCEPTORES E COLETORES -  A3 -  NORTE E LESTE</t>
  </si>
  <si>
    <t>Redes de Coleta</t>
  </si>
  <si>
    <t>Cowan</t>
  </si>
  <si>
    <t>OBRAS REDES DA ML - GRUPO B1 - LOTE 2</t>
  </si>
  <si>
    <t>OBRAS REDES DA MO - GRUPO B1 - LOTE 2</t>
  </si>
  <si>
    <t>Cowam</t>
  </si>
  <si>
    <t>OBRAS REDES DA MN - GRUPO B1 - LOTE 4</t>
  </si>
  <si>
    <t>DP Barros</t>
  </si>
  <si>
    <t>OBRAS REDES DA MC- GRUPO B1</t>
  </si>
  <si>
    <t>Cons. DP Barros / Geva</t>
  </si>
  <si>
    <t>OBRAS REDES DA MS - GRUPO B1 - LOTE 1</t>
  </si>
  <si>
    <t>Tratamento</t>
  </si>
  <si>
    <t>Consórcio Barueri</t>
  </si>
  <si>
    <t>Cons. Melhor Forma / Convap</t>
  </si>
  <si>
    <t>Programa Córrego Limpo</t>
  </si>
  <si>
    <t xml:space="preserve"> Institucional</t>
  </si>
  <si>
    <t>Consórcio C&amp;P - IHM</t>
  </si>
  <si>
    <t>EXPANSÃO E MELHORIAS NO CCO</t>
  </si>
  <si>
    <t xml:space="preserve"> Ambiental</t>
  </si>
  <si>
    <t>SQS Assessoria</t>
  </si>
  <si>
    <t>SERVIÇO ESPECIALIZADO P/DESENVOLV. SIST.GESTÃO AMBIENTAL</t>
  </si>
  <si>
    <t>Técnico Operacional</t>
  </si>
  <si>
    <t>Novita</t>
  </si>
  <si>
    <t>EQUIPAMENTO MÓVEL PARA RETIRADA DE AREIA, ADQUIRIDO</t>
  </si>
  <si>
    <t>NDEQUIP</t>
  </si>
  <si>
    <t>EQUIPS. DE INSPEÇÃO DE INTERCEPTORES, COLETORES E EMISSÁRIOS - MT</t>
  </si>
  <si>
    <t>LOKSAN</t>
  </si>
  <si>
    <t>Educação Ambiental / Comunicação</t>
  </si>
  <si>
    <t>SOS Mata Atlântica</t>
  </si>
  <si>
    <t>CONSULTORIA E GESTÃO DO PROGRAMA DE EDUCAÇÃO AMBIENTAL</t>
  </si>
  <si>
    <t>Valores em R$</t>
  </si>
  <si>
    <t>Eletropaulo</t>
  </si>
  <si>
    <t>RC 46197/14 - contrato 17598</t>
  </si>
  <si>
    <t>TOTAL GERAL</t>
  </si>
  <si>
    <t>1. ENGENHARIA E ADMINISTRAÇÃO</t>
  </si>
  <si>
    <t>1.1 ESTUDOS E PROJETOS</t>
  </si>
  <si>
    <t>1.2 SUPERVISÃO E ADMINISTRAÇÃO</t>
  </si>
  <si>
    <t>2. CUSTOS DIRETOS</t>
  </si>
  <si>
    <t>2.1 OBRAS</t>
  </si>
  <si>
    <t>2.2 MELHORIA OPERACIONAL E INSTITUCIONAL</t>
  </si>
  <si>
    <t>3.CUSTOS CONCORRENTES</t>
  </si>
  <si>
    <t>3.1 TERRENOS E SERVIDÕES</t>
  </si>
  <si>
    <t>3.2 MONITORAMENTO DO PROGRAMA</t>
  </si>
  <si>
    <t>4. IMPREVISTOS</t>
  </si>
  <si>
    <t>5. CUSTOS FINANCEIROS</t>
  </si>
  <si>
    <t>Io</t>
  </si>
  <si>
    <t>EXECUÇÃO DAS OBRAS DE AMPLIAÇÃO DA  ETE BARUERI PARA 11,00 M³/S</t>
  </si>
  <si>
    <t>COMPL. DAS OBRAS  DE AMPLIAÇÃO DA ETE BARUERI P/ 11,00 M³/S</t>
  </si>
  <si>
    <t>Auditoria Ambiental</t>
  </si>
  <si>
    <t xml:space="preserve"> </t>
  </si>
  <si>
    <t>Valores Contratuais P(0)</t>
  </si>
  <si>
    <t>Valor Reajustado
do Saldo</t>
  </si>
  <si>
    <t>Estimativa Atualizada</t>
  </si>
  <si>
    <t>Avanço Físico</t>
  </si>
  <si>
    <t>Valor do Contrato</t>
  </si>
  <si>
    <t>CONTRATO</t>
  </si>
  <si>
    <t>EXECUÇÃO DAS OBRAS DE AMPLIAÇÃO  ETE BARUERI PARA 14,25 M³/S
(fase sólida) e 16,0 M³/S (fase Líquida)</t>
  </si>
  <si>
    <t>-</t>
  </si>
  <si>
    <t>80,6.%</t>
  </si>
  <si>
    <t>PROJETO TIETÊ - ETAPA III</t>
  </si>
  <si>
    <t>Contrato de Empréstimo 2202/OC-BR - BID</t>
  </si>
  <si>
    <t>US$ x 1.000</t>
  </si>
  <si>
    <t>Categorias</t>
  </si>
  <si>
    <t>Previsto Inicial</t>
  </si>
  <si>
    <t>Previsto Atual</t>
  </si>
  <si>
    <t>Participação nos Aportes - (PARI-PASSU)</t>
  </si>
  <si>
    <t>Avanço Físico até abr/15 x 
Contratações</t>
  </si>
  <si>
    <t>A Desembolsar</t>
  </si>
  <si>
    <t>Total</t>
  </si>
  <si>
    <t>Contratado x 
Previsto Inicial</t>
  </si>
  <si>
    <t>Desembolsado x 
Prev. Inicial</t>
  </si>
  <si>
    <t>%</t>
  </si>
  <si>
    <t>m</t>
  </si>
  <si>
    <t>BID %</t>
  </si>
  <si>
    <t>SABESP %</t>
  </si>
  <si>
    <t>Total %</t>
  </si>
  <si>
    <t>1.  ENGENHARIA E ADMINISTRAÇÃO</t>
  </si>
  <si>
    <t>1.1  Estudos e Projetos</t>
  </si>
  <si>
    <t>1.2  Supervisão e Administração</t>
  </si>
  <si>
    <t>2.  CUSTOS DIRETOS</t>
  </si>
  <si>
    <t>2.1  OBRAS</t>
  </si>
  <si>
    <t>2.1.1  Coletores e Interceptores</t>
  </si>
  <si>
    <t>2.1.2  Redes e Ligações</t>
  </si>
  <si>
    <t>2.1.3  Tratamento</t>
  </si>
  <si>
    <t>2.1.4  Programa Corrego Limpo</t>
  </si>
  <si>
    <t>2.2  MELHORIA OPERACIONAL/INSTITUCIONAL</t>
  </si>
  <si>
    <t>SUB-TOTAL (1) - categorias 1 e 2</t>
  </si>
  <si>
    <t>3.  CUSTOS CONCORRENTES</t>
  </si>
  <si>
    <t>4.  IMPREVISTOS</t>
  </si>
  <si>
    <t>5.  CUSTOS FINANCEIROS</t>
  </si>
  <si>
    <t>SUB-TOTAL (2) - categorias 3, 4 e 5</t>
  </si>
  <si>
    <t>TOTAL GERAL  (1) + (2)</t>
  </si>
  <si>
    <t>PERCENTUAL</t>
  </si>
  <si>
    <t>DATA:</t>
  </si>
  <si>
    <t>US$ X 1000</t>
  </si>
  <si>
    <t>CATEGORIAS</t>
  </si>
  <si>
    <t>DESEMBOLSOS</t>
  </si>
  <si>
    <t>REALIZADO ACUMULADO</t>
  </si>
  <si>
    <t>2 0 1 6</t>
  </si>
  <si>
    <t>TOTAL
GERAL</t>
  </si>
  <si>
    <t>REALIZADO</t>
  </si>
  <si>
    <t>A REALIZAR</t>
  </si>
  <si>
    <t>39924/09</t>
  </si>
  <si>
    <t>17859/11</t>
  </si>
  <si>
    <t>1.2.1  GERENCIAMENTO</t>
  </si>
  <si>
    <t>21677/09</t>
  </si>
  <si>
    <t>1.2.2 CONTROLE DE QUALIDADE DE OBRAS</t>
  </si>
  <si>
    <t>20660/10</t>
  </si>
  <si>
    <t>13176/10</t>
  </si>
  <si>
    <t>LENC</t>
  </si>
  <si>
    <t>28698/10</t>
  </si>
  <si>
    <t>28371/10</t>
  </si>
  <si>
    <t>Auditor Ambiental</t>
  </si>
  <si>
    <t>51318/10</t>
  </si>
  <si>
    <t>51484/10</t>
  </si>
  <si>
    <t>17954/11</t>
  </si>
  <si>
    <t>15092/11</t>
  </si>
  <si>
    <t>L.A.Falcao Bauer</t>
  </si>
  <si>
    <t>32692/11</t>
  </si>
  <si>
    <t>Consórcio Tietê -
 Auditoria Ambiental</t>
  </si>
  <si>
    <t>31336/11</t>
  </si>
  <si>
    <t>46867/12</t>
  </si>
  <si>
    <t>39808/13</t>
  </si>
  <si>
    <t>2.1.1  COLETORES E INTERCEPTORES</t>
  </si>
  <si>
    <t>61728/09-L1</t>
  </si>
  <si>
    <t>Passarelli / Engeform</t>
  </si>
  <si>
    <t>61603/09-L2</t>
  </si>
  <si>
    <t>Jofegê / Enotec</t>
  </si>
  <si>
    <t>61731/09-L3</t>
  </si>
  <si>
    <t>H.Fonseca / Infracon</t>
  </si>
  <si>
    <t>30789/10-L1</t>
  </si>
  <si>
    <t>ECL Engenharia</t>
  </si>
  <si>
    <t>30802/10-L2</t>
  </si>
  <si>
    <t>30812/10-L3</t>
  </si>
  <si>
    <t xml:space="preserve"> 41779/12-L1</t>
  </si>
  <si>
    <t>Cesbe / LFM</t>
  </si>
  <si>
    <t xml:space="preserve"> 41789/12-L3</t>
  </si>
  <si>
    <t>Tejofran / Augusto Velloso</t>
  </si>
  <si>
    <r>
      <t>23933/12</t>
    </r>
    <r>
      <rPr>
        <b/>
        <sz val="11"/>
        <color theme="1"/>
        <rFont val="Calibri"/>
        <family val="2"/>
        <scheme val="minor"/>
      </rPr>
      <t xml:space="preserve"> </t>
    </r>
  </si>
  <si>
    <t>2.1.2  REDES E LIGAÇÕES</t>
  </si>
  <si>
    <t>17598/10-L1</t>
  </si>
  <si>
    <t>DP Barros / Geva</t>
  </si>
  <si>
    <t>17582/10-01-L2</t>
  </si>
  <si>
    <t>Construtora Cowan</t>
  </si>
  <si>
    <t>17582/10-02-L2</t>
  </si>
  <si>
    <t>17585/10-L4</t>
  </si>
  <si>
    <t>49739/11</t>
  </si>
  <si>
    <t>RC 46197/14</t>
  </si>
  <si>
    <t>2.1.3  TRATAMENTO</t>
  </si>
  <si>
    <t>12014/10</t>
  </si>
  <si>
    <t>08219/12</t>
  </si>
  <si>
    <t>Engeform e Passarelli</t>
  </si>
  <si>
    <t>21495/13</t>
  </si>
  <si>
    <t>Melhor Forma/Convap</t>
  </si>
  <si>
    <t>2.2.2  AMBIENTAL</t>
  </si>
  <si>
    <t>65579/08</t>
  </si>
  <si>
    <t>2.2.3 TÉCNICO OPERACIONAL</t>
  </si>
  <si>
    <t xml:space="preserve"> 48624/12</t>
  </si>
  <si>
    <t xml:space="preserve"> 49081/12-1</t>
  </si>
  <si>
    <t>49081/12-2</t>
  </si>
  <si>
    <t>3. CUSTOS CONCORRENTES</t>
  </si>
  <si>
    <t>3.2.1 EDUCAÇÃO AMBIENTAL/ COMUNICAÇÃO SOCIAL</t>
  </si>
  <si>
    <t>33024/12</t>
  </si>
  <si>
    <t>DESEMBOLSADO BID</t>
  </si>
  <si>
    <t>US$</t>
  </si>
  <si>
    <t>DESEMBOLSADO SABESP</t>
  </si>
  <si>
    <t>PREVISTO
2015</t>
  </si>
  <si>
    <t>R$ X 1000</t>
  </si>
  <si>
    <t>REALIZADO
JAN A ABR</t>
  </si>
  <si>
    <t xml:space="preserve">17859/11 </t>
  </si>
  <si>
    <t>30789/10 - L1</t>
  </si>
  <si>
    <t>30802/10 - L2</t>
  </si>
  <si>
    <t>23933/12</t>
  </si>
  <si>
    <t>61728/09 - L1</t>
  </si>
  <si>
    <t>61603/09 - L2</t>
  </si>
  <si>
    <t>61731/09 - L3</t>
  </si>
  <si>
    <t>30812/10 - L3</t>
  </si>
  <si>
    <t>41779/12-L1</t>
  </si>
  <si>
    <t>41789/12-L3</t>
  </si>
  <si>
    <t>17582/10-01 - L2</t>
  </si>
  <si>
    <t xml:space="preserve">17582/10-02 - L2 </t>
  </si>
  <si>
    <t xml:space="preserve">17585/10-L4 </t>
  </si>
  <si>
    <t>17598/10 - L1</t>
  </si>
  <si>
    <t>43145/14</t>
  </si>
  <si>
    <t>48624/12</t>
  </si>
  <si>
    <t>49081/12-1</t>
  </si>
  <si>
    <t xml:space="preserve">49081/12-2 </t>
  </si>
  <si>
    <t>SITUAÇÃO</t>
  </si>
  <si>
    <t>Concluído</t>
  </si>
  <si>
    <t>Em Execução</t>
  </si>
  <si>
    <t xml:space="preserve">A iniciar </t>
  </si>
  <si>
    <t>Rescindido</t>
  </si>
  <si>
    <t xml:space="preserve">Rescindido </t>
  </si>
  <si>
    <t>Indice reajuste
Contratual</t>
  </si>
  <si>
    <t>A Desembolsar  P(0)+R - R$</t>
  </si>
  <si>
    <t>Valores Contratuais P(0) - R$</t>
  </si>
  <si>
    <t>Valores Desembolsados até ABR/16 (P0+R) - US$</t>
  </si>
  <si>
    <t>Cenário 1 - US$ 3,0</t>
  </si>
  <si>
    <t>Cenário 1</t>
  </si>
  <si>
    <t>P(0)+R - R$</t>
  </si>
  <si>
    <t>BID - US$</t>
  </si>
  <si>
    <t>SABESP - US$</t>
  </si>
  <si>
    <t>TOTAL - US$</t>
  </si>
  <si>
    <t>Desembolsados + A Desembolsar - US$</t>
  </si>
  <si>
    <t>Em Encerramento</t>
  </si>
  <si>
    <t>PERCENTUAL DESEMBOLSADO</t>
  </si>
  <si>
    <t>PERCENTUAL A DESEMBOLSAR</t>
  </si>
  <si>
    <t>PERCENTUAL TOTAL</t>
  </si>
  <si>
    <t>Eletropaulo (17598)</t>
  </si>
  <si>
    <t>ACOMPANHAMENTO DO COMPROMETIDO - CONTRATO DE FINANCIAMENTO BID nº 2202/OC-BR</t>
  </si>
  <si>
    <t>DESEMBOLSADO ACUMULADO</t>
  </si>
  <si>
    <t>DESEMBOLSADO
JAN A ABR</t>
  </si>
  <si>
    <t>A DESEMBOLSAR</t>
  </si>
  <si>
    <t>25572/15</t>
  </si>
  <si>
    <t>Gauss Consult Assoc</t>
  </si>
  <si>
    <t>PROCESSOS COMERCIAIS</t>
  </si>
  <si>
    <t>30649/13</t>
  </si>
  <si>
    <t>Enosul e Engemap</t>
  </si>
  <si>
    <t>GIS R - Expansão</t>
  </si>
  <si>
    <t>R$</t>
  </si>
  <si>
    <t>A CONTRATAR</t>
  </si>
  <si>
    <t>Rescisão</t>
  </si>
  <si>
    <t>TÉRMINO</t>
  </si>
  <si>
    <t>I(0)</t>
  </si>
  <si>
    <t>Reajuste</t>
  </si>
  <si>
    <t>Média</t>
  </si>
  <si>
    <t>PPI</t>
  </si>
  <si>
    <t>PPI-16</t>
  </si>
  <si>
    <t>`Maio/17</t>
  </si>
  <si>
    <t>PPI - ME</t>
  </si>
  <si>
    <t>PPI-16+Saldo</t>
  </si>
  <si>
    <t>PPI-16+Amar1181</t>
  </si>
  <si>
    <t>Irene - ME</t>
  </si>
  <si>
    <t>Total 2016</t>
  </si>
  <si>
    <t>Total 2017</t>
  </si>
  <si>
    <t>Total 2018</t>
  </si>
  <si>
    <t>MAI a DEZ/2016</t>
  </si>
  <si>
    <t>CONTRATADO</t>
  </si>
  <si>
    <t>2.1.4 PROGRAMA CÓRREGO LIMPO</t>
  </si>
  <si>
    <t xml:space="preserve">Nota: </t>
  </si>
  <si>
    <r>
      <rPr>
        <b/>
        <sz val="10"/>
        <color theme="1"/>
        <rFont val="Calibri"/>
        <family val="2"/>
        <scheme val="minor"/>
      </rPr>
      <t>A desembolsar:</t>
    </r>
    <r>
      <rPr>
        <sz val="10"/>
        <color theme="1"/>
        <rFont val="Calibri"/>
        <family val="2"/>
        <scheme val="minor"/>
      </rPr>
      <t xml:space="preserve"> foi considerada a paridade de 85% X 15% para os contratos nº 41.779/12, 41.789/12 e 8.219/13.</t>
    </r>
  </si>
  <si>
    <t>2016 - R$</t>
  </si>
  <si>
    <t>2017 - R$</t>
  </si>
  <si>
    <t>2018 - R$</t>
  </si>
  <si>
    <t>Contratado</t>
  </si>
  <si>
    <t>ATO - ME (Irene só vai ter mais pgto)</t>
  </si>
  <si>
    <t>CONTROLE TECNOLÓGICO - ME (Irene - manter PPI)</t>
  </si>
  <si>
    <t>M</t>
  </si>
  <si>
    <t>III - EXPANSÃO E MELHORIAS NO CCO(MA)</t>
  </si>
  <si>
    <t>III - GIS R - Expansão ( R)</t>
  </si>
  <si>
    <t>VII - SERVIÇO ESPECIALIZADO P/DESENVOLV. SIST.GESTÃO AMBIENTAL (TA)</t>
  </si>
  <si>
    <t>XI - EQUIPAMENTO MÓVEL PARA RETIRADA DE AREIA, ADQUIRIDO - MT</t>
  </si>
  <si>
    <t>XII - EQUIPS. DE INSP. DE INTERCEPTORES, COLETORES E EMISSÁRIOS - MT</t>
  </si>
  <si>
    <t>BRASIL</t>
  </si>
  <si>
    <t>Programa de Despoluição do Rio Tietê - Etapa III</t>
  </si>
  <si>
    <t>Contrato de Empréstimo 2202/OC-BR (BR-L1166)</t>
  </si>
  <si>
    <t>Método</t>
  </si>
  <si>
    <t>Status</t>
  </si>
  <si>
    <t>1.1.2</t>
  </si>
  <si>
    <t>1.2.1</t>
  </si>
  <si>
    <t>1.2.2</t>
  </si>
  <si>
    <t>2.2.1</t>
  </si>
  <si>
    <t>2.2.2</t>
  </si>
  <si>
    <t>2.2.3</t>
  </si>
  <si>
    <t>3.2.1</t>
  </si>
  <si>
    <t>2.1.1</t>
  </si>
  <si>
    <t>43951/13</t>
  </si>
  <si>
    <t>2.1.2</t>
  </si>
  <si>
    <t>2.1.3</t>
  </si>
  <si>
    <t>VALOR TOTAL</t>
  </si>
  <si>
    <t>FONTE: “Focus – Relatório de Mercado”</t>
  </si>
  <si>
    <r>
      <t>Fonte:</t>
    </r>
    <r>
      <rPr>
        <b/>
        <sz val="10"/>
        <color theme="1"/>
        <rFont val="Calibri"/>
        <family val="2"/>
        <scheme val="minor"/>
      </rPr>
      <t xml:space="preserve">  Focus – Relatório de Mercado - US$ 3,64</t>
    </r>
  </si>
  <si>
    <t>V - PRÁTICAS COMERCIAIS (CM)</t>
  </si>
  <si>
    <t>Gerenciamento</t>
  </si>
  <si>
    <t>DESEMBOLSADO ATÉ ABR/16</t>
  </si>
  <si>
    <t>CRONOGRAMA ANUAL DE DESEMBOLSOS</t>
  </si>
  <si>
    <t>TOTAL
GERAL</t>
  </si>
  <si>
    <t>A Contratar</t>
  </si>
  <si>
    <t>Desembolso Total</t>
  </si>
  <si>
    <t>49081/12-1/2</t>
  </si>
  <si>
    <t>ANÁLISE DOS COMPONENTES: CONTRATADO + A CONTRATAR</t>
  </si>
  <si>
    <t>COMPROMETIDO (CRONOGRAMA)</t>
  </si>
  <si>
    <t>Paridade - Desembolsos</t>
  </si>
  <si>
    <t>CONTRATADO
ATÉ ABR/16</t>
  </si>
  <si>
    <t>A contratar</t>
  </si>
  <si>
    <t>Sabesp</t>
  </si>
  <si>
    <r>
      <rPr>
        <b/>
        <i/>
        <sz val="16"/>
        <color theme="1"/>
        <rFont val="Arial"/>
        <family val="2"/>
      </rPr>
      <t>CENÁRIO 1</t>
    </r>
    <r>
      <rPr>
        <b/>
        <sz val="16"/>
        <color theme="1"/>
        <rFont val="Arial"/>
        <family val="2"/>
      </rPr>
      <t xml:space="preserve"> - FINANCEIRO E FÍSICO EM 4 ANOS</t>
    </r>
  </si>
  <si>
    <r>
      <rPr>
        <b/>
        <i/>
        <sz val="16"/>
        <color theme="1"/>
        <rFont val="Arial"/>
        <family val="2"/>
      </rPr>
      <t>CENÁRIO 1</t>
    </r>
    <r>
      <rPr>
        <b/>
        <sz val="16"/>
        <color theme="1"/>
        <rFont val="Arial"/>
        <family val="2"/>
      </rPr>
      <t xml:space="preserve"> - FINANCEIRO EM 4 ANOS - 90%</t>
    </r>
  </si>
  <si>
    <t>Valores Desembolsados até MAI/16 (P0+R)</t>
  </si>
  <si>
    <t>DESEMBOLSADO ATÉ MAI/16</t>
  </si>
  <si>
    <t>Fonte: Taxa de câmbio 2016-2020: adotadas projeções anuais médias BACEN (Focus - Relatório de Mercado).</t>
  </si>
  <si>
    <t>CONTRATADO
ATÉ MAI/16</t>
  </si>
  <si>
    <t>JUN a DEZ/2016</t>
  </si>
  <si>
    <t>Desembolsado até mai/16</t>
  </si>
  <si>
    <t>CENÁRIO 1 - 90% /4 ANOS</t>
  </si>
  <si>
    <t>Col. - Redes</t>
  </si>
  <si>
    <t>Tratam</t>
  </si>
  <si>
    <t>Projetos</t>
  </si>
  <si>
    <t>Nota: Custos Financeiros, para este quadro foi adotado o critério de Contratado para os anos 2016-2018 e A Contratar para os anos de 2019-2020.</t>
  </si>
  <si>
    <t xml:space="preserve">PLANO DE AQUISIÇÕES (PA) </t>
  </si>
  <si>
    <t>Atualizado por: Andréa Ferreira</t>
  </si>
  <si>
    <t>Plano Diretor de Automação - (VI)</t>
  </si>
  <si>
    <t>3.2.2</t>
  </si>
  <si>
    <t>Serviços de Apoio</t>
  </si>
  <si>
    <t>49739/11-L3</t>
  </si>
  <si>
    <t>2.1.1
2.1.2</t>
  </si>
  <si>
    <t>2.1.1
2.1.2
2.1.3</t>
  </si>
  <si>
    <t>Pacote 7 - Itaquaquecetuba - Bacias TL-16/18/25</t>
  </si>
  <si>
    <t>Pacote 10 - Pinheiros - Bacias PI-07/09/24/28/32/36</t>
  </si>
  <si>
    <t>Aquisição de Equipamentos para inspeção de interceptores do Sistema Integrado da RMSP.</t>
  </si>
  <si>
    <t>Aquisição de Equipamento Móvel para retirada de areia das ETEs e EEs.</t>
  </si>
  <si>
    <t>Diretoria de Tecnologia, Empreendimentos e Meio Ambiente</t>
  </si>
  <si>
    <t>Superintendência de Gestão de Projetos Especiais</t>
  </si>
  <si>
    <t>PROJETO TIETÊ - Etapa III - Programa BID</t>
  </si>
  <si>
    <t>Plano de Investimentos e Comprometimento de Recursos</t>
  </si>
  <si>
    <t>CENÁRIO 1: Desembolsos em 4 anos</t>
  </si>
  <si>
    <t>US$ 1,000</t>
  </si>
  <si>
    <t>DESEMBOLSO</t>
  </si>
  <si>
    <t>Cronograma de Desembolsos Estimado</t>
  </si>
  <si>
    <t>Anual</t>
  </si>
  <si>
    <t>Acumulado</t>
  </si>
  <si>
    <t>Contrapartida</t>
  </si>
  <si>
    <t>COMPROMETIDO</t>
  </si>
  <si>
    <t>Cronograma de Contratações</t>
  </si>
  <si>
    <t>Nota:</t>
  </si>
  <si>
    <t>Taxa de câmbio 2016-2020: adotadas projeções anuais médias BACEN (Focus - Relatório de Mercado).</t>
  </si>
  <si>
    <t>Desembolsado Até Maio/16</t>
  </si>
  <si>
    <t>2016
Jun-Dez</t>
  </si>
  <si>
    <t>Contratado 
 Até Maio/16</t>
  </si>
  <si>
    <t>Descrição Adicional</t>
  </si>
  <si>
    <t>1. OBRAS</t>
  </si>
  <si>
    <t>2. BENS</t>
  </si>
  <si>
    <t xml:space="preserve">3. SERVIÇOS QUE NÃO SÃO DE CONSULTORIA </t>
  </si>
  <si>
    <t>4. CONSULTORIAS FIRMAS</t>
  </si>
  <si>
    <t>2.1</t>
  </si>
  <si>
    <t>2.2</t>
  </si>
  <si>
    <t>2.3</t>
  </si>
  <si>
    <t>Coletores Tronco e Interceptores</t>
  </si>
  <si>
    <t>Redes de Coleta e Ligações Domiciliares</t>
  </si>
  <si>
    <t xml:space="preserve"> (Grupo B1)                                                                                                                 </t>
  </si>
  <si>
    <t>Licitação Pública Internacional 
com Pré Qualificação</t>
  </si>
  <si>
    <t>Número do Processo</t>
  </si>
  <si>
    <t>Montante
Estimado 
% BID</t>
  </si>
  <si>
    <t>Categoria
de
Investimento</t>
  </si>
  <si>
    <t>Método
de
Revisão</t>
  </si>
  <si>
    <t>Assinatura
do
Contrato</t>
  </si>
  <si>
    <t>Publicação 
Anúncio/
Convite</t>
  </si>
  <si>
    <t>Número PRISM</t>
  </si>
  <si>
    <t>Ampliação da ETE Barueri</t>
  </si>
  <si>
    <t xml:space="preserve">(Grupo A2 -Lote 3 )                          </t>
  </si>
  <si>
    <t xml:space="preserve">(Grupo B1-MC )                                                                       </t>
  </si>
  <si>
    <t>Sub Bacia Córrego Verde</t>
  </si>
  <si>
    <t xml:space="preserve">Coletores Tronco </t>
  </si>
  <si>
    <t xml:space="preserve">Ampliação da ETE Barueri </t>
  </si>
  <si>
    <t xml:space="preserve"> 1ª Fase (11 m³/s)</t>
  </si>
  <si>
    <t xml:space="preserve"> 2ª Fase (16 m³/s) </t>
  </si>
  <si>
    <t xml:space="preserve">(Grupo A3 -Lote 1 )                          </t>
  </si>
  <si>
    <t xml:space="preserve">(Grupo A3 - Lote 3 )                          </t>
  </si>
  <si>
    <t xml:space="preserve">(Grupo A3 - Lote 2)                          </t>
  </si>
  <si>
    <t>Ampliação da ETE Parque Novo Mundo</t>
  </si>
  <si>
    <t>Coletores, Redes e Ligações Domiciliares</t>
  </si>
  <si>
    <t xml:space="preserve">Em Santana de Parnaíba </t>
  </si>
  <si>
    <t>Geral</t>
  </si>
  <si>
    <t xml:space="preserve">Sistemas Isolados de Esgotos </t>
  </si>
  <si>
    <t>Ampliação da ETE ABC</t>
  </si>
  <si>
    <t>Coletor Tronco Dom José</t>
  </si>
  <si>
    <t>Coletor Tronco Bananal</t>
  </si>
  <si>
    <t>Interceptor ITi-15</t>
  </si>
  <si>
    <t xml:space="preserve">Interceptor ITi-16 </t>
  </si>
  <si>
    <t>Interceptor ITi-02</t>
  </si>
  <si>
    <t>Coletor Tronco Guaraú</t>
  </si>
  <si>
    <t>Coletor Tronco Pirajussara</t>
  </si>
  <si>
    <t xml:space="preserve">Pacote 1 -  Bacias TO-07-09/11/13 </t>
  </si>
  <si>
    <t xml:space="preserve">Pacote 3 -  Bacia TC-12 </t>
  </si>
  <si>
    <t>Pacote  4 -  Bacia TC-12</t>
  </si>
  <si>
    <t>Pacote 5 - Bacias TC-06/20/22</t>
  </si>
  <si>
    <t xml:space="preserve">Pacote 6 -  Bacias TL-18/19/21/21A/23/25/25A </t>
  </si>
  <si>
    <t>Pacote 8 - Bacias TL-22/24/25A/27/31</t>
  </si>
  <si>
    <t>Pacote 11 - Bacia PI-03</t>
  </si>
  <si>
    <t>Contrato em Execução</t>
  </si>
  <si>
    <t>Contrato Concluído</t>
  </si>
  <si>
    <t>Processo Cancelado</t>
  </si>
  <si>
    <t>Previsto</t>
  </si>
  <si>
    <t>Contrato Rescindido</t>
  </si>
  <si>
    <t>TG</t>
  </si>
  <si>
    <t>BR-B1607</t>
  </si>
  <si>
    <t>BRA-6395</t>
  </si>
  <si>
    <t>BRA-6396</t>
  </si>
  <si>
    <t>BRA-6397</t>
  </si>
  <si>
    <t>BRA-6507</t>
  </si>
  <si>
    <t>BRA-6456</t>
  </si>
  <si>
    <t>BRA-6509</t>
  </si>
  <si>
    <t>BRA-6508</t>
  </si>
  <si>
    <t>Licitação Pública Internacional - LPI</t>
  </si>
  <si>
    <t>Equipamento para melhorar a Eficiência das ETEs. -(XI)</t>
  </si>
  <si>
    <t>Automação do Sistema de Tratamento de Esgotos - (IX)</t>
  </si>
  <si>
    <t xml:space="preserve">Televisionamento das Obras </t>
  </si>
  <si>
    <t>1ª Fase</t>
  </si>
  <si>
    <t>Controle Tecnológico - ETE Barueri</t>
  </si>
  <si>
    <t>Televisionamento das Obras</t>
  </si>
  <si>
    <t>(Grupo B1)</t>
  </si>
  <si>
    <t xml:space="preserve">(Grupo A1)                                                                                     </t>
  </si>
  <si>
    <t xml:space="preserve">(Grupos A2 e A3)                                                                                     </t>
  </si>
  <si>
    <t>Processo de Rescisão</t>
  </si>
  <si>
    <t>Seleção Baseada na Qualidade e Custo (SBQC)</t>
  </si>
  <si>
    <t>A9495</t>
  </si>
  <si>
    <t>BRA-9531</t>
  </si>
  <si>
    <t>BRB-1625</t>
  </si>
  <si>
    <t>BRA-9532</t>
  </si>
  <si>
    <t>BRA-9534</t>
  </si>
  <si>
    <t>A-9433</t>
  </si>
  <si>
    <t>BRA-9533</t>
  </si>
  <si>
    <t>BRA-9530</t>
  </si>
  <si>
    <t xml:space="preserve">Serviços especializados </t>
  </si>
  <si>
    <t xml:space="preserve">Gerenciamento </t>
  </si>
  <si>
    <t>(Grupo A1)</t>
  </si>
  <si>
    <t xml:space="preserve">Auditoria Qualidade das Obras </t>
  </si>
  <si>
    <t>(Grupos A2/A3)</t>
  </si>
  <si>
    <t xml:space="preserve">Auditoria Ambiental </t>
  </si>
  <si>
    <t>Auditoria Qualidade das Obras</t>
  </si>
  <si>
    <t xml:space="preserve">Educação Ambiental / Comunicação Social </t>
  </si>
  <si>
    <t>( ETEs e Polo de Itaquera )</t>
  </si>
  <si>
    <t>Serviços Técnicos</t>
  </si>
  <si>
    <t>Expansão do Projeto SIGNOS (GIS) - (III)</t>
  </si>
  <si>
    <t>Expansão do Projeto SIGNOS (GIS/CCO) - (III)</t>
  </si>
  <si>
    <t>Renovação de Ativos - (II)</t>
  </si>
  <si>
    <t xml:space="preserve">Diagnóstico e Estudo para o Plano Corporativo </t>
  </si>
  <si>
    <t>( R )</t>
  </si>
  <si>
    <t>( M )</t>
  </si>
  <si>
    <t>(ME)</t>
  </si>
  <si>
    <t xml:space="preserve">Sistema de Coleta e Transporte de Esgotos </t>
  </si>
  <si>
    <t>Monitoramento Operacional Quali-Quantitativo - (X)</t>
  </si>
  <si>
    <t xml:space="preserve">Monitoramento dos Resultados do Programa                                                              </t>
  </si>
  <si>
    <t xml:space="preserve">Serviços de engenharia consultiva                        </t>
  </si>
  <si>
    <t>Práticas Governança Corporativa  - (I)</t>
  </si>
  <si>
    <t xml:space="preserve">Plano de aprimoramento </t>
  </si>
  <si>
    <t>Práticas Comerciais - (V)</t>
  </si>
  <si>
    <t xml:space="preserve">Adequação e Aprimoramento </t>
  </si>
  <si>
    <t>2º Ciclo da Revisão Tarifária - (IV)</t>
  </si>
  <si>
    <t>Apoio</t>
  </si>
  <si>
    <t>Base de Ativos - (IV)</t>
  </si>
  <si>
    <t>Avaliação</t>
  </si>
  <si>
    <t>Projeto Tietê - Etapa III</t>
  </si>
  <si>
    <t>Verificação de  resultados de percepção do Programa</t>
  </si>
  <si>
    <t xml:space="preserve">1ª Fase (11 m³/s) incluindo Obras Civis,
 Fornecimento e Montagem      </t>
  </si>
  <si>
    <t xml:space="preserve">Pacote 12 - incluindo Obras Civis, 
Fornecimento e Montagem </t>
  </si>
  <si>
    <t xml:space="preserve">Pacote 9 - São Bernardo do Campo / São Paulo -
Bacias ME-01/03/08/09/11/12/13/15/17 e TA-17/19 </t>
  </si>
  <si>
    <t>Desenvolvimento do Sistema de Gestão Ambiental 
Corporativo (SGA) - (VII)</t>
  </si>
  <si>
    <t>Sistema Nacional (SN)</t>
  </si>
  <si>
    <t>Sistema Nacional</t>
  </si>
  <si>
    <t>Concorrência
 Pública Nacional</t>
  </si>
  <si>
    <t>Auditoria de Gestão da Qualidade</t>
  </si>
  <si>
    <t>Quant.
 de
 Lotes</t>
  </si>
  <si>
    <t>Montante
Estimado 
em
 US$ x mil</t>
  </si>
  <si>
    <t>Ex-Post</t>
  </si>
  <si>
    <t>Ex-Ante</t>
  </si>
  <si>
    <t xml:space="preserve">Unidade
Executora </t>
  </si>
  <si>
    <t>Objeto</t>
  </si>
  <si>
    <t xml:space="preserve">Montante Estimado </t>
  </si>
  <si>
    <t>Datas Estimadas</t>
  </si>
  <si>
    <t>Item</t>
  </si>
  <si>
    <t>Pregão 
Eletronico</t>
  </si>
  <si>
    <t>Pregão
 Eletronico</t>
  </si>
  <si>
    <t>Comentários 
para Sistema 
Nacional incluir
 método de Seleção</t>
  </si>
  <si>
    <r>
      <t xml:space="preserve">Montante
Estimado 
% 
</t>
    </r>
    <r>
      <rPr>
        <b/>
        <sz val="11"/>
        <color theme="0"/>
        <rFont val="Arial"/>
        <family val="2"/>
      </rPr>
      <t>Contrapartida</t>
    </r>
  </si>
  <si>
    <t xml:space="preserve">(Grupo B1)                                                                                                                 </t>
  </si>
  <si>
    <t xml:space="preserve">(Grupo A2 - Lote 1)                          </t>
  </si>
  <si>
    <t xml:space="preserve">(Grupo A2 - Lote 2 )                          </t>
  </si>
  <si>
    <t>Pacote 2 - Incluindo Obras Civis,
Fornecimento e Montagem</t>
  </si>
  <si>
    <t>(Coletores-tronco e ETEs)</t>
  </si>
  <si>
    <t>Coletores-tronco e Interligações</t>
  </si>
  <si>
    <t>Equipamentos para inspeção de Emissários 
e Coletores Tronco - XII</t>
  </si>
  <si>
    <t>ATO</t>
  </si>
  <si>
    <t>Engenharia consultiva</t>
  </si>
  <si>
    <t>17146/16</t>
  </si>
  <si>
    <t>Pregão
Eletronico</t>
  </si>
  <si>
    <t>Contratação Direta</t>
  </si>
  <si>
    <t>Pregão 
Eletrônico</t>
  </si>
  <si>
    <t>Pregão Eletrônico</t>
  </si>
  <si>
    <t>Pré Qualif. 61955/08
Contrato 61728/09-L1</t>
  </si>
  <si>
    <t>BR-B1605</t>
  </si>
  <si>
    <t xml:space="preserve">BR-B1606 </t>
  </si>
  <si>
    <t xml:space="preserve">BR-B1604 </t>
  </si>
  <si>
    <t>Pré Qualif. 61955/08
Contrato 61603/09-L2</t>
  </si>
  <si>
    <t>Pré Qualif. 61955/08
Contrato 61731/09-L3</t>
  </si>
  <si>
    <t>BR-B1609</t>
  </si>
  <si>
    <t>BRA-9542</t>
  </si>
  <si>
    <t>BRA-9541</t>
  </si>
  <si>
    <t>BR-B1608</t>
  </si>
  <si>
    <t xml:space="preserve">
Pré Qualif. 61966/08
Contrato 17598/10-L1
</t>
  </si>
  <si>
    <t>Pré Qualif. 61966/08 
Contrato 17582/10-01-L2</t>
  </si>
  <si>
    <t>Pré Qualif. 61966/08
Contrato 17582/10-02-L2</t>
  </si>
  <si>
    <t>Pré Qualif. 61966/08
Contrato 17585/10-L4</t>
  </si>
  <si>
    <t>dez/2008
fev/2010</t>
  </si>
  <si>
    <t>dez/2008
jun/2010</t>
  </si>
  <si>
    <t>Pré Qualif. 19548/10
Contrato 8219/12</t>
  </si>
  <si>
    <t>set/10
mar/12</t>
  </si>
  <si>
    <t>Pré Qualif. 28767/10
Contrato 41779/12-L1</t>
  </si>
  <si>
    <t>Pré Qualif. 28767/10
41789/12-L3</t>
  </si>
  <si>
    <t>jan/11
out/12</t>
  </si>
  <si>
    <t>Pré Qualif. 28767/10</t>
  </si>
  <si>
    <t>39459/16</t>
  </si>
  <si>
    <t>37000/16</t>
  </si>
  <si>
    <t>BRB-3475</t>
  </si>
  <si>
    <t>Em Licitação</t>
  </si>
  <si>
    <t>30127/16</t>
  </si>
  <si>
    <t>Projeto Executivo de CTs, Interligação TC-12-Mun. SP+ATO</t>
  </si>
  <si>
    <t>Projeto Executivo</t>
  </si>
  <si>
    <t>Obs.:</t>
  </si>
  <si>
    <r>
      <rPr>
        <b/>
        <sz val="12"/>
        <color theme="1"/>
        <rFont val="Arial"/>
        <family val="2"/>
      </rPr>
      <t>Item 4.20</t>
    </r>
    <r>
      <rPr>
        <sz val="12"/>
        <color theme="1"/>
        <rFont val="Arial"/>
        <family val="2"/>
      </rPr>
      <t xml:space="preserve"> - Nota Técnica em elaboração.</t>
    </r>
  </si>
  <si>
    <t>Redes e ligações de esgoto</t>
  </si>
  <si>
    <t>11634/17</t>
  </si>
  <si>
    <t>Licitação Pública 
Nacional - LPN</t>
  </si>
  <si>
    <t>Distrito Palmeiras - Município de Suzano - ML</t>
  </si>
  <si>
    <r>
      <rPr>
        <b/>
        <sz val="12"/>
        <color theme="1"/>
        <rFont val="Arial"/>
        <family val="2"/>
      </rPr>
      <t>Taxa de câmbio adotada</t>
    </r>
    <r>
      <rPr>
        <sz val="12"/>
        <color theme="1"/>
        <rFont val="Arial"/>
        <family val="2"/>
      </rPr>
      <t xml:space="preserve"> de US$ 3,2591.</t>
    </r>
  </si>
  <si>
    <r>
      <t>Atualização Nº: 2</t>
    </r>
    <r>
      <rPr>
        <b/>
        <i/>
        <sz val="12"/>
        <color indexed="8"/>
        <rFont val="Arial"/>
        <family val="2"/>
      </rPr>
      <t>º</t>
    </r>
  </si>
  <si>
    <r>
      <t>Atualizado em: Junho</t>
    </r>
    <r>
      <rPr>
        <b/>
        <i/>
        <sz val="12"/>
        <rFont val="Arial"/>
        <family val="2"/>
      </rPr>
      <t>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</si>
</sst>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[Red]\-#,##0\ "/>
    <numFmt numFmtId="167" formatCode="#,##0;[Red]#,##0"/>
    <numFmt numFmtId="168" formatCode="#,##0.00;[Red]#,##0.00"/>
    <numFmt numFmtId="169" formatCode="[$-416]mmm\-yy;@"/>
    <numFmt numFmtId="170" formatCode="_-* #,##0.000_-;\-* #,##0.000_-;_-* &quot;-&quot;_-;_-@_-"/>
    <numFmt numFmtId="171" formatCode="_-* #,##0.000_-;\-* #,##0.000_-;_-* &quot;-&quot;??_-;_-@_-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b/>
      <sz val="11"/>
      <color theme="6" tint="-0.499984740745262"/>
      <name val="Arial"/>
      <family val="2"/>
    </font>
    <font>
      <b/>
      <i/>
      <sz val="11"/>
      <color theme="6" tint="-0.499984740745262"/>
      <name val="Arial"/>
      <family val="2"/>
    </font>
    <font>
      <b/>
      <sz val="10"/>
      <color theme="6" tint="-0.499984740745262"/>
      <name val="Arial"/>
      <family val="2"/>
    </font>
    <font>
      <b/>
      <sz val="9"/>
      <color theme="6" tint="-0.499984740745262"/>
      <name val="Arial"/>
      <family val="2"/>
    </font>
    <font>
      <sz val="9"/>
      <color theme="6" tint="-0.4999847407452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Arial"/>
      <family val="2"/>
    </font>
    <font>
      <b/>
      <i/>
      <sz val="16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0"/>
      <name val="Arial"/>
      <family val="2"/>
    </font>
    <font>
      <sz val="12"/>
      <color rgb="FF3333CC"/>
      <name val="Arial"/>
      <family val="2"/>
    </font>
    <font>
      <i/>
      <sz val="12"/>
      <color rgb="FF3333CC"/>
      <name val="Arial"/>
      <family val="2"/>
    </font>
    <font>
      <sz val="12"/>
      <color theme="1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6" tint="0.7999816888943144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0"/>
      </patternFill>
    </fill>
    <fill>
      <patternFill patternType="solid">
        <fgColor theme="0" tint="-4.9989318521683403E-2"/>
        <bgColor indexed="0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3366FF"/>
        <bgColor indexed="64"/>
      </patternFill>
    </fill>
  </fills>
  <borders count="27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tted">
        <color indexed="64"/>
      </top>
      <bottom style="thin">
        <color auto="1"/>
      </bottom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thin">
        <color indexed="64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auto="1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43" fillId="0" borderId="0"/>
  </cellStyleXfs>
  <cellXfs count="840">
    <xf numFmtId="0" fontId="0" fillId="0" borderId="0" xfId="0"/>
    <xf numFmtId="0" fontId="0" fillId="0" borderId="0" xfId="0" applyAlignment="1"/>
    <xf numFmtId="0" fontId="3" fillId="3" borderId="7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3" fillId="4" borderId="8" xfId="2" applyFont="1" applyFill="1" applyBorder="1" applyAlignment="1">
      <alignment horizontal="center" vertical="center" wrapText="1"/>
    </xf>
    <xf numFmtId="0" fontId="3" fillId="4" borderId="8" xfId="2" applyFont="1" applyFill="1" applyBorder="1" applyAlignment="1">
      <alignment horizontal="center" vertical="center"/>
    </xf>
    <xf numFmtId="43" fontId="0" fillId="0" borderId="0" xfId="0" applyNumberFormat="1" applyAlignment="1"/>
    <xf numFmtId="17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0" fontId="3" fillId="6" borderId="8" xfId="2" applyFont="1" applyFill="1" applyBorder="1" applyAlignment="1">
      <alignment horizontal="center" vertical="center"/>
    </xf>
    <xf numFmtId="0" fontId="3" fillId="6" borderId="7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21" fillId="5" borderId="12" xfId="2" applyFont="1" applyFill="1" applyBorder="1" applyAlignment="1">
      <alignment vertical="center" wrapText="1"/>
    </xf>
    <xf numFmtId="0" fontId="18" fillId="5" borderId="18" xfId="2" applyFont="1" applyFill="1" applyBorder="1" applyAlignment="1">
      <alignment horizontal="center" vertical="center"/>
    </xf>
    <xf numFmtId="164" fontId="9" fillId="5" borderId="21" xfId="2" applyNumberFormat="1" applyFont="1" applyFill="1" applyBorder="1" applyAlignment="1">
      <alignment horizontal="center" vertical="center" wrapText="1"/>
    </xf>
    <xf numFmtId="164" fontId="11" fillId="5" borderId="21" xfId="2" applyNumberFormat="1" applyFont="1" applyFill="1" applyBorder="1" applyAlignment="1">
      <alignment horizontal="center" vertical="center" wrapText="1"/>
    </xf>
    <xf numFmtId="164" fontId="21" fillId="5" borderId="22" xfId="2" applyNumberFormat="1" applyFont="1" applyFill="1" applyBorder="1" applyAlignment="1">
      <alignment horizontal="center" vertical="center"/>
    </xf>
    <xf numFmtId="164" fontId="21" fillId="5" borderId="22" xfId="2" applyNumberFormat="1" applyFont="1" applyFill="1" applyBorder="1" applyAlignment="1">
      <alignment horizontal="center" vertical="justify"/>
    </xf>
    <xf numFmtId="164" fontId="21" fillId="5" borderId="21" xfId="2" applyNumberFormat="1" applyFont="1" applyFill="1" applyBorder="1" applyAlignment="1">
      <alignment horizontal="center" vertical="center" wrapText="1"/>
    </xf>
    <xf numFmtId="164" fontId="21" fillId="5" borderId="20" xfId="2" applyNumberFormat="1" applyFont="1" applyFill="1" applyBorder="1" applyAlignment="1">
      <alignment horizontal="center" vertical="justify"/>
    </xf>
    <xf numFmtId="164" fontId="25" fillId="5" borderId="21" xfId="2" applyNumberFormat="1" applyFont="1" applyFill="1" applyBorder="1" applyAlignment="1">
      <alignment horizontal="center" vertical="center" wrapText="1"/>
    </xf>
    <xf numFmtId="164" fontId="21" fillId="5" borderId="24" xfId="2" applyNumberFormat="1" applyFont="1" applyFill="1" applyBorder="1" applyAlignment="1">
      <alignment horizontal="center" vertical="justify"/>
    </xf>
    <xf numFmtId="164" fontId="21" fillId="5" borderId="20" xfId="2" applyNumberFormat="1" applyFont="1" applyFill="1" applyBorder="1" applyAlignment="1">
      <alignment horizontal="center" vertical="center"/>
    </xf>
    <xf numFmtId="164" fontId="21" fillId="5" borderId="24" xfId="2" applyNumberFormat="1" applyFont="1" applyFill="1" applyBorder="1" applyAlignment="1">
      <alignment horizontal="center" vertical="center"/>
    </xf>
    <xf numFmtId="164" fontId="21" fillId="5" borderId="23" xfId="2" applyNumberFormat="1" applyFont="1" applyFill="1" applyBorder="1" applyAlignment="1">
      <alignment horizontal="center" vertical="center"/>
    </xf>
    <xf numFmtId="164" fontId="21" fillId="5" borderId="21" xfId="2" applyNumberFormat="1" applyFont="1" applyFill="1" applyBorder="1" applyAlignment="1">
      <alignment horizontal="center" vertical="center"/>
    </xf>
    <xf numFmtId="164" fontId="21" fillId="5" borderId="22" xfId="2" applyNumberFormat="1" applyFont="1" applyFill="1" applyBorder="1" applyAlignment="1">
      <alignment horizontal="center" vertical="center" wrapText="1"/>
    </xf>
    <xf numFmtId="164" fontId="26" fillId="5" borderId="25" xfId="2" applyNumberFormat="1" applyFont="1" applyFill="1" applyBorder="1" applyAlignment="1">
      <alignment horizontal="center" vertical="center"/>
    </xf>
    <xf numFmtId="165" fontId="6" fillId="5" borderId="12" xfId="1" applyNumberFormat="1" applyFont="1" applyFill="1" applyBorder="1" applyAlignment="1">
      <alignment horizontal="center" vertical="center" wrapText="1"/>
    </xf>
    <xf numFmtId="165" fontId="6" fillId="5" borderId="11" xfId="2" applyNumberFormat="1" applyFont="1" applyFill="1" applyBorder="1" applyAlignment="1">
      <alignment horizontal="left" vertical="center" wrapText="1"/>
    </xf>
    <xf numFmtId="165" fontId="7" fillId="5" borderId="12" xfId="1" applyNumberFormat="1" applyFont="1" applyFill="1" applyBorder="1" applyAlignment="1">
      <alignment horizontal="center" vertical="center" wrapText="1"/>
    </xf>
    <xf numFmtId="165" fontId="7" fillId="5" borderId="11" xfId="2" applyNumberFormat="1" applyFont="1" applyFill="1" applyBorder="1" applyAlignment="1">
      <alignment horizontal="left" vertical="center" wrapText="1"/>
    </xf>
    <xf numFmtId="165" fontId="5" fillId="5" borderId="12" xfId="1" applyNumberFormat="1" applyFont="1" applyFill="1" applyBorder="1" applyAlignment="1">
      <alignment horizontal="center" vertical="center" wrapText="1"/>
    </xf>
    <xf numFmtId="165" fontId="5" fillId="5" borderId="12" xfId="2" applyNumberFormat="1" applyFont="1" applyFill="1" applyBorder="1" applyAlignment="1">
      <alignment horizontal="center" vertical="center"/>
    </xf>
    <xf numFmtId="165" fontId="4" fillId="5" borderId="12" xfId="1" applyNumberFormat="1" applyFont="1" applyFill="1" applyBorder="1" applyAlignment="1">
      <alignment horizontal="center" vertical="center" wrapText="1"/>
    </xf>
    <xf numFmtId="165" fontId="4" fillId="5" borderId="11" xfId="2" applyNumberFormat="1" applyFont="1" applyFill="1" applyBorder="1" applyAlignment="1">
      <alignment horizontal="left" vertical="center" wrapText="1"/>
    </xf>
    <xf numFmtId="165" fontId="6" fillId="5" borderId="19" xfId="2" applyNumberFormat="1" applyFont="1" applyFill="1" applyBorder="1" applyAlignment="1">
      <alignment horizontal="center" vertical="center"/>
    </xf>
    <xf numFmtId="165" fontId="8" fillId="5" borderId="12" xfId="1" applyNumberFormat="1" applyFont="1" applyFill="1" applyBorder="1" applyAlignment="1">
      <alignment horizontal="center" vertical="center" wrapText="1"/>
    </xf>
    <xf numFmtId="165" fontId="10" fillId="5" borderId="12" xfId="1" applyNumberFormat="1" applyFont="1" applyFill="1" applyBorder="1" applyAlignment="1">
      <alignment horizontal="center" vertical="center" wrapText="1"/>
    </xf>
    <xf numFmtId="165" fontId="12" fillId="5" borderId="12" xfId="2" applyNumberFormat="1" applyFont="1" applyFill="1" applyBorder="1" applyAlignment="1">
      <alignment horizontal="left" vertical="justify"/>
    </xf>
    <xf numFmtId="165" fontId="11" fillId="5" borderId="12" xfId="1" applyNumberFormat="1" applyFont="1" applyFill="1" applyBorder="1" applyAlignment="1">
      <alignment horizontal="center" vertical="center" wrapText="1"/>
    </xf>
    <xf numFmtId="165" fontId="11" fillId="5" borderId="11" xfId="2" applyNumberFormat="1" applyFont="1" applyFill="1" applyBorder="1" applyAlignment="1">
      <alignment horizontal="left" vertical="center" wrapText="1"/>
    </xf>
    <xf numFmtId="165" fontId="12" fillId="5" borderId="12" xfId="2" applyNumberFormat="1" applyFont="1" applyFill="1" applyBorder="1" applyAlignment="1">
      <alignment horizontal="left" vertical="center"/>
    </xf>
    <xf numFmtId="165" fontId="12" fillId="5" borderId="12" xfId="2" applyNumberFormat="1" applyFont="1" applyFill="1" applyBorder="1" applyAlignment="1">
      <alignment vertical="justify"/>
    </xf>
    <xf numFmtId="165" fontId="12" fillId="5" borderId="12" xfId="2" applyNumberFormat="1" applyFont="1" applyFill="1" applyBorder="1" applyAlignment="1">
      <alignment vertical="center"/>
    </xf>
    <xf numFmtId="165" fontId="12" fillId="5" borderId="12" xfId="2" applyNumberFormat="1" applyFont="1" applyFill="1" applyBorder="1" applyAlignment="1">
      <alignment vertical="center" wrapText="1"/>
    </xf>
    <xf numFmtId="165" fontId="8" fillId="5" borderId="18" xfId="2" applyNumberFormat="1" applyFont="1" applyFill="1" applyBorder="1" applyAlignment="1">
      <alignment horizontal="center" vertical="center"/>
    </xf>
    <xf numFmtId="165" fontId="18" fillId="5" borderId="12" xfId="1" applyNumberFormat="1" applyFont="1" applyFill="1" applyBorder="1" applyAlignment="1">
      <alignment horizontal="center" vertical="center" wrapText="1"/>
    </xf>
    <xf numFmtId="165" fontId="18" fillId="5" borderId="11" xfId="2" applyNumberFormat="1" applyFont="1" applyFill="1" applyBorder="1" applyAlignment="1">
      <alignment horizontal="left" vertical="center" wrapText="1"/>
    </xf>
    <xf numFmtId="165" fontId="20" fillId="5" borderId="12" xfId="1" applyNumberFormat="1" applyFont="1" applyFill="1" applyBorder="1" applyAlignment="1">
      <alignment horizontal="center" vertical="center" wrapText="1"/>
    </xf>
    <xf numFmtId="165" fontId="20" fillId="5" borderId="11" xfId="2" applyNumberFormat="1" applyFont="1" applyFill="1" applyBorder="1" applyAlignment="1">
      <alignment horizontal="left" vertical="center" wrapText="1"/>
    </xf>
    <xf numFmtId="165" fontId="21" fillId="5" borderId="12" xfId="2" applyNumberFormat="1" applyFont="1" applyFill="1" applyBorder="1" applyAlignment="1">
      <alignment horizontal="left" vertical="center"/>
    </xf>
    <xf numFmtId="165" fontId="21" fillId="5" borderId="12" xfId="2" applyNumberFormat="1" applyFont="1" applyFill="1" applyBorder="1" applyAlignment="1">
      <alignment horizontal="center" vertical="center"/>
    </xf>
    <xf numFmtId="165" fontId="21" fillId="5" borderId="12" xfId="2" applyNumberFormat="1" applyFont="1" applyFill="1" applyBorder="1" applyAlignment="1">
      <alignment horizontal="left" vertical="justify"/>
    </xf>
    <xf numFmtId="165" fontId="21" fillId="5" borderId="8" xfId="2" applyNumberFormat="1" applyFont="1" applyFill="1" applyBorder="1" applyAlignment="1">
      <alignment vertical="justify"/>
    </xf>
    <xf numFmtId="165" fontId="19" fillId="5" borderId="12" xfId="1" applyNumberFormat="1" applyFont="1" applyFill="1" applyBorder="1" applyAlignment="1">
      <alignment horizontal="center" vertical="center" wrapText="1"/>
    </xf>
    <xf numFmtId="165" fontId="19" fillId="5" borderId="11" xfId="2" applyNumberFormat="1" applyFont="1" applyFill="1" applyBorder="1" applyAlignment="1">
      <alignment horizontal="left" vertical="center" wrapText="1"/>
    </xf>
    <xf numFmtId="165" fontId="21" fillId="5" borderId="14" xfId="2" applyNumberFormat="1" applyFont="1" applyFill="1" applyBorder="1" applyAlignment="1">
      <alignment horizontal="left" vertical="justify"/>
    </xf>
    <xf numFmtId="165" fontId="21" fillId="5" borderId="8" xfId="2" applyNumberFormat="1" applyFont="1" applyFill="1" applyBorder="1" applyAlignment="1">
      <alignment vertical="center"/>
    </xf>
    <xf numFmtId="165" fontId="21" fillId="5" borderId="12" xfId="2" applyNumberFormat="1" applyFont="1" applyFill="1" applyBorder="1" applyAlignment="1">
      <alignment vertical="center"/>
    </xf>
    <xf numFmtId="165" fontId="21" fillId="5" borderId="12" xfId="2" applyNumberFormat="1" applyFont="1" applyFill="1" applyBorder="1" applyAlignment="1">
      <alignment vertical="center" wrapText="1"/>
    </xf>
    <xf numFmtId="165" fontId="17" fillId="5" borderId="11" xfId="2" applyNumberFormat="1" applyFont="1" applyFill="1" applyBorder="1" applyAlignment="1">
      <alignment horizontal="left" vertical="center" wrapText="1"/>
    </xf>
    <xf numFmtId="165" fontId="18" fillId="5" borderId="19" xfId="2" applyNumberFormat="1" applyFont="1" applyFill="1" applyBorder="1" applyAlignment="1">
      <alignment horizontal="center" vertical="center"/>
    </xf>
    <xf numFmtId="41" fontId="0" fillId="0" borderId="0" xfId="0" applyNumberFormat="1"/>
    <xf numFmtId="0" fontId="0" fillId="0" borderId="0" xfId="0" applyFill="1"/>
    <xf numFmtId="0" fontId="0" fillId="0" borderId="0" xfId="0" applyBorder="1"/>
    <xf numFmtId="0" fontId="28" fillId="0" borderId="0" xfId="0" applyFont="1"/>
    <xf numFmtId="0" fontId="0" fillId="0" borderId="27" xfId="0" applyBorder="1"/>
    <xf numFmtId="41" fontId="0" fillId="0" borderId="27" xfId="0" applyNumberFormat="1" applyBorder="1"/>
    <xf numFmtId="0" fontId="23" fillId="0" borderId="27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9" fillId="8" borderId="54" xfId="0" applyFont="1" applyFill="1" applyBorder="1" applyAlignment="1">
      <alignment horizontal="center" vertical="center"/>
    </xf>
    <xf numFmtId="0" fontId="29" fillId="8" borderId="55" xfId="0" applyFont="1" applyFill="1" applyBorder="1" applyAlignment="1">
      <alignment horizontal="center" vertical="center"/>
    </xf>
    <xf numFmtId="0" fontId="29" fillId="8" borderId="56" xfId="0" applyFont="1" applyFill="1" applyBorder="1" applyAlignment="1">
      <alignment horizontal="center" vertical="center"/>
    </xf>
    <xf numFmtId="0" fontId="29" fillId="8" borderId="57" xfId="0" applyFont="1" applyFill="1" applyBorder="1" applyAlignment="1">
      <alignment horizontal="center" vertical="center"/>
    </xf>
    <xf numFmtId="0" fontId="29" fillId="8" borderId="58" xfId="0" applyFont="1" applyFill="1" applyBorder="1" applyAlignment="1">
      <alignment horizontal="center" vertical="center"/>
    </xf>
    <xf numFmtId="0" fontId="29" fillId="8" borderId="5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1" fillId="0" borderId="38" xfId="0" applyFont="1" applyBorder="1"/>
    <xf numFmtId="164" fontId="31" fillId="0" borderId="0" xfId="0" applyNumberFormat="1" applyFont="1" applyBorder="1" applyAlignment="1">
      <alignment horizontal="center"/>
    </xf>
    <xf numFmtId="164" fontId="31" fillId="0" borderId="0" xfId="0" applyNumberFormat="1" applyFont="1" applyBorder="1"/>
    <xf numFmtId="0" fontId="0" fillId="0" borderId="30" xfId="0" applyBorder="1" applyAlignment="1">
      <alignment horizontal="center"/>
    </xf>
    <xf numFmtId="0" fontId="0" fillId="0" borderId="38" xfId="0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32" fillId="0" borderId="38" xfId="0" applyFont="1" applyBorder="1"/>
    <xf numFmtId="41" fontId="3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164" fontId="32" fillId="0" borderId="0" xfId="0" applyNumberFormat="1" applyFont="1" applyBorder="1"/>
    <xf numFmtId="41" fontId="0" fillId="0" borderId="0" xfId="0" applyNumberFormat="1" applyBorder="1"/>
    <xf numFmtId="3" fontId="0" fillId="0" borderId="0" xfId="0" applyNumberFormat="1" applyBorder="1" applyAlignment="1">
      <alignment horizontal="center"/>
    </xf>
    <xf numFmtId="164" fontId="32" fillId="9" borderId="66" xfId="0" applyNumberFormat="1" applyFont="1" applyFill="1" applyBorder="1" applyAlignment="1">
      <alignment horizontal="center"/>
    </xf>
    <xf numFmtId="164" fontId="32" fillId="9" borderId="0" xfId="0" applyNumberFormat="1" applyFont="1" applyFill="1" applyBorder="1"/>
    <xf numFmtId="0" fontId="23" fillId="0" borderId="0" xfId="0" applyFont="1" applyBorder="1" applyAlignment="1">
      <alignment horizontal="center"/>
    </xf>
    <xf numFmtId="41" fontId="33" fillId="0" borderId="0" xfId="0" applyNumberFormat="1" applyFont="1" applyBorder="1"/>
    <xf numFmtId="164" fontId="34" fillId="9" borderId="67" xfId="0" applyNumberFormat="1" applyFont="1" applyFill="1" applyBorder="1" applyAlignment="1">
      <alignment horizontal="center"/>
    </xf>
    <xf numFmtId="164" fontId="34" fillId="9" borderId="68" xfId="0" applyNumberFormat="1" applyFont="1" applyFill="1" applyBorder="1" applyAlignment="1">
      <alignment horizontal="center"/>
    </xf>
    <xf numFmtId="164" fontId="34" fillId="9" borderId="69" xfId="0" applyNumberFormat="1" applyFont="1" applyFill="1" applyBorder="1" applyAlignment="1">
      <alignment horizontal="center"/>
    </xf>
    <xf numFmtId="164" fontId="34" fillId="9" borderId="0" xfId="0" applyNumberFormat="1" applyFont="1" applyFill="1" applyBorder="1"/>
    <xf numFmtId="164" fontId="33" fillId="0" borderId="0" xfId="0" applyNumberFormat="1" applyFont="1" applyBorder="1"/>
    <xf numFmtId="3" fontId="28" fillId="0" borderId="0" xfId="0" applyNumberFormat="1" applyFont="1" applyBorder="1"/>
    <xf numFmtId="164" fontId="31" fillId="9" borderId="71" xfId="0" applyNumberFormat="1" applyFont="1" applyFill="1" applyBorder="1" applyAlignment="1">
      <alignment horizontal="center"/>
    </xf>
    <xf numFmtId="164" fontId="31" fillId="9" borderId="72" xfId="0" applyNumberFormat="1" applyFont="1" applyFill="1" applyBorder="1" applyAlignment="1">
      <alignment horizontal="center"/>
    </xf>
    <xf numFmtId="9" fontId="0" fillId="0" borderId="0" xfId="3" applyFont="1"/>
    <xf numFmtId="3" fontId="0" fillId="0" borderId="0" xfId="0" applyNumberFormat="1"/>
    <xf numFmtId="0" fontId="23" fillId="0" borderId="0" xfId="0" applyFont="1" applyAlignment="1">
      <alignment horizontal="right"/>
    </xf>
    <xf numFmtId="14" fontId="23" fillId="0" borderId="0" xfId="0" applyNumberFormat="1" applyFont="1" applyAlignment="1">
      <alignment horizontal="left"/>
    </xf>
    <xf numFmtId="0" fontId="22" fillId="0" borderId="0" xfId="0" applyFont="1"/>
    <xf numFmtId="0" fontId="32" fillId="0" borderId="0" xfId="0" applyFont="1"/>
    <xf numFmtId="0" fontId="36" fillId="5" borderId="82" xfId="0" applyFont="1" applyFill="1" applyBorder="1" applyAlignment="1">
      <alignment horizontal="left" vertical="center" wrapText="1"/>
    </xf>
    <xf numFmtId="41" fontId="36" fillId="5" borderId="83" xfId="0" applyNumberFormat="1" applyFont="1" applyFill="1" applyBorder="1" applyAlignment="1">
      <alignment horizontal="center" vertical="center" wrapText="1"/>
    </xf>
    <xf numFmtId="41" fontId="36" fillId="9" borderId="83" xfId="0" applyNumberFormat="1" applyFont="1" applyFill="1" applyBorder="1" applyAlignment="1">
      <alignment horizontal="center" vertical="center" wrapText="1"/>
    </xf>
    <xf numFmtId="41" fontId="36" fillId="5" borderId="84" xfId="0" applyNumberFormat="1" applyFont="1" applyFill="1" applyBorder="1" applyAlignment="1">
      <alignment horizontal="center" vertical="center" wrapText="1"/>
    </xf>
    <xf numFmtId="41" fontId="36" fillId="5" borderId="85" xfId="0" applyNumberFormat="1" applyFont="1" applyFill="1" applyBorder="1" applyAlignment="1">
      <alignment horizontal="center" vertical="center" wrapText="1"/>
    </xf>
    <xf numFmtId="41" fontId="36" fillId="5" borderId="37" xfId="0" applyNumberFormat="1" applyFont="1" applyFill="1" applyBorder="1" applyAlignment="1">
      <alignment horizontal="center" vertical="center" wrapText="1"/>
    </xf>
    <xf numFmtId="0" fontId="35" fillId="5" borderId="66" xfId="0" applyFont="1" applyFill="1" applyBorder="1" applyAlignment="1">
      <alignment horizontal="left" vertical="center" wrapText="1"/>
    </xf>
    <xf numFmtId="41" fontId="35" fillId="5" borderId="62" xfId="0" applyNumberFormat="1" applyFont="1" applyFill="1" applyBorder="1" applyAlignment="1">
      <alignment horizontal="center" vertical="center" wrapText="1"/>
    </xf>
    <xf numFmtId="41" fontId="35" fillId="9" borderId="62" xfId="0" applyNumberFormat="1" applyFont="1" applyFill="1" applyBorder="1" applyAlignment="1">
      <alignment horizontal="center" vertical="center" wrapText="1"/>
    </xf>
    <xf numFmtId="41" fontId="35" fillId="5" borderId="86" xfId="0" applyNumberFormat="1" applyFont="1" applyFill="1" applyBorder="1" applyAlignment="1">
      <alignment horizontal="center" vertical="center" wrapText="1"/>
    </xf>
    <xf numFmtId="41" fontId="35" fillId="5" borderId="64" xfId="0" applyNumberFormat="1" applyFont="1" applyFill="1" applyBorder="1" applyAlignment="1">
      <alignment horizontal="center" vertical="center" wrapText="1"/>
    </xf>
    <xf numFmtId="41" fontId="35" fillId="5" borderId="65" xfId="0" applyNumberFormat="1" applyFont="1" applyFill="1" applyBorder="1" applyAlignment="1">
      <alignment horizontal="center" vertical="center" wrapText="1"/>
    </xf>
    <xf numFmtId="0" fontId="24" fillId="5" borderId="86" xfId="0" applyFont="1" applyFill="1" applyBorder="1" applyAlignment="1">
      <alignment horizontal="center" vertical="center"/>
    </xf>
    <xf numFmtId="0" fontId="24" fillId="5" borderId="87" xfId="0" applyFont="1" applyFill="1" applyBorder="1" applyAlignment="1">
      <alignment horizontal="center" vertical="center"/>
    </xf>
    <xf numFmtId="0" fontId="24" fillId="5" borderId="66" xfId="0" applyFont="1" applyFill="1" applyBorder="1" applyAlignment="1">
      <alignment horizontal="center" vertical="center"/>
    </xf>
    <xf numFmtId="41" fontId="24" fillId="5" borderId="62" xfId="0" applyNumberFormat="1" applyFont="1" applyFill="1" applyBorder="1" applyAlignment="1">
      <alignment horizontal="center" vertical="center"/>
    </xf>
    <xf numFmtId="41" fontId="24" fillId="9" borderId="62" xfId="0" applyNumberFormat="1" applyFont="1" applyFill="1" applyBorder="1" applyAlignment="1">
      <alignment horizontal="center" vertical="center"/>
    </xf>
    <xf numFmtId="41" fontId="24" fillId="5" borderId="86" xfId="0" applyNumberFormat="1" applyFont="1" applyFill="1" applyBorder="1" applyAlignment="1">
      <alignment horizontal="center" vertical="center"/>
    </xf>
    <xf numFmtId="41" fontId="24" fillId="5" borderId="64" xfId="0" applyNumberFormat="1" applyFont="1" applyFill="1" applyBorder="1" applyAlignment="1">
      <alignment horizontal="center" vertical="center"/>
    </xf>
    <xf numFmtId="41" fontId="24" fillId="5" borderId="65" xfId="0" applyNumberFormat="1" applyFont="1" applyFill="1" applyBorder="1" applyAlignment="1">
      <alignment horizontal="center" vertical="center"/>
    </xf>
    <xf numFmtId="0" fontId="15" fillId="5" borderId="66" xfId="0" applyFont="1" applyFill="1" applyBorder="1" applyAlignment="1">
      <alignment vertical="center" wrapText="1"/>
    </xf>
    <xf numFmtId="41" fontId="15" fillId="5" borderId="62" xfId="0" applyNumberFormat="1" applyFont="1" applyFill="1" applyBorder="1" applyAlignment="1">
      <alignment horizontal="center" vertical="center" wrapText="1"/>
    </xf>
    <xf numFmtId="41" fontId="15" fillId="9" borderId="62" xfId="0" applyNumberFormat="1" applyFont="1" applyFill="1" applyBorder="1" applyAlignment="1">
      <alignment horizontal="center" vertical="center" wrapText="1"/>
    </xf>
    <xf numFmtId="41" fontId="15" fillId="5" borderId="86" xfId="0" applyNumberFormat="1" applyFont="1" applyFill="1" applyBorder="1" applyAlignment="1">
      <alignment horizontal="center" vertical="center" wrapText="1"/>
    </xf>
    <xf numFmtId="41" fontId="15" fillId="5" borderId="64" xfId="0" applyNumberFormat="1" applyFont="1" applyFill="1" applyBorder="1" applyAlignment="1">
      <alignment horizontal="center" vertical="center" wrapText="1"/>
    </xf>
    <xf numFmtId="41" fontId="15" fillId="5" borderId="65" xfId="0" applyNumberFormat="1" applyFont="1" applyFill="1" applyBorder="1" applyAlignment="1">
      <alignment horizontal="center" vertical="center" wrapText="1"/>
    </xf>
    <xf numFmtId="17" fontId="15" fillId="5" borderId="63" xfId="0" applyNumberFormat="1" applyFont="1" applyFill="1" applyBorder="1" applyAlignment="1">
      <alignment horizontal="left" vertical="center" wrapText="1"/>
    </xf>
    <xf numFmtId="0" fontId="16" fillId="5" borderId="66" xfId="0" applyFont="1" applyFill="1" applyBorder="1" applyAlignment="1">
      <alignment vertical="center" wrapText="1"/>
    </xf>
    <xf numFmtId="41" fontId="16" fillId="5" borderId="62" xfId="0" applyNumberFormat="1" applyFont="1" applyFill="1" applyBorder="1" applyAlignment="1">
      <alignment horizontal="center" vertical="center" wrapText="1"/>
    </xf>
    <xf numFmtId="41" fontId="16" fillId="9" borderId="62" xfId="0" applyNumberFormat="1" applyFont="1" applyFill="1" applyBorder="1" applyAlignment="1">
      <alignment horizontal="center" vertical="center" wrapText="1"/>
    </xf>
    <xf numFmtId="41" fontId="16" fillId="5" borderId="86" xfId="0" applyNumberFormat="1" applyFont="1" applyFill="1" applyBorder="1" applyAlignment="1">
      <alignment horizontal="center" vertical="center" wrapText="1"/>
    </xf>
    <xf numFmtId="41" fontId="16" fillId="5" borderId="64" xfId="0" applyNumberFormat="1" applyFont="1" applyFill="1" applyBorder="1" applyAlignment="1">
      <alignment horizontal="center" vertical="center" wrapText="1"/>
    </xf>
    <xf numFmtId="41" fontId="16" fillId="5" borderId="6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5" borderId="87" xfId="0" applyFont="1" applyFill="1" applyBorder="1" applyAlignment="1">
      <alignment horizontal="center" vertical="center" wrapText="1"/>
    </xf>
    <xf numFmtId="0" fontId="24" fillId="5" borderId="66" xfId="0" applyFont="1" applyFill="1" applyBorder="1" applyAlignment="1">
      <alignment horizontal="center" vertical="center" wrapText="1"/>
    </xf>
    <xf numFmtId="41" fontId="24" fillId="5" borderId="62" xfId="0" applyNumberFormat="1" applyFont="1" applyFill="1" applyBorder="1" applyAlignment="1">
      <alignment horizontal="center" vertical="center" wrapText="1"/>
    </xf>
    <xf numFmtId="41" fontId="24" fillId="9" borderId="62" xfId="0" applyNumberFormat="1" applyFont="1" applyFill="1" applyBorder="1" applyAlignment="1">
      <alignment horizontal="center" vertical="center" wrapText="1"/>
    </xf>
    <xf numFmtId="41" fontId="24" fillId="5" borderId="86" xfId="0" applyNumberFormat="1" applyFont="1" applyFill="1" applyBorder="1" applyAlignment="1">
      <alignment horizontal="center" vertical="center" wrapText="1"/>
    </xf>
    <xf numFmtId="41" fontId="24" fillId="5" borderId="64" xfId="0" applyNumberFormat="1" applyFont="1" applyFill="1" applyBorder="1" applyAlignment="1">
      <alignment horizontal="center" vertical="center" wrapText="1"/>
    </xf>
    <xf numFmtId="41" fontId="24" fillId="5" borderId="65" xfId="0" applyNumberFormat="1" applyFont="1" applyFill="1" applyBorder="1" applyAlignment="1">
      <alignment horizontal="center" vertical="center" wrapText="1"/>
    </xf>
    <xf numFmtId="166" fontId="16" fillId="5" borderId="62" xfId="0" applyNumberFormat="1" applyFont="1" applyFill="1" applyBorder="1" applyAlignment="1">
      <alignment horizontal="right" vertical="center" wrapText="1"/>
    </xf>
    <xf numFmtId="166" fontId="16" fillId="9" borderId="62" xfId="0" applyNumberFormat="1" applyFont="1" applyFill="1" applyBorder="1" applyAlignment="1">
      <alignment horizontal="right" vertical="center" wrapText="1"/>
    </xf>
    <xf numFmtId="166" fontId="16" fillId="5" borderId="86" xfId="0" applyNumberFormat="1" applyFont="1" applyFill="1" applyBorder="1" applyAlignment="1">
      <alignment horizontal="right" vertical="center" wrapText="1"/>
    </xf>
    <xf numFmtId="166" fontId="16" fillId="5" borderId="65" xfId="0" applyNumberFormat="1" applyFont="1" applyFill="1" applyBorder="1" applyAlignment="1">
      <alignment horizontal="right" vertical="center" wrapText="1"/>
    </xf>
    <xf numFmtId="0" fontId="24" fillId="5" borderId="88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166" fontId="36" fillId="5" borderId="83" xfId="0" applyNumberFormat="1" applyFont="1" applyFill="1" applyBorder="1" applyAlignment="1">
      <alignment horizontal="right" vertical="center" wrapText="1"/>
    </xf>
    <xf numFmtId="166" fontId="36" fillId="9" borderId="83" xfId="0" applyNumberFormat="1" applyFont="1" applyFill="1" applyBorder="1" applyAlignment="1">
      <alignment horizontal="right" vertical="center" wrapText="1"/>
    </xf>
    <xf numFmtId="0" fontId="36" fillId="5" borderId="73" xfId="0" applyFont="1" applyFill="1" applyBorder="1" applyAlignment="1">
      <alignment horizontal="right" vertical="center" wrapText="1"/>
    </xf>
    <xf numFmtId="41" fontId="36" fillId="5" borderId="70" xfId="0" applyNumberFormat="1" applyFont="1" applyFill="1" applyBorder="1" applyAlignment="1">
      <alignment horizontal="right" vertical="center" wrapText="1"/>
    </xf>
    <xf numFmtId="41" fontId="36" fillId="9" borderId="70" xfId="0" applyNumberFormat="1" applyFont="1" applyFill="1" applyBorder="1" applyAlignment="1">
      <alignment horizontal="right" vertical="center" wrapText="1"/>
    </xf>
    <xf numFmtId="41" fontId="36" fillId="5" borderId="71" xfId="0" applyNumberFormat="1" applyFont="1" applyFill="1" applyBorder="1" applyAlignment="1">
      <alignment horizontal="right" vertical="center" wrapText="1"/>
    </xf>
    <xf numFmtId="41" fontId="36" fillId="5" borderId="72" xfId="0" applyNumberFormat="1" applyFont="1" applyFill="1" applyBorder="1" applyAlignment="1">
      <alignment horizontal="right" vertical="center" wrapText="1"/>
    </xf>
    <xf numFmtId="41" fontId="36" fillId="5" borderId="75" xfId="0" applyNumberFormat="1" applyFont="1" applyFill="1" applyBorder="1" applyAlignment="1">
      <alignment horizontal="right" vertical="center" wrapText="1"/>
    </xf>
    <xf numFmtId="0" fontId="24" fillId="5" borderId="0" xfId="0" applyFont="1" applyFill="1"/>
    <xf numFmtId="0" fontId="24" fillId="5" borderId="39" xfId="0" applyFont="1" applyFill="1" applyBorder="1"/>
    <xf numFmtId="0" fontId="24" fillId="9" borderId="38" xfId="0" applyFont="1" applyFill="1" applyBorder="1"/>
    <xf numFmtId="0" fontId="24" fillId="5" borderId="38" xfId="0" applyFont="1" applyFill="1" applyBorder="1"/>
    <xf numFmtId="0" fontId="24" fillId="5" borderId="35" xfId="0" applyFont="1" applyFill="1" applyBorder="1"/>
    <xf numFmtId="0" fontId="24" fillId="5" borderId="52" xfId="0" applyFont="1" applyFill="1" applyBorder="1"/>
    <xf numFmtId="0" fontId="24" fillId="5" borderId="61" xfId="0" applyFont="1" applyFill="1" applyBorder="1"/>
    <xf numFmtId="0" fontId="24" fillId="5" borderId="0" xfId="0" applyFont="1" applyFill="1" applyBorder="1"/>
    <xf numFmtId="0" fontId="0" fillId="5" borderId="0" xfId="0" applyFill="1"/>
    <xf numFmtId="0" fontId="36" fillId="5" borderId="30" xfId="0" applyFont="1" applyFill="1" applyBorder="1" applyAlignment="1">
      <alignment vertical="center" wrapText="1"/>
    </xf>
    <xf numFmtId="0" fontId="37" fillId="5" borderId="34" xfId="0" applyFont="1" applyFill="1" applyBorder="1" applyAlignment="1">
      <alignment horizontal="center" vertical="center" wrapText="1"/>
    </xf>
    <xf numFmtId="41" fontId="36" fillId="5" borderId="92" xfId="0" applyNumberFormat="1" applyFont="1" applyFill="1" applyBorder="1" applyAlignment="1">
      <alignment horizontal="center" vertical="center" wrapText="1"/>
    </xf>
    <xf numFmtId="41" fontId="36" fillId="9" borderId="92" xfId="0" applyNumberFormat="1" applyFont="1" applyFill="1" applyBorder="1" applyAlignment="1">
      <alignment horizontal="center" vertical="center" wrapText="1"/>
    </xf>
    <xf numFmtId="41" fontId="36" fillId="5" borderId="32" xfId="0" applyNumberFormat="1" applyFont="1" applyFill="1" applyBorder="1" applyAlignment="1">
      <alignment horizontal="center" vertical="center" wrapText="1"/>
    </xf>
    <xf numFmtId="41" fontId="36" fillId="5" borderId="93" xfId="0" applyNumberFormat="1" applyFont="1" applyFill="1" applyBorder="1" applyAlignment="1">
      <alignment horizontal="center" vertical="center" wrapText="1"/>
    </xf>
    <xf numFmtId="41" fontId="36" fillId="5" borderId="94" xfId="0" applyNumberFormat="1" applyFont="1" applyFill="1" applyBorder="1" applyAlignment="1">
      <alignment horizontal="center" vertical="center" wrapText="1"/>
    </xf>
    <xf numFmtId="41" fontId="36" fillId="5" borderId="34" xfId="0" applyNumberFormat="1" applyFont="1" applyFill="1" applyBorder="1" applyAlignment="1">
      <alignment horizontal="center" vertical="center" wrapText="1"/>
    </xf>
    <xf numFmtId="0" fontId="36" fillId="5" borderId="27" xfId="0" applyFont="1" applyFill="1" applyBorder="1" applyAlignment="1">
      <alignment vertical="center" wrapText="1"/>
    </xf>
    <xf numFmtId="0" fontId="37" fillId="5" borderId="81" xfId="0" applyFont="1" applyFill="1" applyBorder="1" applyAlignment="1">
      <alignment horizontal="center" vertical="center" wrapText="1"/>
    </xf>
    <xf numFmtId="9" fontId="36" fillId="5" borderId="53" xfId="0" applyNumberFormat="1" applyFont="1" applyFill="1" applyBorder="1" applyAlignment="1">
      <alignment horizontal="center" vertical="center" wrapText="1"/>
    </xf>
    <xf numFmtId="9" fontId="36" fillId="9" borderId="53" xfId="0" applyNumberFormat="1" applyFont="1" applyFill="1" applyBorder="1" applyAlignment="1">
      <alignment horizontal="center" vertical="center" wrapText="1"/>
    </xf>
    <xf numFmtId="9" fontId="36" fillId="5" borderId="60" xfId="0" applyNumberFormat="1" applyFont="1" applyFill="1" applyBorder="1" applyAlignment="1">
      <alignment horizontal="center" vertical="center" wrapText="1"/>
    </xf>
    <xf numFmtId="9" fontId="36" fillId="5" borderId="80" xfId="0" applyNumberFormat="1" applyFont="1" applyFill="1" applyBorder="1" applyAlignment="1">
      <alignment horizontal="center" vertical="center" wrapText="1"/>
    </xf>
    <xf numFmtId="9" fontId="36" fillId="5" borderId="81" xfId="0" applyNumberFormat="1" applyFont="1" applyFill="1" applyBorder="1" applyAlignment="1">
      <alignment horizontal="center" vertical="center" wrapText="1"/>
    </xf>
    <xf numFmtId="0" fontId="35" fillId="10" borderId="38" xfId="0" applyFont="1" applyFill="1" applyBorder="1" applyAlignment="1">
      <alignment horizontal="center" vertical="center"/>
    </xf>
    <xf numFmtId="0" fontId="35" fillId="10" borderId="53" xfId="0" applyFont="1" applyFill="1" applyBorder="1" applyAlignment="1">
      <alignment horizontal="center" vertical="center"/>
    </xf>
    <xf numFmtId="0" fontId="36" fillId="5" borderId="82" xfId="0" applyFont="1" applyFill="1" applyBorder="1" applyAlignment="1">
      <alignment horizontal="left" vertical="center" wrapText="1"/>
    </xf>
    <xf numFmtId="0" fontId="35" fillId="5" borderId="66" xfId="0" applyFont="1" applyFill="1" applyBorder="1" applyAlignment="1">
      <alignment horizontal="left" vertical="center" wrapText="1"/>
    </xf>
    <xf numFmtId="0" fontId="15" fillId="5" borderId="66" xfId="0" applyFont="1" applyFill="1" applyBorder="1" applyAlignment="1">
      <alignment vertical="center" wrapText="1"/>
    </xf>
    <xf numFmtId="0" fontId="36" fillId="5" borderId="73" xfId="0" applyFont="1" applyFill="1" applyBorder="1" applyAlignment="1">
      <alignment horizontal="right" vertical="center" wrapText="1"/>
    </xf>
    <xf numFmtId="41" fontId="0" fillId="0" borderId="0" xfId="0" applyNumberFormat="1" applyAlignment="1">
      <alignment vertical="center"/>
    </xf>
    <xf numFmtId="0" fontId="28" fillId="0" borderId="0" xfId="0" applyFont="1" applyAlignment="1">
      <alignment horizontal="right"/>
    </xf>
    <xf numFmtId="165" fontId="0" fillId="0" borderId="0" xfId="0" applyNumberFormat="1" applyAlignment="1"/>
    <xf numFmtId="166" fontId="0" fillId="0" borderId="0" xfId="0" applyNumberFormat="1"/>
    <xf numFmtId="0" fontId="0" fillId="0" borderId="0" xfId="0" applyAlignment="1">
      <alignment horizontal="right"/>
    </xf>
    <xf numFmtId="0" fontId="17" fillId="5" borderId="9" xfId="2" applyFont="1" applyFill="1" applyBorder="1" applyAlignment="1">
      <alignment horizontal="left" vertical="center"/>
    </xf>
    <xf numFmtId="0" fontId="17" fillId="5" borderId="10" xfId="2" applyFont="1" applyFill="1" applyBorder="1" applyAlignment="1">
      <alignment vertical="center" wrapText="1"/>
    </xf>
    <xf numFmtId="0" fontId="17" fillId="5" borderId="102" xfId="2" applyFont="1" applyFill="1" applyBorder="1" applyAlignment="1">
      <alignment horizontal="center" vertical="center" wrapText="1"/>
    </xf>
    <xf numFmtId="0" fontId="20" fillId="5" borderId="9" xfId="2" applyFont="1" applyFill="1" applyBorder="1" applyAlignment="1">
      <alignment horizontal="left" vertical="center" wrapText="1"/>
    </xf>
    <xf numFmtId="0" fontId="20" fillId="5" borderId="10" xfId="2" applyFont="1" applyFill="1" applyBorder="1" applyAlignment="1">
      <alignment vertical="center" wrapText="1"/>
    </xf>
    <xf numFmtId="0" fontId="20" fillId="5" borderId="102" xfId="2" applyFont="1" applyFill="1" applyBorder="1" applyAlignment="1">
      <alignment horizontal="center" vertical="center" wrapText="1"/>
    </xf>
    <xf numFmtId="0" fontId="21" fillId="5" borderId="13" xfId="2" applyFont="1" applyFill="1" applyBorder="1" applyAlignment="1">
      <alignment horizontal="left" vertical="center" wrapText="1"/>
    </xf>
    <xf numFmtId="0" fontId="21" fillId="5" borderId="14" xfId="2" applyFont="1" applyFill="1" applyBorder="1" applyAlignment="1">
      <alignment vertical="center" wrapText="1"/>
    </xf>
    <xf numFmtId="0" fontId="21" fillId="5" borderId="98" xfId="2" applyFont="1" applyFill="1" applyBorder="1" applyAlignment="1">
      <alignment vertical="center"/>
    </xf>
    <xf numFmtId="0" fontId="21" fillId="5" borderId="103" xfId="2" applyFont="1" applyFill="1" applyBorder="1" applyAlignment="1">
      <alignment horizontal="center" vertical="center" wrapText="1"/>
    </xf>
    <xf numFmtId="0" fontId="21" fillId="5" borderId="98" xfId="2" applyFont="1" applyFill="1" applyBorder="1" applyAlignment="1">
      <alignment vertical="justify"/>
    </xf>
    <xf numFmtId="0" fontId="21" fillId="5" borderId="15" xfId="2" applyFont="1" applyFill="1" applyBorder="1" applyAlignment="1">
      <alignment horizontal="left" vertical="center" wrapText="1"/>
    </xf>
    <xf numFmtId="0" fontId="21" fillId="5" borderId="102" xfId="2" applyFont="1" applyFill="1" applyBorder="1" applyAlignment="1">
      <alignment horizontal="center" vertical="center" wrapText="1"/>
    </xf>
    <xf numFmtId="0" fontId="21" fillId="5" borderId="6" xfId="2" applyFont="1" applyFill="1" applyBorder="1" applyAlignment="1">
      <alignment horizontal="left" vertical="center" wrapText="1"/>
    </xf>
    <xf numFmtId="0" fontId="21" fillId="5" borderId="101" xfId="2" applyFont="1" applyFill="1" applyBorder="1" applyAlignment="1">
      <alignment horizontal="center" vertical="center" wrapText="1"/>
    </xf>
    <xf numFmtId="0" fontId="17" fillId="5" borderId="9" xfId="2" applyFont="1" applyFill="1" applyBorder="1" applyAlignment="1">
      <alignment horizontal="left" vertical="center" wrapText="1"/>
    </xf>
    <xf numFmtId="0" fontId="19" fillId="5" borderId="9" xfId="2" applyFont="1" applyFill="1" applyBorder="1" applyAlignment="1">
      <alignment horizontal="left" vertical="center" wrapText="1"/>
    </xf>
    <xf numFmtId="0" fontId="19" fillId="5" borderId="10" xfId="2" applyFont="1" applyFill="1" applyBorder="1" applyAlignment="1">
      <alignment vertical="center" wrapText="1"/>
    </xf>
    <xf numFmtId="0" fontId="19" fillId="5" borderId="102" xfId="2" applyFont="1" applyFill="1" applyBorder="1" applyAlignment="1">
      <alignment horizontal="center" vertical="center" wrapText="1"/>
    </xf>
    <xf numFmtId="0" fontId="21" fillId="5" borderId="98" xfId="2" applyFont="1" applyFill="1" applyBorder="1" applyAlignment="1"/>
    <xf numFmtId="0" fontId="21" fillId="5" borderId="98" xfId="2" applyFont="1" applyFill="1" applyBorder="1" applyAlignment="1">
      <alignment wrapText="1"/>
    </xf>
    <xf numFmtId="0" fontId="20" fillId="5" borderId="9" xfId="2" applyFont="1" applyFill="1" applyBorder="1" applyAlignment="1">
      <alignment horizontal="left" vertical="center"/>
    </xf>
    <xf numFmtId="0" fontId="21" fillId="5" borderId="12" xfId="2" applyFont="1" applyFill="1" applyBorder="1" applyAlignment="1">
      <alignment horizontal="left" vertical="center" wrapText="1"/>
    </xf>
    <xf numFmtId="0" fontId="21" fillId="5" borderId="99" xfId="2" applyFont="1" applyFill="1" applyBorder="1" applyAlignment="1"/>
    <xf numFmtId="0" fontId="21" fillId="5" borderId="99" xfId="2" applyFont="1" applyFill="1" applyBorder="1" applyAlignment="1">
      <alignment vertical="center"/>
    </xf>
    <xf numFmtId="0" fontId="21" fillId="5" borderId="99" xfId="2" applyFont="1" applyFill="1" applyBorder="1" applyAlignment="1">
      <alignment vertical="center" wrapText="1"/>
    </xf>
    <xf numFmtId="0" fontId="17" fillId="5" borderId="104" xfId="2" applyFont="1" applyFill="1" applyBorder="1" applyAlignment="1">
      <alignment horizontal="center" vertical="center" wrapText="1"/>
    </xf>
    <xf numFmtId="0" fontId="18" fillId="5" borderId="18" xfId="2" applyFont="1" applyFill="1" applyBorder="1" applyAlignment="1">
      <alignment horizontal="center" vertical="center" wrapText="1"/>
    </xf>
    <xf numFmtId="0" fontId="17" fillId="5" borderId="11" xfId="2" applyFont="1" applyFill="1" applyBorder="1" applyAlignment="1">
      <alignment horizontal="center" vertical="center" wrapText="1"/>
    </xf>
    <xf numFmtId="0" fontId="19" fillId="5" borderId="11" xfId="2" applyFont="1" applyFill="1" applyBorder="1" applyAlignment="1">
      <alignment horizontal="center" vertical="center" wrapText="1"/>
    </xf>
    <xf numFmtId="43" fontId="21" fillId="5" borderId="12" xfId="2" applyNumberFormat="1" applyFont="1" applyFill="1" applyBorder="1" applyAlignment="1">
      <alignment horizontal="center" vertical="center"/>
    </xf>
    <xf numFmtId="0" fontId="21" fillId="5" borderId="12" xfId="2" applyFont="1" applyFill="1" applyBorder="1" applyAlignment="1">
      <alignment horizontal="center" vertical="center"/>
    </xf>
    <xf numFmtId="2" fontId="21" fillId="5" borderId="8" xfId="2" applyNumberFormat="1" applyFont="1" applyFill="1" applyBorder="1" applyAlignment="1">
      <alignment horizontal="center" vertical="justify"/>
    </xf>
    <xf numFmtId="0" fontId="21" fillId="5" borderId="8" xfId="2" applyFont="1" applyFill="1" applyBorder="1" applyAlignment="1">
      <alignment horizontal="center" vertical="justify"/>
    </xf>
    <xf numFmtId="0" fontId="21" fillId="5" borderId="14" xfId="2" applyFont="1" applyFill="1" applyBorder="1" applyAlignment="1">
      <alignment horizontal="center" vertical="justify"/>
    </xf>
    <xf numFmtId="0" fontId="21" fillId="5" borderId="12" xfId="2" applyFont="1" applyFill="1" applyBorder="1" applyAlignment="1">
      <alignment horizontal="center" vertical="justify"/>
    </xf>
    <xf numFmtId="0" fontId="21" fillId="5" borderId="12" xfId="2" applyFont="1" applyFill="1" applyBorder="1" applyAlignment="1">
      <alignment horizontal="center" vertical="center" wrapText="1"/>
    </xf>
    <xf numFmtId="0" fontId="3" fillId="6" borderId="8" xfId="2" applyFont="1" applyFill="1" applyBorder="1" applyAlignment="1">
      <alignment horizontal="center" vertical="center" wrapText="1"/>
    </xf>
    <xf numFmtId="165" fontId="21" fillId="5" borderId="12" xfId="2" applyNumberFormat="1" applyFont="1" applyFill="1" applyBorder="1" applyAlignment="1">
      <alignment vertical="justify"/>
    </xf>
    <xf numFmtId="165" fontId="18" fillId="5" borderId="18" xfId="2" applyNumberFormat="1" applyFont="1" applyFill="1" applyBorder="1" applyAlignment="1">
      <alignment horizontal="center" vertical="center"/>
    </xf>
    <xf numFmtId="0" fontId="3" fillId="7" borderId="8" xfId="2" applyFont="1" applyFill="1" applyBorder="1" applyAlignment="1">
      <alignment horizontal="center" vertical="center"/>
    </xf>
    <xf numFmtId="0" fontId="3" fillId="7" borderId="7" xfId="2" applyFont="1" applyFill="1" applyBorder="1" applyAlignment="1">
      <alignment horizontal="center" vertical="center"/>
    </xf>
    <xf numFmtId="165" fontId="21" fillId="5" borderId="12" xfId="1" applyNumberFormat="1" applyFont="1" applyFill="1" applyBorder="1" applyAlignment="1">
      <alignment horizontal="center" vertical="center" wrapText="1"/>
    </xf>
    <xf numFmtId="167" fontId="21" fillId="5" borderId="12" xfId="2" applyNumberFormat="1" applyFont="1" applyFill="1" applyBorder="1" applyAlignment="1">
      <alignment horizontal="right" vertical="justify"/>
    </xf>
    <xf numFmtId="165" fontId="21" fillId="5" borderId="105" xfId="2" applyNumberFormat="1" applyFont="1" applyFill="1" applyBorder="1" applyAlignment="1">
      <alignment horizontal="left" vertical="justify"/>
    </xf>
    <xf numFmtId="165" fontId="0" fillId="0" borderId="0" xfId="0" applyNumberFormat="1"/>
    <xf numFmtId="0" fontId="19" fillId="5" borderId="9" xfId="2" applyFont="1" applyFill="1" applyBorder="1" applyAlignment="1">
      <alignment horizontal="left" vertical="center"/>
    </xf>
    <xf numFmtId="0" fontId="39" fillId="0" borderId="0" xfId="0" applyFont="1" applyAlignment="1">
      <alignment horizontal="right"/>
    </xf>
    <xf numFmtId="14" fontId="39" fillId="0" borderId="0" xfId="0" applyNumberFormat="1" applyFont="1" applyAlignment="1">
      <alignment horizontal="left"/>
    </xf>
    <xf numFmtId="0" fontId="38" fillId="0" borderId="0" xfId="0" applyFont="1" applyAlignment="1"/>
    <xf numFmtId="0" fontId="21" fillId="11" borderId="15" xfId="2" applyFont="1" applyFill="1" applyBorder="1" applyAlignment="1">
      <alignment horizontal="left" vertical="center" wrapText="1"/>
    </xf>
    <xf numFmtId="9" fontId="23" fillId="0" borderId="108" xfId="3" applyNumberFormat="1" applyFont="1" applyBorder="1" applyAlignment="1">
      <alignment horizontal="center" vertical="center"/>
    </xf>
    <xf numFmtId="9" fontId="23" fillId="0" borderId="109" xfId="3" applyNumberFormat="1" applyFont="1" applyBorder="1" applyAlignment="1">
      <alignment horizontal="center" vertical="center"/>
    </xf>
    <xf numFmtId="167" fontId="0" fillId="0" borderId="0" xfId="0" applyNumberFormat="1" applyAlignment="1"/>
    <xf numFmtId="41" fontId="36" fillId="5" borderId="114" xfId="0" applyNumberFormat="1" applyFont="1" applyFill="1" applyBorder="1" applyAlignment="1">
      <alignment horizontal="right" vertical="center" wrapText="1"/>
    </xf>
    <xf numFmtId="41" fontId="36" fillId="5" borderId="117" xfId="0" applyNumberFormat="1" applyFont="1" applyFill="1" applyBorder="1" applyAlignment="1">
      <alignment horizontal="center" vertical="center" wrapText="1"/>
    </xf>
    <xf numFmtId="41" fontId="36" fillId="5" borderId="118" xfId="0" applyNumberFormat="1" applyFont="1" applyFill="1" applyBorder="1" applyAlignment="1">
      <alignment horizontal="right" vertical="center" wrapText="1"/>
    </xf>
    <xf numFmtId="41" fontId="36" fillId="5" borderId="119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/>
    <xf numFmtId="168" fontId="0" fillId="0" borderId="0" xfId="0" applyNumberFormat="1"/>
    <xf numFmtId="168" fontId="23" fillId="0" borderId="0" xfId="0" applyNumberFormat="1" applyFont="1"/>
    <xf numFmtId="168" fontId="0" fillId="0" borderId="0" xfId="0" applyNumberFormat="1" applyFill="1"/>
    <xf numFmtId="168" fontId="23" fillId="0" borderId="0" xfId="0" applyNumberFormat="1" applyFont="1" applyFill="1"/>
    <xf numFmtId="17" fontId="3" fillId="6" borderId="7" xfId="2" applyNumberFormat="1" applyFont="1" applyFill="1" applyBorder="1" applyAlignment="1">
      <alignment horizontal="center" vertical="center" wrapText="1"/>
    </xf>
    <xf numFmtId="0" fontId="20" fillId="5" borderId="11" xfId="2" applyFont="1" applyFill="1" applyBorder="1" applyAlignment="1">
      <alignment horizontal="center" vertical="center" wrapText="1"/>
    </xf>
    <xf numFmtId="0" fontId="21" fillId="5" borderId="123" xfId="2" applyFont="1" applyFill="1" applyBorder="1" applyAlignment="1">
      <alignment horizontal="center" vertical="center" wrapText="1"/>
    </xf>
    <xf numFmtId="0" fontId="21" fillId="5" borderId="11" xfId="2" applyFont="1" applyFill="1" applyBorder="1" applyAlignment="1">
      <alignment horizontal="center" vertical="center" wrapText="1"/>
    </xf>
    <xf numFmtId="14" fontId="21" fillId="5" borderId="123" xfId="2" applyNumberFormat="1" applyFont="1" applyFill="1" applyBorder="1" applyAlignment="1">
      <alignment horizontal="center" vertical="center" wrapText="1"/>
    </xf>
    <xf numFmtId="0" fontId="21" fillId="5" borderId="127" xfId="2" applyFont="1" applyFill="1" applyBorder="1" applyAlignment="1">
      <alignment horizontal="center" vertical="center" wrapText="1"/>
    </xf>
    <xf numFmtId="0" fontId="21" fillId="5" borderId="128" xfId="2" applyFont="1" applyFill="1" applyBorder="1" applyAlignment="1">
      <alignment horizontal="center" vertical="center" wrapText="1"/>
    </xf>
    <xf numFmtId="165" fontId="21" fillId="5" borderId="11" xfId="2" applyNumberFormat="1" applyFont="1" applyFill="1" applyBorder="1" applyAlignment="1">
      <alignment horizontal="left" vertical="justify"/>
    </xf>
    <xf numFmtId="14" fontId="21" fillId="5" borderId="126" xfId="2" applyNumberFormat="1" applyFont="1" applyFill="1" applyBorder="1" applyAlignment="1">
      <alignment horizontal="center" vertical="center" wrapText="1"/>
    </xf>
    <xf numFmtId="0" fontId="21" fillId="5" borderId="126" xfId="2" applyFont="1" applyFill="1" applyBorder="1" applyAlignment="1">
      <alignment horizontal="center" vertical="center" wrapText="1"/>
    </xf>
    <xf numFmtId="14" fontId="21" fillId="5" borderId="8" xfId="2" applyNumberFormat="1" applyFont="1" applyFill="1" applyBorder="1" applyAlignment="1">
      <alignment horizontal="center" vertical="center" wrapText="1"/>
    </xf>
    <xf numFmtId="165" fontId="21" fillId="5" borderId="129" xfId="2" applyNumberFormat="1" applyFont="1" applyFill="1" applyBorder="1" applyAlignment="1">
      <alignment horizontal="left" vertical="justify"/>
    </xf>
    <xf numFmtId="0" fontId="19" fillId="5" borderId="8" xfId="2" applyFont="1" applyFill="1" applyBorder="1" applyAlignment="1">
      <alignment horizontal="center" vertical="center" wrapText="1"/>
    </xf>
    <xf numFmtId="0" fontId="19" fillId="5" borderId="124" xfId="2" applyFont="1" applyFill="1" applyBorder="1" applyAlignment="1">
      <alignment horizontal="center" vertical="center" wrapText="1"/>
    </xf>
    <xf numFmtId="0" fontId="19" fillId="5" borderId="123" xfId="2" applyFont="1" applyFill="1" applyBorder="1" applyAlignment="1">
      <alignment horizontal="center" vertical="center" wrapText="1"/>
    </xf>
    <xf numFmtId="2" fontId="21" fillId="5" borderId="123" xfId="2" applyNumberFormat="1" applyFont="1" applyFill="1" applyBorder="1" applyAlignment="1">
      <alignment horizontal="center" vertical="center" wrapText="1"/>
    </xf>
    <xf numFmtId="2" fontId="20" fillId="5" borderId="11" xfId="2" applyNumberFormat="1" applyFont="1" applyFill="1" applyBorder="1" applyAlignment="1">
      <alignment horizontal="center" vertical="center" wrapText="1"/>
    </xf>
    <xf numFmtId="2" fontId="17" fillId="5" borderId="11" xfId="2" applyNumberFormat="1" applyFont="1" applyFill="1" applyBorder="1" applyAlignment="1">
      <alignment horizontal="center" vertical="center" wrapText="1"/>
    </xf>
    <xf numFmtId="2" fontId="19" fillId="5" borderId="8" xfId="2" applyNumberFormat="1" applyFont="1" applyFill="1" applyBorder="1" applyAlignment="1">
      <alignment horizontal="center" vertical="center" wrapText="1"/>
    </xf>
    <xf numFmtId="2" fontId="19" fillId="5" borderId="123" xfId="2" applyNumberFormat="1" applyFont="1" applyFill="1" applyBorder="1" applyAlignment="1">
      <alignment horizontal="center" vertical="center" wrapText="1"/>
    </xf>
    <xf numFmtId="0" fontId="21" fillId="5" borderId="130" xfId="2" applyFont="1" applyFill="1" applyBorder="1" applyAlignment="1">
      <alignment horizontal="center" vertical="center" wrapText="1"/>
    </xf>
    <xf numFmtId="0" fontId="21" fillId="5" borderId="131" xfId="2" applyFont="1" applyFill="1" applyBorder="1" applyAlignment="1">
      <alignment horizontal="center" vertical="center" wrapText="1"/>
    </xf>
    <xf numFmtId="14" fontId="21" fillId="5" borderId="131" xfId="2" applyNumberFormat="1" applyFont="1" applyFill="1" applyBorder="1" applyAlignment="1">
      <alignment horizontal="center" vertical="center" wrapText="1"/>
    </xf>
    <xf numFmtId="165" fontId="21" fillId="5" borderId="123" xfId="2" applyNumberFormat="1" applyFont="1" applyFill="1" applyBorder="1" applyAlignment="1">
      <alignment horizontal="left" vertical="justify"/>
    </xf>
    <xf numFmtId="2" fontId="21" fillId="5" borderId="126" xfId="2" applyNumberFormat="1" applyFont="1" applyFill="1" applyBorder="1" applyAlignment="1">
      <alignment horizontal="center" vertical="center" wrapText="1"/>
    </xf>
    <xf numFmtId="41" fontId="24" fillId="5" borderId="132" xfId="0" applyNumberFormat="1" applyFont="1" applyFill="1" applyBorder="1" applyAlignment="1">
      <alignment horizontal="center" vertical="center"/>
    </xf>
    <xf numFmtId="41" fontId="24" fillId="5" borderId="135" xfId="0" applyNumberFormat="1" applyFont="1" applyFill="1" applyBorder="1" applyAlignment="1">
      <alignment horizontal="center" vertical="center"/>
    </xf>
    <xf numFmtId="41" fontId="24" fillId="5" borderId="140" xfId="0" applyNumberFormat="1" applyFont="1" applyFill="1" applyBorder="1" applyAlignment="1">
      <alignment horizontal="center" vertical="center"/>
    </xf>
    <xf numFmtId="41" fontId="24" fillId="5" borderId="144" xfId="0" applyNumberFormat="1" applyFont="1" applyFill="1" applyBorder="1" applyAlignment="1">
      <alignment horizontal="center" vertical="center"/>
    </xf>
    <xf numFmtId="41" fontId="24" fillId="5" borderId="147" xfId="0" applyNumberFormat="1" applyFont="1" applyFill="1" applyBorder="1" applyAlignment="1">
      <alignment horizontal="center" vertical="center"/>
    </xf>
    <xf numFmtId="41" fontId="24" fillId="5" borderId="148" xfId="0" applyNumberFormat="1" applyFont="1" applyFill="1" applyBorder="1" applyAlignment="1">
      <alignment horizontal="center" vertical="center"/>
    </xf>
    <xf numFmtId="41" fontId="24" fillId="5" borderId="143" xfId="0" applyNumberFormat="1" applyFont="1" applyFill="1" applyBorder="1" applyAlignment="1">
      <alignment horizontal="center" vertical="center"/>
    </xf>
    <xf numFmtId="41" fontId="23" fillId="0" borderId="0" xfId="0" applyNumberFormat="1" applyFont="1" applyAlignment="1">
      <alignment horizontal="right"/>
    </xf>
    <xf numFmtId="0" fontId="0" fillId="0" borderId="149" xfId="0" applyBorder="1"/>
    <xf numFmtId="14" fontId="21" fillId="5" borderId="11" xfId="2" applyNumberFormat="1" applyFont="1" applyFill="1" applyBorder="1" applyAlignment="1">
      <alignment horizontal="center" vertical="center" wrapText="1"/>
    </xf>
    <xf numFmtId="165" fontId="19" fillId="5" borderId="12" xfId="2" applyNumberFormat="1" applyFont="1" applyFill="1" applyBorder="1" applyAlignment="1">
      <alignment horizontal="left" vertical="center"/>
    </xf>
    <xf numFmtId="165" fontId="19" fillId="5" borderId="123" xfId="2" applyNumberFormat="1" applyFont="1" applyFill="1" applyBorder="1" applyAlignment="1">
      <alignment horizontal="left" vertical="justify"/>
    </xf>
    <xf numFmtId="0" fontId="40" fillId="0" borderId="0" xfId="0" applyFont="1"/>
    <xf numFmtId="0" fontId="42" fillId="0" borderId="0" xfId="0" applyFont="1"/>
    <xf numFmtId="9" fontId="0" fillId="0" borderId="0" xfId="0" applyNumberFormat="1" applyAlignment="1"/>
    <xf numFmtId="0" fontId="21" fillId="5" borderId="155" xfId="2" applyFont="1" applyFill="1" applyBorder="1" applyAlignment="1"/>
    <xf numFmtId="0" fontId="21" fillId="5" borderId="158" xfId="2" applyFont="1" applyFill="1" applyBorder="1" applyAlignment="1"/>
    <xf numFmtId="0" fontId="21" fillId="5" borderId="158" xfId="2" applyFont="1" applyFill="1" applyBorder="1" applyAlignment="1">
      <alignment vertical="center"/>
    </xf>
    <xf numFmtId="0" fontId="21" fillId="5" borderId="158" xfId="2" applyFont="1" applyFill="1" applyBorder="1" applyAlignment="1">
      <alignment vertical="center" wrapText="1"/>
    </xf>
    <xf numFmtId="0" fontId="0" fillId="0" borderId="159" xfId="0" applyBorder="1"/>
    <xf numFmtId="41" fontId="24" fillId="5" borderId="167" xfId="0" applyNumberFormat="1" applyFont="1" applyFill="1" applyBorder="1" applyAlignment="1">
      <alignment horizontal="center" vertical="center"/>
    </xf>
    <xf numFmtId="41" fontId="24" fillId="5" borderId="168" xfId="0" applyNumberFormat="1" applyFont="1" applyFill="1" applyBorder="1" applyAlignment="1">
      <alignment horizontal="center" vertical="center"/>
    </xf>
    <xf numFmtId="41" fontId="24" fillId="5" borderId="174" xfId="0" applyNumberFormat="1" applyFont="1" applyFill="1" applyBorder="1" applyAlignment="1">
      <alignment horizontal="center" vertical="center"/>
    </xf>
    <xf numFmtId="41" fontId="24" fillId="5" borderId="175" xfId="0" applyNumberFormat="1" applyFont="1" applyFill="1" applyBorder="1" applyAlignment="1">
      <alignment horizontal="center" vertical="center"/>
    </xf>
    <xf numFmtId="41" fontId="35" fillId="5" borderId="176" xfId="0" applyNumberFormat="1" applyFont="1" applyFill="1" applyBorder="1" applyAlignment="1">
      <alignment horizontal="center" vertical="center"/>
    </xf>
    <xf numFmtId="41" fontId="24" fillId="5" borderId="177" xfId="0" applyNumberFormat="1" applyFont="1" applyFill="1" applyBorder="1" applyAlignment="1">
      <alignment horizontal="center" vertical="center"/>
    </xf>
    <xf numFmtId="41" fontId="35" fillId="5" borderId="176" xfId="0" applyNumberFormat="1" applyFont="1" applyFill="1" applyBorder="1" applyAlignment="1">
      <alignment horizontal="center" vertical="center" wrapText="1"/>
    </xf>
    <xf numFmtId="0" fontId="21" fillId="0" borderId="15" xfId="2" applyFont="1" applyFill="1" applyBorder="1" applyAlignment="1">
      <alignment horizontal="left" vertical="center" wrapText="1"/>
    </xf>
    <xf numFmtId="169" fontId="0" fillId="0" borderId="0" xfId="0" applyNumberFormat="1"/>
    <xf numFmtId="0" fontId="31" fillId="0" borderId="38" xfId="0" applyFont="1" applyFill="1" applyBorder="1"/>
    <xf numFmtId="0" fontId="41" fillId="0" borderId="0" xfId="0" applyFont="1"/>
    <xf numFmtId="0" fontId="35" fillId="5" borderId="153" xfId="0" applyFont="1" applyFill="1" applyBorder="1" applyAlignment="1">
      <alignment horizontal="left" vertical="center" wrapText="1"/>
    </xf>
    <xf numFmtId="0" fontId="16" fillId="5" borderId="153" xfId="0" applyFont="1" applyFill="1" applyBorder="1" applyAlignment="1">
      <alignment vertical="center" wrapText="1"/>
    </xf>
    <xf numFmtId="0" fontId="36" fillId="5" borderId="111" xfId="0" applyFont="1" applyFill="1" applyBorder="1" applyAlignment="1">
      <alignment horizontal="left" vertical="center" wrapText="1"/>
    </xf>
    <xf numFmtId="41" fontId="36" fillId="5" borderId="186" xfId="0" applyNumberFormat="1" applyFont="1" applyFill="1" applyBorder="1" applyAlignment="1">
      <alignment horizontal="center" vertical="center" wrapText="1"/>
    </xf>
    <xf numFmtId="41" fontId="24" fillId="5" borderId="187" xfId="0" applyNumberFormat="1" applyFont="1" applyFill="1" applyBorder="1" applyAlignment="1">
      <alignment horizontal="center" vertical="center"/>
    </xf>
    <xf numFmtId="41" fontId="24" fillId="5" borderId="188" xfId="0" applyNumberFormat="1" applyFont="1" applyFill="1" applyBorder="1" applyAlignment="1">
      <alignment horizontal="center" vertical="center"/>
    </xf>
    <xf numFmtId="41" fontId="35" fillId="5" borderId="157" xfId="0" applyNumberFormat="1" applyFont="1" applyFill="1" applyBorder="1" applyAlignment="1">
      <alignment horizontal="center" vertical="center" wrapText="1"/>
    </xf>
    <xf numFmtId="41" fontId="35" fillId="5" borderId="151" xfId="0" applyNumberFormat="1" applyFont="1" applyFill="1" applyBorder="1" applyAlignment="1">
      <alignment horizontal="center" vertical="center" wrapText="1"/>
    </xf>
    <xf numFmtId="166" fontId="36" fillId="5" borderId="118" xfId="0" applyNumberFormat="1" applyFont="1" applyFill="1" applyBorder="1" applyAlignment="1">
      <alignment horizontal="right" vertical="center" wrapText="1"/>
    </xf>
    <xf numFmtId="166" fontId="36" fillId="5" borderId="114" xfId="0" applyNumberFormat="1" applyFont="1" applyFill="1" applyBorder="1" applyAlignment="1">
      <alignment horizontal="right" vertical="center" wrapText="1"/>
    </xf>
    <xf numFmtId="166" fontId="36" fillId="5" borderId="74" xfId="0" applyNumberFormat="1" applyFont="1" applyFill="1" applyBorder="1" applyAlignment="1">
      <alignment horizontal="right" vertical="center" wrapText="1"/>
    </xf>
    <xf numFmtId="41" fontId="24" fillId="5" borderId="189" xfId="0" applyNumberFormat="1" applyFont="1" applyFill="1" applyBorder="1" applyAlignment="1">
      <alignment horizontal="center" vertical="center"/>
    </xf>
    <xf numFmtId="41" fontId="36" fillId="5" borderId="74" xfId="0" applyNumberFormat="1" applyFont="1" applyFill="1" applyBorder="1" applyAlignment="1">
      <alignment horizontal="right" vertical="center" wrapText="1"/>
    </xf>
    <xf numFmtId="41" fontId="24" fillId="5" borderId="190" xfId="0" applyNumberFormat="1" applyFont="1" applyFill="1" applyBorder="1" applyAlignment="1">
      <alignment horizontal="center" vertical="center"/>
    </xf>
    <xf numFmtId="41" fontId="24" fillId="5" borderId="191" xfId="0" applyNumberFormat="1" applyFont="1" applyFill="1" applyBorder="1" applyAlignment="1">
      <alignment horizontal="center" vertical="center"/>
    </xf>
    <xf numFmtId="41" fontId="24" fillId="5" borderId="193" xfId="0" applyNumberFormat="1" applyFont="1" applyFill="1" applyBorder="1" applyAlignment="1">
      <alignment horizontal="center" vertical="center"/>
    </xf>
    <xf numFmtId="41" fontId="24" fillId="5" borderId="192" xfId="0" applyNumberFormat="1" applyFont="1" applyFill="1" applyBorder="1" applyAlignment="1">
      <alignment horizontal="center" vertical="center"/>
    </xf>
    <xf numFmtId="41" fontId="35" fillId="5" borderId="185" xfId="0" applyNumberFormat="1" applyFont="1" applyFill="1" applyBorder="1" applyAlignment="1">
      <alignment horizontal="center" vertical="center"/>
    </xf>
    <xf numFmtId="41" fontId="35" fillId="5" borderId="185" xfId="0" applyNumberFormat="1" applyFont="1" applyFill="1" applyBorder="1" applyAlignment="1">
      <alignment horizontal="center" vertical="center" wrapText="1"/>
    </xf>
    <xf numFmtId="166" fontId="36" fillId="5" borderId="113" xfId="0" applyNumberFormat="1" applyFont="1" applyFill="1" applyBorder="1" applyAlignment="1">
      <alignment horizontal="right" vertical="center" wrapText="1"/>
    </xf>
    <xf numFmtId="41" fontId="24" fillId="5" borderId="194" xfId="0" applyNumberFormat="1" applyFont="1" applyFill="1" applyBorder="1" applyAlignment="1">
      <alignment horizontal="center" vertical="center"/>
    </xf>
    <xf numFmtId="41" fontId="36" fillId="5" borderId="113" xfId="0" applyNumberFormat="1" applyFont="1" applyFill="1" applyBorder="1" applyAlignment="1">
      <alignment horizontal="right" vertical="center" wrapText="1"/>
    </xf>
    <xf numFmtId="41" fontId="24" fillId="5" borderId="195" xfId="0" applyNumberFormat="1" applyFont="1" applyFill="1" applyBorder="1" applyAlignment="1">
      <alignment horizontal="center" vertical="center"/>
    </xf>
    <xf numFmtId="41" fontId="24" fillId="5" borderId="196" xfId="0" applyNumberFormat="1" applyFont="1" applyFill="1" applyBorder="1" applyAlignment="1">
      <alignment horizontal="center" vertical="center"/>
    </xf>
    <xf numFmtId="0" fontId="36" fillId="5" borderId="82" xfId="0" applyFont="1" applyFill="1" applyBorder="1" applyAlignment="1">
      <alignment horizontal="left" vertical="center" wrapText="1"/>
    </xf>
    <xf numFmtId="0" fontId="36" fillId="5" borderId="111" xfId="0" applyFont="1" applyFill="1" applyBorder="1" applyAlignment="1">
      <alignment horizontal="right" vertical="center" wrapText="1"/>
    </xf>
    <xf numFmtId="0" fontId="0" fillId="0" borderId="184" xfId="0" applyBorder="1"/>
    <xf numFmtId="0" fontId="0" fillId="0" borderId="184" xfId="0" applyBorder="1" applyAlignment="1">
      <alignment horizontal="center" vertical="center"/>
    </xf>
    <xf numFmtId="3" fontId="28" fillId="9" borderId="170" xfId="0" applyNumberFormat="1" applyFont="1" applyFill="1" applyBorder="1"/>
    <xf numFmtId="9" fontId="28" fillId="9" borderId="170" xfId="3" applyFont="1" applyFill="1" applyBorder="1"/>
    <xf numFmtId="41" fontId="31" fillId="0" borderId="0" xfId="0" applyNumberFormat="1" applyFont="1" applyBorder="1"/>
    <xf numFmtId="41" fontId="31" fillId="0" borderId="160" xfId="0" applyNumberFormat="1" applyFont="1" applyBorder="1"/>
    <xf numFmtId="41" fontId="31" fillId="0" borderId="200" xfId="0" applyNumberFormat="1" applyFont="1" applyBorder="1"/>
    <xf numFmtId="41" fontId="31" fillId="0" borderId="121" xfId="0" applyNumberFormat="1" applyFont="1" applyBorder="1"/>
    <xf numFmtId="41" fontId="0" fillId="0" borderId="160" xfId="0" applyNumberFormat="1" applyBorder="1"/>
    <xf numFmtId="41" fontId="0" fillId="0" borderId="200" xfId="0" applyNumberFormat="1" applyBorder="1"/>
    <xf numFmtId="41" fontId="0" fillId="0" borderId="121" xfId="0" applyNumberFormat="1" applyBorder="1"/>
    <xf numFmtId="41" fontId="32" fillId="0" borderId="159" xfId="0" applyNumberFormat="1" applyFont="1" applyBorder="1"/>
    <xf numFmtId="41" fontId="32" fillId="0" borderId="200" xfId="0" applyNumberFormat="1" applyFont="1" applyBorder="1"/>
    <xf numFmtId="41" fontId="32" fillId="0" borderId="121" xfId="0" applyNumberFormat="1" applyFont="1" applyBorder="1"/>
    <xf numFmtId="41" fontId="0" fillId="0" borderId="159" xfId="0" applyNumberFormat="1" applyBorder="1"/>
    <xf numFmtId="0" fontId="33" fillId="9" borderId="179" xfId="0" applyFont="1" applyFill="1" applyBorder="1"/>
    <xf numFmtId="41" fontId="33" fillId="9" borderId="156" xfId="0" applyNumberFormat="1" applyFont="1" applyFill="1" applyBorder="1"/>
    <xf numFmtId="41" fontId="33" fillId="9" borderId="151" xfId="0" applyNumberFormat="1" applyFont="1" applyFill="1" applyBorder="1"/>
    <xf numFmtId="41" fontId="33" fillId="9" borderId="181" xfId="0" applyNumberFormat="1" applyFont="1" applyFill="1" applyBorder="1"/>
    <xf numFmtId="41" fontId="33" fillId="9" borderId="154" xfId="0" applyNumberFormat="1" applyFont="1" applyFill="1" applyBorder="1"/>
    <xf numFmtId="41" fontId="31" fillId="0" borderId="200" xfId="0" applyNumberFormat="1" applyFont="1" applyFill="1" applyBorder="1"/>
    <xf numFmtId="0" fontId="33" fillId="0" borderId="159" xfId="0" applyFont="1" applyBorder="1"/>
    <xf numFmtId="41" fontId="33" fillId="0" borderId="121" xfId="0" applyNumberFormat="1" applyFont="1" applyBorder="1"/>
    <xf numFmtId="0" fontId="28" fillId="9" borderId="199" xfId="0" applyFont="1" applyFill="1" applyBorder="1"/>
    <xf numFmtId="3" fontId="28" fillId="9" borderId="201" xfId="0" applyNumberFormat="1" applyFont="1" applyFill="1" applyBorder="1"/>
    <xf numFmtId="3" fontId="28" fillId="9" borderId="202" xfId="0" applyNumberFormat="1" applyFont="1" applyFill="1" applyBorder="1"/>
    <xf numFmtId="3" fontId="28" fillId="9" borderId="171" xfId="0" applyNumberFormat="1" applyFont="1" applyFill="1" applyBorder="1"/>
    <xf numFmtId="0" fontId="0" fillId="0" borderId="121" xfId="0" applyBorder="1"/>
    <xf numFmtId="9" fontId="28" fillId="9" borderId="201" xfId="3" applyFont="1" applyFill="1" applyBorder="1"/>
    <xf numFmtId="9" fontId="28" fillId="9" borderId="202" xfId="3" applyFont="1" applyFill="1" applyBorder="1"/>
    <xf numFmtId="9" fontId="28" fillId="9" borderId="171" xfId="3" applyFont="1" applyFill="1" applyBorder="1"/>
    <xf numFmtId="0" fontId="35" fillId="0" borderId="27" xfId="0" applyFont="1" applyFill="1" applyBorder="1" applyAlignment="1">
      <alignment vertical="center" wrapText="1"/>
    </xf>
    <xf numFmtId="0" fontId="36" fillId="5" borderId="203" xfId="0" applyFont="1" applyFill="1" applyBorder="1" applyAlignment="1">
      <alignment horizontal="left" vertical="center" wrapText="1"/>
    </xf>
    <xf numFmtId="41" fontId="0" fillId="0" borderId="31" xfId="0" applyNumberFormat="1" applyBorder="1"/>
    <xf numFmtId="9" fontId="0" fillId="0" borderId="159" xfId="3" applyFont="1" applyBorder="1"/>
    <xf numFmtId="9" fontId="0" fillId="0" borderId="121" xfId="3" applyFont="1" applyBorder="1"/>
    <xf numFmtId="9" fontId="0" fillId="0" borderId="79" xfId="3" applyFont="1" applyBorder="1"/>
    <xf numFmtId="9" fontId="0" fillId="0" borderId="81" xfId="3" applyFont="1" applyBorder="1"/>
    <xf numFmtId="0" fontId="36" fillId="5" borderId="0" xfId="0" applyFont="1" applyFill="1" applyBorder="1" applyAlignment="1">
      <alignment horizontal="left" vertical="center" wrapText="1"/>
    </xf>
    <xf numFmtId="41" fontId="36" fillId="5" borderId="205" xfId="0" applyNumberFormat="1" applyFont="1" applyFill="1" applyBorder="1" applyAlignment="1">
      <alignment horizontal="center" vertical="center" wrapText="1"/>
    </xf>
    <xf numFmtId="41" fontId="36" fillId="5" borderId="206" xfId="0" applyNumberFormat="1" applyFont="1" applyFill="1" applyBorder="1" applyAlignment="1">
      <alignment horizontal="center" vertical="center" wrapText="1"/>
    </xf>
    <xf numFmtId="41" fontId="36" fillId="5" borderId="207" xfId="0" applyNumberFormat="1" applyFont="1" applyFill="1" applyBorder="1" applyAlignment="1">
      <alignment horizontal="center" vertical="center" wrapText="1"/>
    </xf>
    <xf numFmtId="41" fontId="36" fillId="12" borderId="208" xfId="0" applyNumberFormat="1" applyFont="1" applyFill="1" applyBorder="1" applyAlignment="1">
      <alignment horizontal="center" vertical="center" wrapText="1"/>
    </xf>
    <xf numFmtId="41" fontId="24" fillId="12" borderId="213" xfId="0" applyNumberFormat="1" applyFont="1" applyFill="1" applyBorder="1" applyAlignment="1">
      <alignment horizontal="center" vertical="center"/>
    </xf>
    <xf numFmtId="41" fontId="24" fillId="5" borderId="214" xfId="0" applyNumberFormat="1" applyFont="1" applyFill="1" applyBorder="1" applyAlignment="1">
      <alignment horizontal="center" vertical="center"/>
    </xf>
    <xf numFmtId="41" fontId="24" fillId="5" borderId="215" xfId="0" applyNumberFormat="1" applyFont="1" applyFill="1" applyBorder="1" applyAlignment="1">
      <alignment horizontal="center" vertical="center"/>
    </xf>
    <xf numFmtId="41" fontId="24" fillId="5" borderId="216" xfId="0" applyNumberFormat="1" applyFont="1" applyFill="1" applyBorder="1" applyAlignment="1">
      <alignment horizontal="center" vertical="center"/>
    </xf>
    <xf numFmtId="41" fontId="24" fillId="12" borderId="211" xfId="0" applyNumberFormat="1" applyFont="1" applyFill="1" applyBorder="1" applyAlignment="1">
      <alignment horizontal="center" vertical="center"/>
    </xf>
    <xf numFmtId="41" fontId="44" fillId="5" borderId="209" xfId="0" applyNumberFormat="1" applyFont="1" applyFill="1" applyBorder="1" applyAlignment="1">
      <alignment horizontal="center" vertical="center"/>
    </xf>
    <xf numFmtId="41" fontId="44" fillId="5" borderId="210" xfId="0" applyNumberFormat="1" applyFont="1" applyFill="1" applyBorder="1" applyAlignment="1">
      <alignment horizontal="center" vertical="center"/>
    </xf>
    <xf numFmtId="41" fontId="44" fillId="5" borderId="161" xfId="0" applyNumberFormat="1" applyFont="1" applyFill="1" applyBorder="1" applyAlignment="1">
      <alignment horizontal="center" vertical="center"/>
    </xf>
    <xf numFmtId="41" fontId="44" fillId="5" borderId="164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left"/>
    </xf>
    <xf numFmtId="0" fontId="35" fillId="0" borderId="0" xfId="0" applyFont="1" applyFill="1" applyBorder="1" applyAlignment="1">
      <alignment vertical="center" wrapText="1"/>
    </xf>
    <xf numFmtId="41" fontId="36" fillId="0" borderId="0" xfId="0" applyNumberFormat="1" applyFont="1" applyFill="1" applyBorder="1" applyAlignment="1">
      <alignment horizontal="center" vertical="center" wrapText="1"/>
    </xf>
    <xf numFmtId="41" fontId="24" fillId="0" borderId="0" xfId="0" applyNumberFormat="1" applyFont="1" applyFill="1" applyBorder="1" applyAlignment="1">
      <alignment horizontal="center" vertical="center"/>
    </xf>
    <xf numFmtId="41" fontId="36" fillId="5" borderId="217" xfId="0" applyNumberFormat="1" applyFont="1" applyFill="1" applyBorder="1" applyAlignment="1">
      <alignment horizontal="center" vertical="center" wrapText="1"/>
    </xf>
    <xf numFmtId="41" fontId="24" fillId="5" borderId="218" xfId="0" applyNumberFormat="1" applyFont="1" applyFill="1" applyBorder="1" applyAlignment="1">
      <alignment horizontal="center" vertical="center"/>
    </xf>
    <xf numFmtId="41" fontId="44" fillId="5" borderId="212" xfId="0" applyNumberFormat="1" applyFont="1" applyFill="1" applyBorder="1" applyAlignment="1">
      <alignment horizontal="center" vertical="center"/>
    </xf>
    <xf numFmtId="41" fontId="44" fillId="5" borderId="81" xfId="0" applyNumberFormat="1" applyFont="1" applyFill="1" applyBorder="1" applyAlignment="1">
      <alignment horizontal="center" vertical="center"/>
    </xf>
    <xf numFmtId="170" fontId="0" fillId="0" borderId="0" xfId="0" applyNumberFormat="1"/>
    <xf numFmtId="41" fontId="44" fillId="0" borderId="0" xfId="0" applyNumberFormat="1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left" vertical="center" wrapText="1"/>
    </xf>
    <xf numFmtId="0" fontId="36" fillId="5" borderId="82" xfId="0" applyFont="1" applyFill="1" applyBorder="1" applyAlignment="1">
      <alignment horizontal="left" vertical="center" wrapText="1"/>
    </xf>
    <xf numFmtId="0" fontId="36" fillId="5" borderId="111" xfId="0" applyFont="1" applyFill="1" applyBorder="1" applyAlignment="1">
      <alignment horizontal="right" vertical="center" wrapText="1"/>
    </xf>
    <xf numFmtId="0" fontId="0" fillId="0" borderId="151" xfId="0" applyBorder="1" applyAlignment="1">
      <alignment horizontal="center" vertical="center"/>
    </xf>
    <xf numFmtId="9" fontId="0" fillId="0" borderId="151" xfId="3" applyFont="1" applyBorder="1" applyAlignment="1">
      <alignment horizontal="center" vertical="center"/>
    </xf>
    <xf numFmtId="41" fontId="24" fillId="5" borderId="220" xfId="0" applyNumberFormat="1" applyFont="1" applyFill="1" applyBorder="1" applyAlignment="1">
      <alignment horizontal="center" vertical="center"/>
    </xf>
    <xf numFmtId="41" fontId="24" fillId="5" borderId="221" xfId="0" applyNumberFormat="1" applyFont="1" applyFill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51" xfId="0" applyBorder="1" applyAlignment="1">
      <alignment horizontal="center" vertical="center" wrapText="1"/>
    </xf>
    <xf numFmtId="1" fontId="0" fillId="0" borderId="0" xfId="0" applyNumberFormat="1"/>
    <xf numFmtId="9" fontId="24" fillId="0" borderId="0" xfId="3" applyFont="1" applyFill="1" applyBorder="1" applyAlignment="1">
      <alignment horizontal="center" vertical="center"/>
    </xf>
    <xf numFmtId="41" fontId="24" fillId="5" borderId="81" xfId="0" applyNumberFormat="1" applyFont="1" applyFill="1" applyBorder="1" applyAlignment="1">
      <alignment horizontal="center" vertical="center"/>
    </xf>
    <xf numFmtId="41" fontId="24" fillId="5" borderId="60" xfId="0" applyNumberFormat="1" applyFont="1" applyFill="1" applyBorder="1" applyAlignment="1">
      <alignment horizontal="center" vertical="center"/>
    </xf>
    <xf numFmtId="41" fontId="24" fillId="5" borderId="161" xfId="0" applyNumberFormat="1" applyFont="1" applyFill="1" applyBorder="1" applyAlignment="1">
      <alignment horizontal="center" vertical="center"/>
    </xf>
    <xf numFmtId="41" fontId="24" fillId="5" borderId="164" xfId="0" applyNumberFormat="1" applyFont="1" applyFill="1" applyBorder="1" applyAlignment="1">
      <alignment horizontal="center" vertical="center"/>
    </xf>
    <xf numFmtId="41" fontId="24" fillId="5" borderId="209" xfId="0" applyNumberFormat="1" applyFont="1" applyFill="1" applyBorder="1" applyAlignment="1">
      <alignment horizontal="center" vertical="center"/>
    </xf>
    <xf numFmtId="41" fontId="24" fillId="5" borderId="210" xfId="0" applyNumberFormat="1" applyFont="1" applyFill="1" applyBorder="1" applyAlignment="1">
      <alignment horizontal="center" vertical="center"/>
    </xf>
    <xf numFmtId="41" fontId="24" fillId="5" borderId="212" xfId="0" applyNumberFormat="1" applyFont="1" applyFill="1" applyBorder="1" applyAlignment="1">
      <alignment horizontal="center" vertical="center"/>
    </xf>
    <xf numFmtId="41" fontId="36" fillId="5" borderId="225" xfId="0" applyNumberFormat="1" applyFont="1" applyFill="1" applyBorder="1" applyAlignment="1">
      <alignment horizontal="center" vertical="center" wrapText="1"/>
    </xf>
    <xf numFmtId="41" fontId="24" fillId="5" borderId="226" xfId="0" applyNumberFormat="1" applyFont="1" applyFill="1" applyBorder="1" applyAlignment="1">
      <alignment horizontal="center" vertical="center"/>
    </xf>
    <xf numFmtId="41" fontId="24" fillId="5" borderId="222" xfId="0" applyNumberFormat="1" applyFont="1" applyFill="1" applyBorder="1" applyAlignment="1">
      <alignment horizontal="center" vertical="center"/>
    </xf>
    <xf numFmtId="41" fontId="24" fillId="5" borderId="227" xfId="0" applyNumberFormat="1" applyFont="1" applyFill="1" applyBorder="1" applyAlignment="1">
      <alignment horizontal="center" vertical="center"/>
    </xf>
    <xf numFmtId="41" fontId="24" fillId="5" borderId="182" xfId="0" applyNumberFormat="1" applyFont="1" applyFill="1" applyBorder="1" applyAlignment="1">
      <alignment horizontal="center" vertical="center"/>
    </xf>
    <xf numFmtId="41" fontId="24" fillId="12" borderId="228" xfId="0" applyNumberFormat="1" applyFont="1" applyFill="1" applyBorder="1" applyAlignment="1">
      <alignment horizontal="center" vertical="center"/>
    </xf>
    <xf numFmtId="4" fontId="47" fillId="0" borderId="0" xfId="0" applyNumberFormat="1" applyFont="1" applyAlignment="1">
      <alignment horizontal="center" vertical="center"/>
    </xf>
    <xf numFmtId="4" fontId="46" fillId="0" borderId="0" xfId="0" applyNumberFormat="1" applyFont="1" applyAlignment="1">
      <alignment horizontal="center" vertical="center"/>
    </xf>
    <xf numFmtId="43" fontId="0" fillId="0" borderId="0" xfId="0" applyNumberFormat="1"/>
    <xf numFmtId="43" fontId="5" fillId="5" borderId="12" xfId="1" applyNumberFormat="1" applyFont="1" applyFill="1" applyBorder="1" applyAlignment="1">
      <alignment horizontal="center" vertical="center" wrapText="1"/>
    </xf>
    <xf numFmtId="171" fontId="5" fillId="5" borderId="12" xfId="1" applyNumberFormat="1" applyFont="1" applyFill="1" applyBorder="1" applyAlignment="1">
      <alignment horizontal="center" vertical="center" wrapText="1"/>
    </xf>
    <xf numFmtId="171" fontId="7" fillId="5" borderId="12" xfId="1" applyNumberFormat="1" applyFont="1" applyFill="1" applyBorder="1" applyAlignment="1">
      <alignment horizontal="center" vertical="center" wrapText="1"/>
    </xf>
    <xf numFmtId="165" fontId="21" fillId="13" borderId="12" xfId="2" applyNumberFormat="1" applyFont="1" applyFill="1" applyBorder="1" applyAlignment="1">
      <alignment horizontal="left" vertical="justify"/>
    </xf>
    <xf numFmtId="165" fontId="21" fillId="13" borderId="8" xfId="2" applyNumberFormat="1" applyFont="1" applyFill="1" applyBorder="1" applyAlignment="1">
      <alignment vertical="justify"/>
    </xf>
    <xf numFmtId="165" fontId="21" fillId="13" borderId="8" xfId="2" applyNumberFormat="1" applyFont="1" applyFill="1" applyBorder="1" applyAlignment="1">
      <alignment vertical="center"/>
    </xf>
    <xf numFmtId="3" fontId="0" fillId="13" borderId="184" xfId="0" applyNumberFormat="1" applyFill="1" applyBorder="1"/>
    <xf numFmtId="9" fontId="0" fillId="13" borderId="184" xfId="0" applyNumberFormat="1" applyFill="1" applyBorder="1"/>
    <xf numFmtId="9" fontId="0" fillId="16" borderId="184" xfId="0" applyNumberFormat="1" applyFill="1" applyBorder="1"/>
    <xf numFmtId="0" fontId="49" fillId="0" borderId="0" xfId="0" applyFont="1"/>
    <xf numFmtId="0" fontId="0" fillId="0" borderId="0" xfId="0" applyFill="1" applyAlignment="1">
      <alignment wrapText="1"/>
    </xf>
    <xf numFmtId="0" fontId="36" fillId="5" borderId="17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0" fillId="8" borderId="250" xfId="0" applyFill="1" applyBorder="1" applyAlignment="1">
      <alignment horizontal="center" vertical="center" wrapText="1"/>
    </xf>
    <xf numFmtId="0" fontId="0" fillId="8" borderId="250" xfId="0" applyFill="1" applyBorder="1" applyAlignment="1">
      <alignment horizontal="center" vertical="center"/>
    </xf>
    <xf numFmtId="0" fontId="0" fillId="8" borderId="250" xfId="0" applyFont="1" applyFill="1" applyBorder="1" applyAlignment="1">
      <alignment horizontal="center" vertical="center"/>
    </xf>
    <xf numFmtId="0" fontId="0" fillId="0" borderId="88" xfId="0" applyFont="1" applyBorder="1" applyAlignment="1">
      <alignment horizontal="left" vertical="center"/>
    </xf>
    <xf numFmtId="165" fontId="1" fillId="0" borderId="88" xfId="1" applyNumberFormat="1" applyFont="1" applyFill="1" applyBorder="1" applyAlignment="1">
      <alignment vertical="center"/>
    </xf>
    <xf numFmtId="0" fontId="0" fillId="0" borderId="252" xfId="0" applyFont="1" applyBorder="1" applyAlignment="1">
      <alignment horizontal="left" vertical="center"/>
    </xf>
    <xf numFmtId="165" fontId="1" fillId="0" borderId="252" xfId="1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65" fontId="1" fillId="0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65" fontId="0" fillId="0" borderId="0" xfId="1" applyNumberFormat="1" applyFont="1" applyAlignment="1">
      <alignment vertical="center"/>
    </xf>
    <xf numFmtId="0" fontId="23" fillId="0" borderId="0" xfId="0" applyFont="1" applyAlignment="1">
      <alignment vertical="center"/>
    </xf>
    <xf numFmtId="41" fontId="36" fillId="5" borderId="199" xfId="0" applyNumberFormat="1" applyFont="1" applyFill="1" applyBorder="1" applyAlignment="1">
      <alignment horizontal="center" vertical="center" wrapText="1"/>
    </xf>
    <xf numFmtId="41" fontId="36" fillId="5" borderId="201" xfId="0" applyNumberFormat="1" applyFont="1" applyFill="1" applyBorder="1" applyAlignment="1">
      <alignment horizontal="center" vertical="center" wrapText="1"/>
    </xf>
    <xf numFmtId="41" fontId="36" fillId="5" borderId="202" xfId="0" applyNumberFormat="1" applyFont="1" applyFill="1" applyBorder="1" applyAlignment="1">
      <alignment horizontal="center" vertical="center" wrapText="1"/>
    </xf>
    <xf numFmtId="41" fontId="36" fillId="5" borderId="219" xfId="0" applyNumberFormat="1" applyFont="1" applyFill="1" applyBorder="1" applyAlignment="1">
      <alignment horizontal="center" vertical="center" wrapText="1"/>
    </xf>
    <xf numFmtId="169" fontId="49" fillId="0" borderId="0" xfId="0" applyNumberFormat="1" applyFont="1"/>
    <xf numFmtId="3" fontId="49" fillId="0" borderId="0" xfId="0" applyNumberFormat="1" applyFont="1"/>
    <xf numFmtId="0" fontId="52" fillId="17" borderId="266" xfId="0" applyFont="1" applyFill="1" applyBorder="1" applyAlignment="1">
      <alignment vertical="center"/>
    </xf>
    <xf numFmtId="0" fontId="52" fillId="17" borderId="258" xfId="0" applyFont="1" applyFill="1" applyBorder="1"/>
    <xf numFmtId="0" fontId="52" fillId="17" borderId="267" xfId="0" applyFont="1" applyFill="1" applyBorder="1"/>
    <xf numFmtId="3" fontId="54" fillId="0" borderId="257" xfId="0" applyNumberFormat="1" applyFont="1" applyFill="1" applyBorder="1" applyAlignment="1">
      <alignment horizontal="center" vertical="center"/>
    </xf>
    <xf numFmtId="3" fontId="54" fillId="0" borderId="255" xfId="0" applyNumberFormat="1" applyFont="1" applyFill="1" applyBorder="1" applyAlignment="1">
      <alignment horizontal="center" vertical="center"/>
    </xf>
    <xf numFmtId="0" fontId="54" fillId="0" borderId="265" xfId="0" applyFont="1" applyFill="1" applyBorder="1" applyAlignment="1">
      <alignment horizontal="center" vertical="center" wrapText="1"/>
    </xf>
    <xf numFmtId="0" fontId="54" fillId="0" borderId="185" xfId="0" applyFont="1" applyFill="1" applyBorder="1" applyAlignment="1">
      <alignment horizontal="center" vertical="center"/>
    </xf>
    <xf numFmtId="9" fontId="54" fillId="0" borderId="265" xfId="0" applyNumberFormat="1" applyFont="1" applyFill="1" applyBorder="1" applyAlignment="1">
      <alignment horizontal="center" vertical="center" wrapText="1"/>
    </xf>
    <xf numFmtId="0" fontId="54" fillId="0" borderId="255" xfId="0" applyFont="1" applyFill="1" applyBorder="1" applyAlignment="1">
      <alignment horizontal="center" vertical="center"/>
    </xf>
    <xf numFmtId="0" fontId="54" fillId="0" borderId="245" xfId="0" applyFont="1" applyFill="1" applyBorder="1" applyAlignment="1">
      <alignment horizontal="center" vertical="center"/>
    </xf>
    <xf numFmtId="0" fontId="37" fillId="0" borderId="264" xfId="0" applyFont="1" applyFill="1" applyBorder="1" applyAlignment="1">
      <alignment horizontal="center" vertical="center"/>
    </xf>
    <xf numFmtId="3" fontId="37" fillId="0" borderId="255" xfId="0" applyNumberFormat="1" applyFont="1" applyFill="1" applyBorder="1" applyAlignment="1">
      <alignment horizontal="center" vertical="center"/>
    </xf>
    <xf numFmtId="1" fontId="54" fillId="0" borderId="244" xfId="0" applyNumberFormat="1" applyFont="1" applyFill="1" applyBorder="1" applyAlignment="1">
      <alignment horizontal="center" vertical="center"/>
    </xf>
    <xf numFmtId="1" fontId="54" fillId="0" borderId="245" xfId="0" applyNumberFormat="1" applyFont="1" applyFill="1" applyBorder="1" applyAlignment="1">
      <alignment horizontal="center" vertical="center"/>
    </xf>
    <xf numFmtId="0" fontId="54" fillId="0" borderId="245" xfId="0" applyFont="1" applyFill="1" applyBorder="1" applyAlignment="1">
      <alignment horizontal="right" vertical="center"/>
    </xf>
    <xf numFmtId="0" fontId="55" fillId="0" borderId="245" xfId="0" applyFont="1" applyFill="1" applyBorder="1" applyAlignment="1">
      <alignment horizontal="center" vertical="center"/>
    </xf>
    <xf numFmtId="169" fontId="54" fillId="0" borderId="245" xfId="0" applyNumberFormat="1" applyFont="1" applyFill="1" applyBorder="1" applyAlignment="1">
      <alignment vertical="center"/>
    </xf>
    <xf numFmtId="0" fontId="54" fillId="0" borderId="265" xfId="0" applyFont="1" applyFill="1" applyBorder="1" applyAlignment="1">
      <alignment horizontal="center" vertical="center"/>
    </xf>
    <xf numFmtId="0" fontId="56" fillId="17" borderId="258" xfId="0" applyFont="1" applyFill="1" applyBorder="1"/>
    <xf numFmtId="3" fontId="56" fillId="17" borderId="258" xfId="0" applyNumberFormat="1" applyFont="1" applyFill="1" applyBorder="1"/>
    <xf numFmtId="0" fontId="56" fillId="17" borderId="267" xfId="0" applyFont="1" applyFill="1" applyBorder="1"/>
    <xf numFmtId="0" fontId="52" fillId="17" borderId="260" xfId="0" applyFont="1" applyFill="1" applyBorder="1" applyAlignment="1">
      <alignment vertical="center"/>
    </xf>
    <xf numFmtId="0" fontId="56" fillId="17" borderId="261" xfId="0" applyFont="1" applyFill="1" applyBorder="1"/>
    <xf numFmtId="3" fontId="56" fillId="17" borderId="261" xfId="0" applyNumberFormat="1" applyFont="1" applyFill="1" applyBorder="1"/>
    <xf numFmtId="0" fontId="56" fillId="17" borderId="262" xfId="0" applyFont="1" applyFill="1" applyBorder="1"/>
    <xf numFmtId="0" fontId="54" fillId="0" borderId="0" xfId="0" applyFont="1" applyFill="1" applyBorder="1" applyAlignment="1">
      <alignment horizontal="center" vertical="center"/>
    </xf>
    <xf numFmtId="0" fontId="54" fillId="0" borderId="88" xfId="0" applyFont="1" applyFill="1" applyBorder="1" applyAlignment="1">
      <alignment horizontal="center" vertical="center"/>
    </xf>
    <xf numFmtId="0" fontId="37" fillId="0" borderId="88" xfId="0" applyFont="1" applyFill="1" applyBorder="1" applyAlignment="1">
      <alignment horizontal="center" vertical="center"/>
    </xf>
    <xf numFmtId="3" fontId="37" fillId="0" borderId="263" xfId="0" applyNumberFormat="1" applyFont="1" applyFill="1" applyBorder="1" applyAlignment="1">
      <alignment horizontal="center" vertical="center"/>
    </xf>
    <xf numFmtId="1" fontId="54" fillId="0" borderId="269" xfId="0" applyNumberFormat="1" applyFont="1" applyFill="1" applyBorder="1" applyAlignment="1">
      <alignment horizontal="center" vertical="center"/>
    </xf>
    <xf numFmtId="1" fontId="54" fillId="0" borderId="88" xfId="0" applyNumberFormat="1" applyFont="1" applyFill="1" applyBorder="1" applyAlignment="1">
      <alignment horizontal="center" vertical="center"/>
    </xf>
    <xf numFmtId="0" fontId="54" fillId="0" borderId="88" xfId="0" applyFont="1" applyFill="1" applyBorder="1" applyAlignment="1">
      <alignment horizontal="right" vertical="center"/>
    </xf>
    <xf numFmtId="169" fontId="54" fillId="0" borderId="88" xfId="0" applyNumberFormat="1" applyFont="1" applyFill="1" applyBorder="1" applyAlignment="1">
      <alignment vertical="center"/>
    </xf>
    <xf numFmtId="0" fontId="54" fillId="0" borderId="121" xfId="0" applyFont="1" applyFill="1" applyBorder="1" applyAlignment="1">
      <alignment horizontal="center" vertical="center"/>
    </xf>
    <xf numFmtId="3" fontId="37" fillId="0" borderId="259" xfId="0" applyNumberFormat="1" applyFont="1" applyBorder="1" applyAlignment="1">
      <alignment horizontal="center" vertical="center"/>
    </xf>
    <xf numFmtId="1" fontId="57" fillId="0" borderId="258" xfId="0" applyNumberFormat="1" applyFont="1" applyBorder="1" applyAlignment="1">
      <alignment horizontal="center" vertical="center"/>
    </xf>
    <xf numFmtId="0" fontId="37" fillId="0" borderId="258" xfId="0" applyFont="1" applyBorder="1" applyAlignment="1">
      <alignment horizontal="right" vertical="center"/>
    </xf>
    <xf numFmtId="0" fontId="58" fillId="0" borderId="258" xfId="0" applyFont="1" applyBorder="1" applyAlignment="1">
      <alignment horizontal="center" vertical="center"/>
    </xf>
    <xf numFmtId="169" fontId="57" fillId="0" borderId="258" xfId="0" applyNumberFormat="1" applyFont="1" applyBorder="1" applyAlignment="1">
      <alignment vertical="center"/>
    </xf>
    <xf numFmtId="0" fontId="57" fillId="0" borderId="258" xfId="0" applyFont="1" applyBorder="1" applyAlignment="1">
      <alignment horizontal="center" vertical="center"/>
    </xf>
    <xf numFmtId="0" fontId="57" fillId="0" borderId="26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7" fillId="5" borderId="0" xfId="4" applyFont="1" applyFill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1" fillId="5" borderId="0" xfId="4" applyFont="1" applyFill="1"/>
    <xf numFmtId="0" fontId="35" fillId="0" borderId="0" xfId="0" applyFont="1"/>
    <xf numFmtId="0" fontId="54" fillId="0" borderId="271" xfId="0" applyFont="1" applyFill="1" applyBorder="1" applyAlignment="1">
      <alignment horizontal="center" vertical="center" wrapText="1"/>
    </xf>
    <xf numFmtId="0" fontId="54" fillId="0" borderId="274" xfId="0" applyFont="1" applyFill="1" applyBorder="1" applyAlignment="1">
      <alignment horizontal="center" vertical="center"/>
    </xf>
    <xf numFmtId="0" fontId="37" fillId="0" borderId="274" xfId="0" applyFont="1" applyFill="1" applyBorder="1" applyAlignment="1">
      <alignment horizontal="center" vertical="center"/>
    </xf>
    <xf numFmtId="3" fontId="37" fillId="0" borderId="270" xfId="0" applyNumberFormat="1" applyFont="1" applyFill="1" applyBorder="1" applyAlignment="1">
      <alignment horizontal="center" vertical="center"/>
    </xf>
    <xf numFmtId="1" fontId="54" fillId="0" borderId="273" xfId="0" applyNumberFormat="1" applyFont="1" applyFill="1" applyBorder="1" applyAlignment="1">
      <alignment horizontal="center" vertical="center"/>
    </xf>
    <xf numFmtId="1" fontId="54" fillId="0" borderId="274" xfId="0" applyNumberFormat="1" applyFont="1" applyFill="1" applyBorder="1" applyAlignment="1">
      <alignment horizontal="center" vertical="center"/>
    </xf>
    <xf numFmtId="0" fontId="54" fillId="0" borderId="274" xfId="0" applyFont="1" applyFill="1" applyBorder="1" applyAlignment="1">
      <alignment horizontal="right" vertical="center"/>
    </xf>
    <xf numFmtId="0" fontId="55" fillId="0" borderId="274" xfId="0" applyFont="1" applyFill="1" applyBorder="1" applyAlignment="1">
      <alignment horizontal="center" vertical="center"/>
    </xf>
    <xf numFmtId="169" fontId="54" fillId="0" borderId="274" xfId="0" applyNumberFormat="1" applyFont="1" applyFill="1" applyBorder="1" applyAlignment="1">
      <alignment vertical="center"/>
    </xf>
    <xf numFmtId="0" fontId="54" fillId="0" borderId="272" xfId="0" applyFont="1" applyFill="1" applyBorder="1" applyAlignment="1">
      <alignment horizontal="center" vertical="center"/>
    </xf>
    <xf numFmtId="17" fontId="54" fillId="0" borderId="265" xfId="0" applyNumberFormat="1" applyFont="1" applyFill="1" applyBorder="1" applyAlignment="1">
      <alignment horizontal="center" vertical="center" wrapText="1"/>
    </xf>
    <xf numFmtId="0" fontId="54" fillId="0" borderId="121" xfId="0" applyFont="1" applyFill="1" applyBorder="1" applyAlignment="1">
      <alignment horizontal="center" vertical="center" wrapText="1"/>
    </xf>
    <xf numFmtId="0" fontId="54" fillId="0" borderId="255" xfId="0" applyFont="1" applyFill="1" applyBorder="1" applyAlignment="1">
      <alignment horizontal="center" vertical="center" wrapText="1"/>
    </xf>
    <xf numFmtId="169" fontId="54" fillId="0" borderId="271" xfId="0" applyNumberFormat="1" applyFont="1" applyFill="1" applyBorder="1" applyAlignment="1">
      <alignment horizontal="center" vertical="center" wrapText="1"/>
    </xf>
    <xf numFmtId="17" fontId="54" fillId="0" borderId="271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37" fillId="0" borderId="0" xfId="4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0" fontId="61" fillId="0" borderId="0" xfId="4" applyFont="1" applyFill="1"/>
    <xf numFmtId="0" fontId="35" fillId="0" borderId="0" xfId="0" applyFont="1" applyFill="1"/>
    <xf numFmtId="0" fontId="59" fillId="0" borderId="0" xfId="0" applyFont="1"/>
    <xf numFmtId="0" fontId="54" fillId="0" borderId="257" xfId="0" applyFont="1" applyFill="1" applyBorder="1" applyAlignment="1">
      <alignment horizontal="center" vertical="center"/>
    </xf>
    <xf numFmtId="0" fontId="54" fillId="0" borderId="257" xfId="0" applyFont="1" applyFill="1" applyBorder="1" applyAlignment="1">
      <alignment vertical="center" wrapText="1"/>
    </xf>
    <xf numFmtId="0" fontId="54" fillId="0" borderId="257" xfId="0" applyFont="1" applyFill="1" applyBorder="1" applyAlignment="1">
      <alignment horizontal="center" vertical="center" wrapText="1"/>
    </xf>
    <xf numFmtId="9" fontId="54" fillId="0" borderId="271" xfId="0" applyNumberFormat="1" applyFont="1" applyFill="1" applyBorder="1" applyAlignment="1">
      <alignment horizontal="center" vertical="center" wrapText="1"/>
    </xf>
    <xf numFmtId="0" fontId="54" fillId="0" borderId="271" xfId="0" applyFont="1" applyFill="1" applyBorder="1" applyAlignment="1">
      <alignment horizontal="center" vertical="center"/>
    </xf>
    <xf numFmtId="0" fontId="54" fillId="0" borderId="255" xfId="0" applyFont="1" applyFill="1" applyBorder="1" applyAlignment="1">
      <alignment vertical="center" wrapText="1"/>
    </xf>
    <xf numFmtId="0" fontId="54" fillId="0" borderId="185" xfId="0" applyFont="1" applyFill="1" applyBorder="1" applyAlignment="1">
      <alignment horizontal="center" vertical="center" wrapText="1"/>
    </xf>
    <xf numFmtId="2" fontId="54" fillId="0" borderId="255" xfId="0" applyNumberFormat="1" applyFont="1" applyFill="1" applyBorder="1" applyAlignment="1">
      <alignment horizontal="center" vertical="center"/>
    </xf>
    <xf numFmtId="0" fontId="54" fillId="0" borderId="243" xfId="0" applyFont="1" applyFill="1" applyBorder="1" applyAlignment="1">
      <alignment horizontal="center" vertical="center"/>
    </xf>
    <xf numFmtId="0" fontId="37" fillId="0" borderId="265" xfId="0" applyFont="1" applyFill="1" applyBorder="1" applyAlignment="1">
      <alignment horizontal="center" vertical="center" wrapText="1"/>
    </xf>
    <xf numFmtId="169" fontId="54" fillId="0" borderId="255" xfId="0" applyNumberFormat="1" applyFont="1" applyFill="1" applyBorder="1" applyAlignment="1">
      <alignment horizontal="center" vertical="center" wrapText="1"/>
    </xf>
    <xf numFmtId="169" fontId="54" fillId="0" borderId="255" xfId="0" applyNumberFormat="1" applyFont="1" applyFill="1" applyBorder="1" applyAlignment="1">
      <alignment horizontal="center" vertical="center"/>
    </xf>
    <xf numFmtId="3" fontId="54" fillId="0" borderId="263" xfId="0" applyNumberFormat="1" applyFont="1" applyFill="1" applyBorder="1" applyAlignment="1">
      <alignment horizontal="center" vertical="center"/>
    </xf>
    <xf numFmtId="2" fontId="54" fillId="0" borderId="53" xfId="0" applyNumberFormat="1" applyFont="1" applyFill="1" applyBorder="1" applyAlignment="1">
      <alignment horizontal="center" vertical="center"/>
    </xf>
    <xf numFmtId="0" fontId="54" fillId="0" borderId="53" xfId="0" applyFont="1" applyFill="1" applyBorder="1" applyAlignment="1">
      <alignment horizontal="center" vertical="center"/>
    </xf>
    <xf numFmtId="0" fontId="54" fillId="0" borderId="53" xfId="0" applyFont="1" applyFill="1" applyBorder="1" applyAlignment="1">
      <alignment vertical="center" wrapText="1"/>
    </xf>
    <xf numFmtId="0" fontId="54" fillId="0" borderId="53" xfId="0" applyFont="1" applyFill="1" applyBorder="1" applyAlignment="1">
      <alignment horizontal="center" vertical="center" wrapText="1"/>
    </xf>
    <xf numFmtId="0" fontId="54" fillId="0" borderId="81" xfId="0" applyFont="1" applyFill="1" applyBorder="1" applyAlignment="1">
      <alignment horizontal="center" vertical="center" wrapText="1"/>
    </xf>
    <xf numFmtId="3" fontId="54" fillId="0" borderId="270" xfId="0" applyNumberFormat="1" applyFont="1" applyFill="1" applyBorder="1" applyAlignment="1">
      <alignment horizontal="center" vertical="center"/>
    </xf>
    <xf numFmtId="9" fontId="54" fillId="0" borderId="81" xfId="0" applyNumberFormat="1" applyFont="1" applyFill="1" applyBorder="1" applyAlignment="1">
      <alignment horizontal="center" vertical="center" wrapText="1"/>
    </xf>
    <xf numFmtId="169" fontId="54" fillId="0" borderId="53" xfId="0" applyNumberFormat="1" applyFont="1" applyFill="1" applyBorder="1" applyAlignment="1">
      <alignment horizontal="center" vertical="center" wrapText="1"/>
    </xf>
    <xf numFmtId="169" fontId="54" fillId="0" borderId="53" xfId="0" applyNumberFormat="1" applyFont="1" applyFill="1" applyBorder="1" applyAlignment="1">
      <alignment horizontal="center" vertical="center"/>
    </xf>
    <xf numFmtId="0" fontId="3" fillId="6" borderId="235" xfId="2" applyFont="1" applyFill="1" applyBorder="1" applyAlignment="1">
      <alignment horizontal="center" vertical="center"/>
    </xf>
    <xf numFmtId="0" fontId="3" fillId="6" borderId="236" xfId="2" applyFont="1" applyFill="1" applyBorder="1" applyAlignment="1">
      <alignment horizontal="center" vertical="center"/>
    </xf>
    <xf numFmtId="0" fontId="3" fillId="7" borderId="234" xfId="2" applyFont="1" applyFill="1" applyBorder="1" applyAlignment="1">
      <alignment horizontal="center" vertical="center" wrapText="1"/>
    </xf>
    <xf numFmtId="0" fontId="3" fillId="7" borderId="183" xfId="2" applyFont="1" applyFill="1" applyBorder="1" applyAlignment="1">
      <alignment horizontal="center" vertical="center" wrapText="1"/>
    </xf>
    <xf numFmtId="0" fontId="3" fillId="7" borderId="232" xfId="2" applyFont="1" applyFill="1" applyBorder="1" applyAlignment="1">
      <alignment horizontal="center" vertical="center" wrapText="1"/>
    </xf>
    <xf numFmtId="0" fontId="3" fillId="7" borderId="233" xfId="2" applyFont="1" applyFill="1" applyBorder="1" applyAlignment="1">
      <alignment horizontal="center" vertical="center" wrapText="1"/>
    </xf>
    <xf numFmtId="0" fontId="18" fillId="5" borderId="229" xfId="2" applyFont="1" applyFill="1" applyBorder="1" applyAlignment="1">
      <alignment horizontal="center" vertical="center" wrapText="1"/>
    </xf>
    <xf numFmtId="0" fontId="18" fillId="5" borderId="230" xfId="2" applyFont="1" applyFill="1" applyBorder="1" applyAlignment="1">
      <alignment horizontal="center" vertical="center" wrapText="1"/>
    </xf>
    <xf numFmtId="0" fontId="18" fillId="5" borderId="231" xfId="2" applyFont="1" applyFill="1" applyBorder="1" applyAlignment="1">
      <alignment horizontal="center" vertical="center" wrapText="1"/>
    </xf>
    <xf numFmtId="0" fontId="3" fillId="2" borderId="241" xfId="2" applyFont="1" applyFill="1" applyBorder="1" applyAlignment="1">
      <alignment horizontal="center" vertical="center" wrapText="1"/>
    </xf>
    <xf numFmtId="0" fontId="3" fillId="2" borderId="242" xfId="2" applyFont="1" applyFill="1" applyBorder="1" applyAlignment="1">
      <alignment horizontal="center" vertical="center" wrapText="1"/>
    </xf>
    <xf numFmtId="0" fontId="3" fillId="2" borderId="234" xfId="2" applyFont="1" applyFill="1" applyBorder="1" applyAlignment="1">
      <alignment horizontal="center" vertical="center"/>
    </xf>
    <xf numFmtId="0" fontId="3" fillId="2" borderId="183" xfId="2" applyFont="1" applyFill="1" applyBorder="1" applyAlignment="1">
      <alignment horizontal="center" vertical="center"/>
    </xf>
    <xf numFmtId="0" fontId="3" fillId="2" borderId="239" xfId="2" applyFont="1" applyFill="1" applyBorder="1" applyAlignment="1">
      <alignment horizontal="center" vertical="center"/>
    </xf>
    <xf numFmtId="0" fontId="3" fillId="2" borderId="240" xfId="2" applyFont="1" applyFill="1" applyBorder="1" applyAlignment="1">
      <alignment horizontal="center" vertical="center"/>
    </xf>
    <xf numFmtId="0" fontId="3" fillId="3" borderId="235" xfId="2" applyFont="1" applyFill="1" applyBorder="1" applyAlignment="1">
      <alignment horizontal="center" vertical="center"/>
    </xf>
    <xf numFmtId="0" fontId="3" fillId="3" borderId="237" xfId="2" applyFont="1" applyFill="1" applyBorder="1" applyAlignment="1">
      <alignment horizontal="center" vertical="center"/>
    </xf>
    <xf numFmtId="0" fontId="3" fillId="3" borderId="236" xfId="2" applyFont="1" applyFill="1" applyBorder="1" applyAlignment="1">
      <alignment horizontal="center" vertical="center"/>
    </xf>
    <xf numFmtId="0" fontId="3" fillId="4" borderId="235" xfId="2" applyFont="1" applyFill="1" applyBorder="1" applyAlignment="1">
      <alignment horizontal="center" vertical="center"/>
    </xf>
    <xf numFmtId="0" fontId="3" fillId="4" borderId="237" xfId="2" applyFont="1" applyFill="1" applyBorder="1" applyAlignment="1">
      <alignment horizontal="center" vertical="center"/>
    </xf>
    <xf numFmtId="0" fontId="3" fillId="4" borderId="236" xfId="2" applyFont="1" applyFill="1" applyBorder="1" applyAlignment="1">
      <alignment horizontal="center" vertical="center"/>
    </xf>
    <xf numFmtId="0" fontId="3" fillId="2" borderId="238" xfId="2" applyFont="1" applyFill="1" applyBorder="1" applyAlignment="1">
      <alignment horizontal="center" vertical="center" wrapText="1"/>
    </xf>
    <xf numFmtId="0" fontId="3" fillId="2" borderId="224" xfId="2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96" xfId="2" applyFont="1" applyFill="1" applyBorder="1" applyAlignment="1">
      <alignment horizontal="center" vertical="center"/>
    </xf>
    <xf numFmtId="0" fontId="3" fillId="2" borderId="97" xfId="2" applyFont="1" applyFill="1" applyBorder="1" applyAlignment="1">
      <alignment horizontal="center" vertical="center"/>
    </xf>
    <xf numFmtId="0" fontId="3" fillId="2" borderId="100" xfId="2" applyFont="1" applyFill="1" applyBorder="1" applyAlignment="1">
      <alignment horizontal="center" vertical="center" wrapText="1"/>
    </xf>
    <xf numFmtId="0" fontId="3" fillId="2" borderId="101" xfId="2" applyFont="1" applyFill="1" applyBorder="1" applyAlignment="1">
      <alignment horizontal="center" vertical="center" wrapText="1"/>
    </xf>
    <xf numFmtId="0" fontId="3" fillId="6" borderId="3" xfId="2" applyFont="1" applyFill="1" applyBorder="1" applyAlignment="1">
      <alignment horizontal="center" vertical="center"/>
    </xf>
    <xf numFmtId="0" fontId="3" fillId="6" borderId="122" xfId="2" applyFont="1" applyFill="1" applyBorder="1" applyAlignment="1">
      <alignment horizontal="center" vertical="center"/>
    </xf>
    <xf numFmtId="0" fontId="3" fillId="2" borderId="125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9" fontId="23" fillId="0" borderId="106" xfId="3" applyFont="1" applyBorder="1" applyAlignment="1">
      <alignment horizontal="center" vertical="center"/>
    </xf>
    <xf numFmtId="9" fontId="23" fillId="0" borderId="107" xfId="3" applyFont="1" applyBorder="1" applyAlignment="1">
      <alignment horizontal="center" vertical="center"/>
    </xf>
    <xf numFmtId="0" fontId="3" fillId="7" borderId="26" xfId="2" applyFont="1" applyFill="1" applyBorder="1" applyAlignment="1">
      <alignment horizontal="center" vertical="center" wrapText="1"/>
    </xf>
    <xf numFmtId="0" fontId="3" fillId="7" borderId="20" xfId="2" applyFont="1" applyFill="1" applyBorder="1" applyAlignment="1">
      <alignment horizontal="center" vertical="center" wrapText="1"/>
    </xf>
    <xf numFmtId="0" fontId="18" fillId="5" borderId="16" xfId="2" applyFont="1" applyFill="1" applyBorder="1" applyAlignment="1">
      <alignment horizontal="center" vertical="center" wrapText="1"/>
    </xf>
    <xf numFmtId="0" fontId="18" fillId="5" borderId="17" xfId="2" applyFont="1" applyFill="1" applyBorder="1" applyAlignment="1">
      <alignment horizontal="center" vertical="center" wrapText="1"/>
    </xf>
    <xf numFmtId="0" fontId="18" fillId="5" borderId="18" xfId="2" applyFont="1" applyFill="1" applyBorder="1" applyAlignment="1">
      <alignment horizontal="center" vertical="center" wrapText="1"/>
    </xf>
    <xf numFmtId="0" fontId="3" fillId="6" borderId="4" xfId="2" applyFont="1" applyFill="1" applyBorder="1" applyAlignment="1">
      <alignment horizontal="center" vertical="center"/>
    </xf>
    <xf numFmtId="0" fontId="3" fillId="6" borderId="150" xfId="2" applyFont="1" applyFill="1" applyBorder="1" applyAlignment="1">
      <alignment horizontal="center" vertical="center"/>
    </xf>
    <xf numFmtId="0" fontId="3" fillId="6" borderId="5" xfId="2" applyFont="1" applyFill="1" applyBorder="1" applyAlignment="1">
      <alignment horizontal="center" vertical="center"/>
    </xf>
    <xf numFmtId="0" fontId="3" fillId="7" borderId="3" xfId="2" applyFont="1" applyFill="1" applyBorder="1" applyAlignment="1">
      <alignment horizontal="center" vertical="center"/>
    </xf>
    <xf numFmtId="0" fontId="3" fillId="7" borderId="4" xfId="2" applyFont="1" applyFill="1" applyBorder="1" applyAlignment="1">
      <alignment horizontal="center" vertical="center"/>
    </xf>
    <xf numFmtId="0" fontId="3" fillId="7" borderId="5" xfId="2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/>
    </xf>
    <xf numFmtId="0" fontId="3" fillId="4" borderId="4" xfId="2" applyFont="1" applyFill="1" applyBorder="1" applyAlignment="1">
      <alignment horizontal="center" vertical="center"/>
    </xf>
    <xf numFmtId="0" fontId="3" fillId="4" borderId="5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35" fillId="0" borderId="136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15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35" fillId="14" borderId="28" xfId="0" applyFont="1" applyFill="1" applyBorder="1" applyAlignment="1">
      <alignment horizontal="center" vertical="center" wrapText="1"/>
    </xf>
    <xf numFmtId="0" fontId="35" fillId="14" borderId="38" xfId="0" applyFont="1" applyFill="1" applyBorder="1" applyAlignment="1">
      <alignment horizontal="center" vertical="center" wrapText="1"/>
    </xf>
    <xf numFmtId="0" fontId="35" fillId="14" borderId="53" xfId="0" applyFont="1" applyFill="1" applyBorder="1" applyAlignment="1">
      <alignment horizontal="center" vertical="center" wrapText="1"/>
    </xf>
    <xf numFmtId="0" fontId="35" fillId="8" borderId="110" xfId="0" applyFont="1" applyFill="1" applyBorder="1" applyAlignment="1">
      <alignment horizontal="center" vertical="center"/>
    </xf>
    <xf numFmtId="0" fontId="35" fillId="8" borderId="111" xfId="0" applyFont="1" applyFill="1" applyBorder="1" applyAlignment="1">
      <alignment horizontal="center" vertical="center"/>
    </xf>
    <xf numFmtId="0" fontId="35" fillId="8" borderId="112" xfId="0" applyFont="1" applyFill="1" applyBorder="1" applyAlignment="1">
      <alignment horizontal="center" vertical="center"/>
    </xf>
    <xf numFmtId="0" fontId="35" fillId="15" borderId="28" xfId="0" applyFont="1" applyFill="1" applyBorder="1" applyAlignment="1">
      <alignment horizontal="center" vertical="center" wrapText="1"/>
    </xf>
    <xf numFmtId="0" fontId="35" fillId="15" borderId="38" xfId="0" applyFont="1" applyFill="1" applyBorder="1" applyAlignment="1">
      <alignment horizontal="center" vertical="center" wrapText="1"/>
    </xf>
    <xf numFmtId="0" fontId="35" fillId="15" borderId="53" xfId="0" applyFont="1" applyFill="1" applyBorder="1" applyAlignment="1">
      <alignment horizontal="center" vertical="center" wrapText="1"/>
    </xf>
    <xf numFmtId="0" fontId="35" fillId="8" borderId="77" xfId="0" applyFont="1" applyFill="1" applyBorder="1" applyAlignment="1">
      <alignment horizontal="center" vertical="center" wrapText="1"/>
    </xf>
    <xf numFmtId="0" fontId="35" fillId="8" borderId="60" xfId="0" applyFont="1" applyFill="1" applyBorder="1" applyAlignment="1">
      <alignment horizontal="center" vertical="center" wrapText="1"/>
    </xf>
    <xf numFmtId="0" fontId="35" fillId="8" borderId="115" xfId="0" applyFont="1" applyFill="1" applyBorder="1" applyAlignment="1">
      <alignment horizontal="center" vertical="center" wrapText="1"/>
    </xf>
    <xf numFmtId="0" fontId="35" fillId="8" borderId="116" xfId="0" applyFont="1" applyFill="1" applyBorder="1" applyAlignment="1">
      <alignment horizontal="center" vertical="center" wrapText="1"/>
    </xf>
    <xf numFmtId="0" fontId="24" fillId="5" borderId="141" xfId="0" applyFont="1" applyFill="1" applyBorder="1" applyAlignment="1">
      <alignment horizontal="left" vertical="center" indent="3"/>
    </xf>
    <xf numFmtId="0" fontId="24" fillId="5" borderId="142" xfId="0" applyFont="1" applyFill="1" applyBorder="1" applyAlignment="1">
      <alignment horizontal="left" vertical="center" indent="3"/>
    </xf>
    <xf numFmtId="0" fontId="35" fillId="8" borderId="31" xfId="0" applyFont="1" applyFill="1" applyBorder="1" applyAlignment="1">
      <alignment horizontal="center" vertical="center" wrapText="1"/>
    </xf>
    <xf numFmtId="0" fontId="35" fillId="8" borderId="81" xfId="0" applyFont="1" applyFill="1" applyBorder="1" applyAlignment="1">
      <alignment horizontal="center" vertical="center" wrapText="1"/>
    </xf>
    <xf numFmtId="0" fontId="36" fillId="5" borderId="138" xfId="0" applyFont="1" applyFill="1" applyBorder="1" applyAlignment="1">
      <alignment horizontal="left" vertical="center" wrapText="1"/>
    </xf>
    <xf numFmtId="0" fontId="36" fillId="5" borderId="139" xfId="0" applyFont="1" applyFill="1" applyBorder="1" applyAlignment="1">
      <alignment horizontal="left" vertical="center" wrapText="1"/>
    </xf>
    <xf numFmtId="0" fontId="24" fillId="5" borderId="172" xfId="0" applyFont="1" applyFill="1" applyBorder="1" applyAlignment="1">
      <alignment horizontal="left" vertical="center" indent="3"/>
    </xf>
    <xf numFmtId="0" fontId="24" fillId="5" borderId="173" xfId="0" applyFont="1" applyFill="1" applyBorder="1" applyAlignment="1">
      <alignment horizontal="left" vertical="center" indent="3"/>
    </xf>
    <xf numFmtId="0" fontId="24" fillId="5" borderId="133" xfId="0" applyFont="1" applyFill="1" applyBorder="1" applyAlignment="1">
      <alignment horizontal="left" vertical="center" indent="3"/>
    </xf>
    <xf numFmtId="0" fontId="24" fillId="5" borderId="134" xfId="0" applyFont="1" applyFill="1" applyBorder="1" applyAlignment="1">
      <alignment horizontal="left" vertical="center" indent="3"/>
    </xf>
    <xf numFmtId="0" fontId="35" fillId="5" borderId="63" xfId="0" applyFont="1" applyFill="1" applyBorder="1" applyAlignment="1">
      <alignment horizontal="left" vertical="center" wrapText="1"/>
    </xf>
    <xf numFmtId="0" fontId="35" fillId="5" borderId="66" xfId="0" applyFont="1" applyFill="1" applyBorder="1" applyAlignment="1">
      <alignment horizontal="left" vertical="center" wrapText="1"/>
    </xf>
    <xf numFmtId="0" fontId="24" fillId="5" borderId="172" xfId="0" applyFont="1" applyFill="1" applyBorder="1" applyAlignment="1">
      <alignment horizontal="left" vertical="center" indent="5"/>
    </xf>
    <xf numFmtId="0" fontId="24" fillId="5" borderId="173" xfId="0" applyFont="1" applyFill="1" applyBorder="1" applyAlignment="1">
      <alignment horizontal="left" vertical="center" indent="5"/>
    </xf>
    <xf numFmtId="0" fontId="24" fillId="5" borderId="133" xfId="0" applyFont="1" applyFill="1" applyBorder="1" applyAlignment="1">
      <alignment horizontal="left" vertical="center" indent="5"/>
    </xf>
    <xf numFmtId="0" fontId="24" fillId="5" borderId="134" xfId="0" applyFont="1" applyFill="1" applyBorder="1" applyAlignment="1">
      <alignment horizontal="left" vertical="center" indent="5"/>
    </xf>
    <xf numFmtId="0" fontId="24" fillId="5" borderId="141" xfId="0" applyFont="1" applyFill="1" applyBorder="1" applyAlignment="1">
      <alignment horizontal="left" vertical="center"/>
    </xf>
    <xf numFmtId="0" fontId="24" fillId="5" borderId="142" xfId="0" applyFont="1" applyFill="1" applyBorder="1" applyAlignment="1">
      <alignment horizontal="left" vertical="center"/>
    </xf>
    <xf numFmtId="0" fontId="0" fillId="0" borderId="184" xfId="0" applyBorder="1" applyAlignment="1">
      <alignment horizontal="center"/>
    </xf>
    <xf numFmtId="0" fontId="24" fillId="5" borderId="165" xfId="0" applyFont="1" applyFill="1" applyBorder="1" applyAlignment="1">
      <alignment horizontal="left" vertical="center" indent="3"/>
    </xf>
    <xf numFmtId="0" fontId="24" fillId="5" borderId="166" xfId="0" applyFont="1" applyFill="1" applyBorder="1" applyAlignment="1">
      <alignment horizontal="left" vertical="center" indent="3"/>
    </xf>
    <xf numFmtId="0" fontId="36" fillId="5" borderId="169" xfId="0" applyFont="1" applyFill="1" applyBorder="1" applyAlignment="1">
      <alignment horizontal="left" vertical="center" wrapText="1"/>
    </xf>
    <xf numFmtId="0" fontId="36" fillId="5" borderId="170" xfId="0" applyFont="1" applyFill="1" applyBorder="1" applyAlignment="1">
      <alignment horizontal="left" vertical="center" wrapText="1"/>
    </xf>
    <xf numFmtId="0" fontId="36" fillId="5" borderId="169" xfId="0" applyFont="1" applyFill="1" applyBorder="1" applyAlignment="1">
      <alignment horizontal="center" vertical="center" wrapText="1"/>
    </xf>
    <xf numFmtId="0" fontId="36" fillId="5" borderId="170" xfId="0" applyFont="1" applyFill="1" applyBorder="1" applyAlignment="1">
      <alignment horizontal="center" vertical="center" wrapText="1"/>
    </xf>
    <xf numFmtId="0" fontId="24" fillId="5" borderId="145" xfId="0" applyFont="1" applyFill="1" applyBorder="1" applyAlignment="1">
      <alignment horizontal="left" vertical="center"/>
    </xf>
    <xf numFmtId="0" fontId="24" fillId="5" borderId="146" xfId="0" applyFont="1" applyFill="1" applyBorder="1" applyAlignment="1">
      <alignment horizontal="left" vertical="center"/>
    </xf>
    <xf numFmtId="0" fontId="35" fillId="0" borderId="121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5" fillId="8" borderId="209" xfId="0" applyFont="1" applyFill="1" applyBorder="1" applyAlignment="1">
      <alignment horizontal="center" vertical="center" wrapText="1"/>
    </xf>
    <xf numFmtId="0" fontId="35" fillId="8" borderId="210" xfId="0" applyFont="1" applyFill="1" applyBorder="1" applyAlignment="1">
      <alignment horizontal="center" vertical="center" wrapText="1"/>
    </xf>
    <xf numFmtId="0" fontId="36" fillId="5" borderId="29" xfId="0" applyFont="1" applyFill="1" applyBorder="1" applyAlignment="1">
      <alignment horizontal="left" vertical="center" wrapText="1"/>
    </xf>
    <xf numFmtId="0" fontId="36" fillId="5" borderId="30" xfId="0" applyFont="1" applyFill="1" applyBorder="1" applyAlignment="1">
      <alignment horizontal="left" vertical="center" wrapText="1"/>
    </xf>
    <xf numFmtId="0" fontId="36" fillId="5" borderId="162" xfId="0" applyFont="1" applyFill="1" applyBorder="1" applyAlignment="1">
      <alignment horizontal="left" vertical="center" wrapText="1"/>
    </xf>
    <xf numFmtId="0" fontId="36" fillId="5" borderId="163" xfId="0" applyFont="1" applyFill="1" applyBorder="1" applyAlignment="1">
      <alignment horizontal="left" vertical="center" wrapText="1"/>
    </xf>
    <xf numFmtId="41" fontId="36" fillId="5" borderId="28" xfId="0" applyNumberFormat="1" applyFont="1" applyFill="1" applyBorder="1" applyAlignment="1">
      <alignment horizontal="center" vertical="center" wrapText="1"/>
    </xf>
    <xf numFmtId="41" fontId="36" fillId="5" borderId="180" xfId="0" applyNumberFormat="1" applyFont="1" applyFill="1" applyBorder="1" applyAlignment="1">
      <alignment horizontal="center" vertical="center" wrapText="1"/>
    </xf>
    <xf numFmtId="0" fontId="16" fillId="5" borderId="204" xfId="0" applyFont="1" applyFill="1" applyBorder="1" applyAlignment="1">
      <alignment horizontal="left" vertical="center"/>
    </xf>
    <xf numFmtId="0" fontId="16" fillId="5" borderId="88" xfId="0" applyFont="1" applyFill="1" applyBorder="1" applyAlignment="1">
      <alignment horizontal="left" vertical="center"/>
    </xf>
    <xf numFmtId="0" fontId="16" fillId="5" borderId="46" xfId="0" applyFont="1" applyFill="1" applyBorder="1" applyAlignment="1">
      <alignment horizontal="left" vertical="center"/>
    </xf>
    <xf numFmtId="0" fontId="16" fillId="5" borderId="162" xfId="0" applyFont="1" applyFill="1" applyBorder="1" applyAlignment="1">
      <alignment horizontal="left" vertical="center"/>
    </xf>
    <xf numFmtId="0" fontId="16" fillId="5" borderId="163" xfId="0" applyFont="1" applyFill="1" applyBorder="1" applyAlignment="1">
      <alignment horizontal="left" vertical="center"/>
    </xf>
    <xf numFmtId="0" fontId="16" fillId="5" borderId="212" xfId="0" applyFont="1" applyFill="1" applyBorder="1" applyAlignment="1">
      <alignment horizontal="left" vertical="center"/>
    </xf>
    <xf numFmtId="41" fontId="24" fillId="5" borderId="178" xfId="0" applyNumberFormat="1" applyFont="1" applyFill="1" applyBorder="1" applyAlignment="1">
      <alignment horizontal="center" vertical="center"/>
    </xf>
    <xf numFmtId="41" fontId="24" fillId="5" borderId="180" xfId="0" applyNumberFormat="1" applyFont="1" applyFill="1" applyBorder="1" applyAlignment="1">
      <alignment horizontal="center" vertical="center"/>
    </xf>
    <xf numFmtId="0" fontId="16" fillId="5" borderId="79" xfId="0" applyFont="1" applyFill="1" applyBorder="1" applyAlignment="1">
      <alignment horizontal="left" vertical="center"/>
    </xf>
    <xf numFmtId="0" fontId="16" fillId="5" borderId="27" xfId="0" applyFont="1" applyFill="1" applyBorder="1" applyAlignment="1">
      <alignment horizontal="left" vertical="center"/>
    </xf>
    <xf numFmtId="41" fontId="24" fillId="5" borderId="53" xfId="0" applyNumberFormat="1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left" vertical="center" wrapText="1"/>
    </xf>
    <xf numFmtId="41" fontId="0" fillId="0" borderId="152" xfId="0" applyNumberFormat="1" applyBorder="1" applyAlignment="1">
      <alignment horizontal="center" vertical="center"/>
    </xf>
    <xf numFmtId="41" fontId="0" fillId="0" borderId="153" xfId="0" applyNumberFormat="1" applyBorder="1" applyAlignment="1">
      <alignment horizontal="center" vertical="center"/>
    </xf>
    <xf numFmtId="41" fontId="0" fillId="0" borderId="154" xfId="0" applyNumberFormat="1" applyBorder="1" applyAlignment="1">
      <alignment horizontal="center" vertical="center"/>
    </xf>
    <xf numFmtId="0" fontId="24" fillId="5" borderId="254" xfId="0" applyFont="1" applyFill="1" applyBorder="1" applyAlignment="1">
      <alignment horizontal="left" vertical="center" indent="3"/>
    </xf>
    <xf numFmtId="0" fontId="24" fillId="5" borderId="253" xfId="0" applyFont="1" applyFill="1" applyBorder="1" applyAlignment="1">
      <alignment horizontal="left" vertical="center" indent="3"/>
    </xf>
    <xf numFmtId="0" fontId="52" fillId="17" borderId="266" xfId="0" applyFont="1" applyFill="1" applyBorder="1" applyAlignment="1">
      <alignment horizontal="center" vertical="center"/>
    </xf>
    <xf numFmtId="0" fontId="52" fillId="17" borderId="267" xfId="0" applyFont="1" applyFill="1" applyBorder="1" applyAlignment="1">
      <alignment horizontal="center" vertical="center"/>
    </xf>
    <xf numFmtId="0" fontId="52" fillId="17" borderId="256" xfId="0" applyFont="1" applyFill="1" applyBorder="1" applyAlignment="1">
      <alignment horizontal="center" vertical="center" wrapText="1"/>
    </xf>
    <xf numFmtId="0" fontId="52" fillId="17" borderId="38" xfId="0" applyFont="1" applyFill="1" applyBorder="1" applyAlignment="1">
      <alignment horizontal="center" vertical="center"/>
    </xf>
    <xf numFmtId="0" fontId="52" fillId="17" borderId="53" xfId="0" applyFont="1" applyFill="1" applyBorder="1" applyAlignment="1">
      <alignment horizontal="center" vertical="center"/>
    </xf>
    <xf numFmtId="0" fontId="52" fillId="17" borderId="268" xfId="0" applyFont="1" applyFill="1" applyBorder="1" applyAlignment="1">
      <alignment horizontal="center" vertical="center" wrapText="1"/>
    </xf>
    <xf numFmtId="0" fontId="52" fillId="17" borderId="159" xfId="0" applyFont="1" applyFill="1" applyBorder="1" applyAlignment="1">
      <alignment horizontal="center" vertical="center" wrapText="1"/>
    </xf>
    <xf numFmtId="0" fontId="52" fillId="17" borderId="79" xfId="0" applyFont="1" applyFill="1" applyBorder="1" applyAlignment="1">
      <alignment horizontal="center" vertical="center" wrapText="1"/>
    </xf>
    <xf numFmtId="0" fontId="52" fillId="17" borderId="256" xfId="0" applyFont="1" applyFill="1" applyBorder="1" applyAlignment="1">
      <alignment horizontal="center" vertical="center"/>
    </xf>
    <xf numFmtId="0" fontId="52" fillId="17" borderId="38" xfId="0" applyFont="1" applyFill="1" applyBorder="1" applyAlignment="1">
      <alignment horizontal="center" vertical="center" wrapText="1"/>
    </xf>
    <xf numFmtId="0" fontId="52" fillId="17" borderId="53" xfId="0" applyFont="1" applyFill="1" applyBorder="1" applyAlignment="1">
      <alignment horizontal="center" vertical="center" wrapText="1"/>
    </xf>
    <xf numFmtId="0" fontId="52" fillId="17" borderId="30" xfId="0" applyFont="1" applyFill="1" applyBorder="1" applyAlignment="1">
      <alignment horizontal="center" vertical="center" wrapText="1"/>
    </xf>
    <xf numFmtId="0" fontId="52" fillId="17" borderId="0" xfId="0" applyFont="1" applyFill="1" applyBorder="1" applyAlignment="1">
      <alignment horizontal="center" vertical="center" wrapText="1"/>
    </xf>
    <xf numFmtId="0" fontId="52" fillId="17" borderId="27" xfId="0" applyFont="1" applyFill="1" applyBorder="1" applyAlignment="1">
      <alignment horizontal="center" vertical="center" wrapText="1"/>
    </xf>
    <xf numFmtId="0" fontId="52" fillId="17" borderId="25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2" fillId="17" borderId="78" xfId="0" applyFont="1" applyFill="1" applyBorder="1" applyAlignment="1">
      <alignment horizontal="center" vertical="center"/>
    </xf>
    <xf numFmtId="0" fontId="52" fillId="17" borderId="200" xfId="0" applyFont="1" applyFill="1" applyBorder="1" applyAlignment="1">
      <alignment horizontal="center" vertical="center"/>
    </xf>
    <xf numFmtId="0" fontId="52" fillId="17" borderId="182" xfId="0" applyFont="1" applyFill="1" applyBorder="1" applyAlignment="1">
      <alignment horizontal="center" vertical="center"/>
    </xf>
    <xf numFmtId="0" fontId="52" fillId="17" borderId="78" xfId="0" applyFont="1" applyFill="1" applyBorder="1" applyAlignment="1">
      <alignment horizontal="center" vertical="center" wrapText="1"/>
    </xf>
    <xf numFmtId="0" fontId="52" fillId="17" borderId="200" xfId="0" applyFont="1" applyFill="1" applyBorder="1" applyAlignment="1">
      <alignment horizontal="center" vertical="center" wrapText="1"/>
    </xf>
    <xf numFmtId="0" fontId="52" fillId="17" borderId="182" xfId="0" applyFont="1" applyFill="1" applyBorder="1" applyAlignment="1">
      <alignment horizontal="center" vertical="center" wrapText="1"/>
    </xf>
    <xf numFmtId="0" fontId="52" fillId="17" borderId="77" xfId="0" applyFont="1" applyFill="1" applyBorder="1" applyAlignment="1">
      <alignment horizontal="center" vertical="center"/>
    </xf>
    <xf numFmtId="0" fontId="52" fillId="17" borderId="160" xfId="0" applyFont="1" applyFill="1" applyBorder="1" applyAlignment="1">
      <alignment horizontal="center" vertical="center"/>
    </xf>
    <xf numFmtId="0" fontId="52" fillId="17" borderId="209" xfId="0" applyFont="1" applyFill="1" applyBorder="1" applyAlignment="1">
      <alignment horizontal="center" vertical="center"/>
    </xf>
    <xf numFmtId="0" fontId="52" fillId="17" borderId="31" xfId="0" applyFont="1" applyFill="1" applyBorder="1" applyAlignment="1">
      <alignment horizontal="center" vertical="center"/>
    </xf>
    <xf numFmtId="0" fontId="52" fillId="17" borderId="121" xfId="0" applyFont="1" applyFill="1" applyBorder="1" applyAlignment="1">
      <alignment horizontal="center" vertical="center"/>
    </xf>
    <xf numFmtId="0" fontId="52" fillId="17" borderId="81" xfId="0" applyFont="1" applyFill="1" applyBorder="1" applyAlignment="1">
      <alignment horizontal="center" vertical="center"/>
    </xf>
    <xf numFmtId="0" fontId="37" fillId="0" borderId="266" xfId="0" applyFont="1" applyBorder="1" applyAlignment="1">
      <alignment horizontal="right" vertical="center"/>
    </xf>
    <xf numFmtId="0" fontId="37" fillId="0" borderId="258" xfId="0" applyFont="1" applyBorder="1" applyAlignment="1">
      <alignment horizontal="right" vertical="center"/>
    </xf>
    <xf numFmtId="0" fontId="52" fillId="17" borderId="85" xfId="0" applyFont="1" applyFill="1" applyBorder="1" applyAlignment="1">
      <alignment horizontal="center" vertical="center"/>
    </xf>
    <xf numFmtId="0" fontId="54" fillId="0" borderId="273" xfId="0" applyFont="1" applyBorder="1" applyAlignment="1">
      <alignment horizontal="right" vertical="center"/>
    </xf>
    <xf numFmtId="0" fontId="54" fillId="0" borderId="274" xfId="0" applyFont="1" applyBorder="1" applyAlignment="1">
      <alignment horizontal="right" vertical="center"/>
    </xf>
    <xf numFmtId="0" fontId="37" fillId="0" borderId="244" xfId="0" applyFont="1" applyBorder="1" applyAlignment="1">
      <alignment horizontal="right" vertical="center"/>
    </xf>
    <xf numFmtId="0" fontId="37" fillId="0" borderId="245" xfId="0" applyFont="1" applyBorder="1" applyAlignment="1">
      <alignment horizontal="right" vertical="center"/>
    </xf>
    <xf numFmtId="0" fontId="37" fillId="0" borderId="159" xfId="0" applyFont="1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0" fontId="37" fillId="0" borderId="88" xfId="0" applyFont="1" applyBorder="1" applyAlignment="1">
      <alignment horizontal="right" vertical="center"/>
    </xf>
    <xf numFmtId="0" fontId="29" fillId="8" borderId="32" xfId="0" applyFont="1" applyFill="1" applyBorder="1" applyAlignment="1">
      <alignment horizontal="center" vertical="center"/>
    </xf>
    <xf numFmtId="0" fontId="29" fillId="8" borderId="33" xfId="0" applyFont="1" applyFill="1" applyBorder="1" applyAlignment="1">
      <alignment horizontal="center" vertical="center"/>
    </xf>
    <xf numFmtId="0" fontId="29" fillId="8" borderId="34" xfId="0" applyFont="1" applyFill="1" applyBorder="1" applyAlignment="1">
      <alignment horizontal="center" vertical="center"/>
    </xf>
    <xf numFmtId="0" fontId="30" fillId="8" borderId="36" xfId="0" applyFont="1" applyFill="1" applyBorder="1" applyAlignment="1">
      <alignment horizontal="center" vertical="center" wrapText="1"/>
    </xf>
    <xf numFmtId="0" fontId="30" fillId="8" borderId="37" xfId="0" applyFont="1" applyFill="1" applyBorder="1" applyAlignment="1">
      <alignment horizontal="center" vertical="center" wrapText="1"/>
    </xf>
    <xf numFmtId="0" fontId="29" fillId="8" borderId="40" xfId="0" applyFont="1" applyFill="1" applyBorder="1" applyAlignment="1">
      <alignment horizontal="center" vertical="center" wrapText="1"/>
    </xf>
    <xf numFmtId="0" fontId="29" fillId="8" borderId="41" xfId="0" applyFont="1" applyFill="1" applyBorder="1" applyAlignment="1">
      <alignment horizontal="center" vertical="center" wrapText="1"/>
    </xf>
    <xf numFmtId="0" fontId="29" fillId="8" borderId="42" xfId="0" applyFont="1" applyFill="1" applyBorder="1" applyAlignment="1">
      <alignment horizontal="center" vertical="center" wrapText="1"/>
    </xf>
    <xf numFmtId="0" fontId="29" fillId="8" borderId="47" xfId="0" applyFont="1" applyFill="1" applyBorder="1" applyAlignment="1">
      <alignment horizontal="center" vertical="center" wrapText="1"/>
    </xf>
    <xf numFmtId="0" fontId="29" fillId="8" borderId="48" xfId="0" applyFont="1" applyFill="1" applyBorder="1" applyAlignment="1">
      <alignment horizontal="center" vertical="center" wrapText="1"/>
    </xf>
    <xf numFmtId="0" fontId="29" fillId="8" borderId="50" xfId="0" applyFont="1" applyFill="1" applyBorder="1" applyAlignment="1">
      <alignment horizontal="center" vertical="center" wrapText="1"/>
    </xf>
    <xf numFmtId="0" fontId="29" fillId="8" borderId="43" xfId="0" applyFont="1" applyFill="1" applyBorder="1" applyAlignment="1">
      <alignment horizontal="center" vertical="center" wrapText="1"/>
    </xf>
    <xf numFmtId="0" fontId="29" fillId="8" borderId="51" xfId="0" applyFont="1" applyFill="1" applyBorder="1" applyAlignment="1">
      <alignment horizontal="center" vertical="center" wrapText="1"/>
    </xf>
    <xf numFmtId="0" fontId="29" fillId="8" borderId="44" xfId="0" applyFont="1" applyFill="1" applyBorder="1" applyAlignment="1">
      <alignment horizontal="center" vertical="center" wrapText="1"/>
    </xf>
    <xf numFmtId="0" fontId="29" fillId="8" borderId="49" xfId="0" applyFont="1" applyFill="1" applyBorder="1" applyAlignment="1">
      <alignment horizontal="center" vertical="center" wrapText="1"/>
    </xf>
    <xf numFmtId="0" fontId="23" fillId="8" borderId="45" xfId="0" applyFont="1" applyFill="1" applyBorder="1" applyAlignment="1">
      <alignment horizontal="center" vertical="center"/>
    </xf>
    <xf numFmtId="0" fontId="23" fillId="8" borderId="52" xfId="0" applyFont="1" applyFill="1" applyBorder="1" applyAlignment="1">
      <alignment horizontal="center" vertical="center"/>
    </xf>
    <xf numFmtId="0" fontId="23" fillId="8" borderId="60" xfId="0" applyFont="1" applyFill="1" applyBorder="1" applyAlignment="1">
      <alignment horizontal="center" vertical="center"/>
    </xf>
    <xf numFmtId="0" fontId="0" fillId="8" borderId="46" xfId="0" applyFont="1" applyFill="1" applyBorder="1" applyAlignment="1">
      <alignment horizontal="center" vertical="center"/>
    </xf>
    <xf numFmtId="0" fontId="0" fillId="8" borderId="39" xfId="0" applyFont="1" applyFill="1" applyBorder="1" applyAlignment="1">
      <alignment horizontal="center" vertical="center"/>
    </xf>
    <xf numFmtId="0" fontId="0" fillId="8" borderId="27" xfId="0" applyFont="1" applyFill="1" applyBorder="1" applyAlignment="1">
      <alignment horizontal="center" vertical="center"/>
    </xf>
    <xf numFmtId="0" fontId="0" fillId="13" borderId="184" xfId="0" applyFill="1" applyBorder="1" applyAlignment="1">
      <alignment horizontal="center"/>
    </xf>
    <xf numFmtId="0" fontId="0" fillId="16" borderId="184" xfId="0" applyFill="1" applyBorder="1" applyAlignment="1">
      <alignment horizontal="center"/>
    </xf>
    <xf numFmtId="0" fontId="29" fillId="8" borderId="28" xfId="0" applyFont="1" applyFill="1" applyBorder="1" applyAlignment="1">
      <alignment horizontal="center" vertical="center"/>
    </xf>
    <xf numFmtId="0" fontId="29" fillId="8" borderId="38" xfId="0" applyFont="1" applyFill="1" applyBorder="1" applyAlignment="1">
      <alignment horizontal="center" vertical="center"/>
    </xf>
    <xf numFmtId="0" fontId="29" fillId="8" borderId="53" xfId="0" applyFont="1" applyFill="1" applyBorder="1" applyAlignment="1">
      <alignment horizontal="center" vertical="center"/>
    </xf>
    <xf numFmtId="0" fontId="29" fillId="8" borderId="29" xfId="0" applyFont="1" applyFill="1" applyBorder="1" applyAlignment="1">
      <alignment horizontal="center" vertical="center" wrapText="1"/>
    </xf>
    <xf numFmtId="0" fontId="29" fillId="8" borderId="30" xfId="0" applyFont="1" applyFill="1" applyBorder="1" applyAlignment="1">
      <alignment horizontal="center" vertical="center" wrapText="1"/>
    </xf>
    <xf numFmtId="0" fontId="29" fillId="8" borderId="31" xfId="0" applyFont="1" applyFill="1" applyBorder="1" applyAlignment="1">
      <alignment horizontal="center" vertical="center" wrapText="1"/>
    </xf>
    <xf numFmtId="0" fontId="29" fillId="8" borderId="159" xfId="0" applyFont="1" applyFill="1" applyBorder="1" applyAlignment="1">
      <alignment horizontal="center" vertical="center" wrapText="1"/>
    </xf>
    <xf numFmtId="0" fontId="29" fillId="8" borderId="0" xfId="0" applyFont="1" applyFill="1" applyBorder="1" applyAlignment="1">
      <alignment horizontal="center" vertical="center" wrapText="1"/>
    </xf>
    <xf numFmtId="0" fontId="29" fillId="8" borderId="121" xfId="0" applyFont="1" applyFill="1" applyBorder="1" applyAlignment="1">
      <alignment horizontal="center" vertical="center" wrapText="1"/>
    </xf>
    <xf numFmtId="0" fontId="29" fillId="8" borderId="198" xfId="0" applyFont="1" applyFill="1" applyBorder="1" applyAlignment="1">
      <alignment horizontal="center" vertical="center" wrapText="1"/>
    </xf>
    <xf numFmtId="0" fontId="29" fillId="8" borderId="197" xfId="0" applyFont="1" applyFill="1" applyBorder="1" applyAlignment="1">
      <alignment horizontal="center" vertical="center" wrapText="1"/>
    </xf>
    <xf numFmtId="0" fontId="29" fillId="8" borderId="120" xfId="0" applyFont="1" applyFill="1" applyBorder="1" applyAlignment="1">
      <alignment horizontal="center" vertical="center" wrapText="1"/>
    </xf>
    <xf numFmtId="0" fontId="23" fillId="8" borderId="246" xfId="0" applyFont="1" applyFill="1" applyBorder="1" applyAlignment="1">
      <alignment horizontal="center" vertical="center"/>
    </xf>
    <xf numFmtId="0" fontId="23" fillId="8" borderId="88" xfId="0" applyFont="1" applyFill="1" applyBorder="1" applyAlignment="1">
      <alignment horizontal="center" vertical="center"/>
    </xf>
    <xf numFmtId="0" fontId="23" fillId="8" borderId="249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0" fillId="8" borderId="88" xfId="0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8" borderId="247" xfId="0" applyFill="1" applyBorder="1" applyAlignment="1">
      <alignment horizontal="center" vertical="center"/>
    </xf>
    <xf numFmtId="0" fontId="0" fillId="8" borderId="248" xfId="0" applyFill="1" applyBorder="1" applyAlignment="1">
      <alignment horizontal="center" vertical="center" wrapText="1"/>
    </xf>
    <xf numFmtId="0" fontId="0" fillId="8" borderId="137" xfId="0" applyFill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3" fillId="0" borderId="246" xfId="0" applyFont="1" applyBorder="1" applyAlignment="1">
      <alignment horizontal="center" vertical="center"/>
    </xf>
    <xf numFmtId="0" fontId="23" fillId="0" borderId="251" xfId="0" applyFont="1" applyBorder="1" applyAlignment="1">
      <alignment horizontal="center" vertical="center"/>
    </xf>
    <xf numFmtId="165" fontId="1" fillId="0" borderId="88" xfId="1" applyNumberFormat="1" applyFont="1" applyFill="1" applyBorder="1" applyAlignment="1">
      <alignment horizontal="center" vertical="center"/>
    </xf>
    <xf numFmtId="165" fontId="1" fillId="0" borderId="252" xfId="1" applyNumberFormat="1" applyFont="1" applyFill="1" applyBorder="1" applyAlignment="1">
      <alignment horizontal="center" vertical="center"/>
    </xf>
    <xf numFmtId="165" fontId="1" fillId="0" borderId="248" xfId="1" applyNumberFormat="1" applyFont="1" applyFill="1" applyBorder="1" applyAlignment="1">
      <alignment horizontal="center" vertical="center"/>
    </xf>
    <xf numFmtId="165" fontId="1" fillId="0" borderId="223" xfId="1" applyNumberFormat="1" applyFont="1" applyFill="1" applyBorder="1" applyAlignment="1">
      <alignment horizontal="center" vertical="center"/>
    </xf>
    <xf numFmtId="0" fontId="23" fillId="0" borderId="249" xfId="0" applyFont="1" applyBorder="1" applyAlignment="1">
      <alignment horizontal="center" vertical="center" wrapText="1"/>
    </xf>
    <xf numFmtId="0" fontId="23" fillId="0" borderId="251" xfId="0" applyFont="1" applyBorder="1" applyAlignment="1">
      <alignment horizontal="center" vertical="center" wrapText="1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137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5" fillId="8" borderId="29" xfId="0" applyFont="1" applyFill="1" applyBorder="1" applyAlignment="1">
      <alignment horizontal="center" vertical="center"/>
    </xf>
    <xf numFmtId="0" fontId="35" fillId="8" borderId="30" xfId="0" applyFont="1" applyFill="1" applyBorder="1" applyAlignment="1">
      <alignment horizontal="center" vertical="center"/>
    </xf>
    <xf numFmtId="0" fontId="35" fillId="8" borderId="35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horizontal="center" vertical="center"/>
    </xf>
    <xf numFmtId="0" fontId="35" fillId="8" borderId="79" xfId="0" applyFont="1" applyFill="1" applyBorder="1" applyAlignment="1">
      <alignment horizontal="center" vertical="center"/>
    </xf>
    <xf numFmtId="0" fontId="35" fillId="8" borderId="27" xfId="0" applyFont="1" applyFill="1" applyBorder="1" applyAlignment="1">
      <alignment horizontal="center" vertical="center"/>
    </xf>
    <xf numFmtId="0" fontId="35" fillId="8" borderId="76" xfId="0" applyFont="1" applyFill="1" applyBorder="1" applyAlignment="1">
      <alignment horizontal="center" vertical="center"/>
    </xf>
    <xf numFmtId="0" fontId="35" fillId="8" borderId="73" xfId="0" applyFont="1" applyFill="1" applyBorder="1" applyAlignment="1">
      <alignment horizontal="center" vertical="center"/>
    </xf>
    <xf numFmtId="0" fontId="35" fillId="8" borderId="75" xfId="0" applyFont="1" applyFill="1" applyBorder="1" applyAlignment="1">
      <alignment horizontal="center" vertical="center"/>
    </xf>
    <xf numFmtId="0" fontId="35" fillId="8" borderId="76" xfId="0" applyFont="1" applyFill="1" applyBorder="1" applyAlignment="1">
      <alignment horizontal="center" vertical="center" wrapText="1"/>
    </xf>
    <xf numFmtId="0" fontId="35" fillId="8" borderId="73" xfId="0" applyFont="1" applyFill="1" applyBorder="1" applyAlignment="1">
      <alignment horizontal="center" vertical="center" wrapText="1"/>
    </xf>
    <xf numFmtId="0" fontId="35" fillId="8" borderId="75" xfId="0" applyFont="1" applyFill="1" applyBorder="1" applyAlignment="1">
      <alignment horizontal="center" vertical="center" wrapText="1"/>
    </xf>
    <xf numFmtId="0" fontId="35" fillId="8" borderId="31" xfId="0" applyFont="1" applyFill="1" applyBorder="1" applyAlignment="1">
      <alignment horizontal="center" vertical="center"/>
    </xf>
    <xf numFmtId="0" fontId="35" fillId="8" borderId="39" xfId="0" applyFont="1" applyFill="1" applyBorder="1" applyAlignment="1">
      <alignment horizontal="center" vertical="center" wrapText="1"/>
    </xf>
    <xf numFmtId="0" fontId="35" fillId="8" borderId="38" xfId="0" applyFont="1" applyFill="1" applyBorder="1" applyAlignment="1">
      <alignment horizontal="center" vertical="center"/>
    </xf>
    <xf numFmtId="0" fontId="35" fillId="8" borderId="53" xfId="0" applyFont="1" applyFill="1" applyBorder="1" applyAlignment="1">
      <alignment horizontal="center" vertical="center"/>
    </xf>
    <xf numFmtId="0" fontId="35" fillId="8" borderId="60" xfId="0" applyFont="1" applyFill="1" applyBorder="1" applyAlignment="1">
      <alignment horizontal="center" vertical="center"/>
    </xf>
    <xf numFmtId="0" fontId="35" fillId="8" borderId="78" xfId="0" applyFont="1" applyFill="1" applyBorder="1" applyAlignment="1">
      <alignment horizontal="center" vertical="center" wrapText="1"/>
    </xf>
    <xf numFmtId="0" fontId="35" fillId="8" borderId="80" xfId="0" applyFont="1" applyFill="1" applyBorder="1" applyAlignment="1">
      <alignment horizontal="center" vertical="center" wrapText="1"/>
    </xf>
    <xf numFmtId="0" fontId="36" fillId="5" borderId="36" xfId="0" applyFont="1" applyFill="1" applyBorder="1" applyAlignment="1">
      <alignment horizontal="left" vertical="center" wrapText="1"/>
    </xf>
    <xf numFmtId="0" fontId="36" fillId="5" borderId="82" xfId="0" applyFont="1" applyFill="1" applyBorder="1" applyAlignment="1">
      <alignment horizontal="left" vertical="center" wrapText="1"/>
    </xf>
    <xf numFmtId="0" fontId="35" fillId="5" borderId="86" xfId="0" applyFont="1" applyFill="1" applyBorder="1" applyAlignment="1">
      <alignment horizontal="left" vertical="center" wrapText="1"/>
    </xf>
    <xf numFmtId="0" fontId="35" fillId="5" borderId="87" xfId="0" applyFont="1" applyFill="1" applyBorder="1" applyAlignment="1">
      <alignment horizontal="left" vertical="center" wrapText="1"/>
    </xf>
    <xf numFmtId="41" fontId="24" fillId="5" borderId="46" xfId="0" applyNumberFormat="1" applyFont="1" applyFill="1" applyBorder="1" applyAlignment="1">
      <alignment horizontal="center" vertical="center"/>
    </xf>
    <xf numFmtId="41" fontId="24" fillId="5" borderId="81" xfId="0" applyNumberFormat="1" applyFont="1" applyFill="1" applyBorder="1" applyAlignment="1">
      <alignment horizontal="center" vertical="center"/>
    </xf>
    <xf numFmtId="0" fontId="15" fillId="5" borderId="63" xfId="0" applyFont="1" applyFill="1" applyBorder="1" applyAlignment="1">
      <alignment vertical="center" wrapText="1"/>
    </xf>
    <xf numFmtId="0" fontId="15" fillId="5" borderId="66" xfId="0" applyFont="1" applyFill="1" applyBorder="1" applyAlignment="1">
      <alignment vertical="center" wrapText="1"/>
    </xf>
    <xf numFmtId="41" fontId="24" fillId="5" borderId="89" xfId="0" applyNumberFormat="1" applyFont="1" applyFill="1" applyBorder="1" applyAlignment="1">
      <alignment horizontal="center" vertical="center"/>
    </xf>
    <xf numFmtId="41" fontId="24" fillId="5" borderId="45" xfId="0" applyNumberFormat="1" applyFont="1" applyFill="1" applyBorder="1" applyAlignment="1">
      <alignment horizontal="center" vertical="center"/>
    </xf>
    <xf numFmtId="41" fontId="24" fillId="5" borderId="60" xfId="0" applyNumberFormat="1" applyFont="1" applyFill="1" applyBorder="1" applyAlignment="1">
      <alignment horizontal="center" vertical="center"/>
    </xf>
    <xf numFmtId="41" fontId="24" fillId="5" borderId="90" xfId="0" applyNumberFormat="1" applyFont="1" applyFill="1" applyBorder="1" applyAlignment="1">
      <alignment horizontal="center" vertical="center"/>
    </xf>
    <xf numFmtId="41" fontId="24" fillId="5" borderId="80" xfId="0" applyNumberFormat="1" applyFont="1" applyFill="1" applyBorder="1" applyAlignment="1">
      <alignment horizontal="center" vertical="center"/>
    </xf>
    <xf numFmtId="0" fontId="36" fillId="5" borderId="91" xfId="0" applyFont="1" applyFill="1" applyBorder="1" applyAlignment="1">
      <alignment horizontal="center" vertical="center" wrapText="1"/>
    </xf>
    <xf numFmtId="0" fontId="36" fillId="5" borderId="95" xfId="0" applyFont="1" applyFill="1" applyBorder="1" applyAlignment="1">
      <alignment horizontal="center" vertical="center" wrapText="1"/>
    </xf>
    <xf numFmtId="0" fontId="36" fillId="5" borderId="76" xfId="0" applyFont="1" applyFill="1" applyBorder="1" applyAlignment="1">
      <alignment horizontal="right" vertical="center" wrapText="1"/>
    </xf>
    <xf numFmtId="0" fontId="36" fillId="5" borderId="73" xfId="0" applyFont="1" applyFill="1" applyBorder="1" applyAlignment="1">
      <alignment horizontal="right" vertical="center" wrapText="1"/>
    </xf>
    <xf numFmtId="41" fontId="24" fillId="9" borderId="89" xfId="0" applyNumberFormat="1" applyFont="1" applyFill="1" applyBorder="1" applyAlignment="1">
      <alignment horizontal="center" vertical="center"/>
    </xf>
    <xf numFmtId="41" fontId="24" fillId="9" borderId="53" xfId="0" applyNumberFormat="1" applyFont="1" applyFill="1" applyBorder="1" applyAlignment="1">
      <alignment horizontal="center" vertical="center"/>
    </xf>
    <xf numFmtId="0" fontId="35" fillId="10" borderId="28" xfId="0" applyFont="1" applyFill="1" applyBorder="1" applyAlignment="1">
      <alignment horizontal="center" vertical="center" wrapText="1"/>
    </xf>
    <xf numFmtId="0" fontId="35" fillId="10" borderId="53" xfId="0" applyFont="1" applyFill="1" applyBorder="1" applyAlignment="1">
      <alignment horizontal="center" vertical="center" wrapText="1"/>
    </xf>
  </cellXfs>
  <cellStyles count="5">
    <cellStyle name="Excel Built-in Normal" xfId="4"/>
    <cellStyle name="Normal" xfId="0" builtinId="0"/>
    <cellStyle name="Normal_Plan2" xfId="2"/>
    <cellStyle name="Porcentagem" xfId="3" builtinId="5"/>
    <cellStyle name="Vírgula" xfId="1" builtinId="3"/>
  </cellStyles>
  <dxfs count="0"/>
  <tableStyles count="0" defaultTableStyle="TableStyleMedium2" defaultPivotStyle="PivotStyleLight16"/>
  <colors>
    <mruColors>
      <color rgb="FFFFFF99"/>
      <color rgb="FFFF99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2</xdr:row>
      <xdr:rowOff>28575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48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B1:Q72"/>
  <sheetViews>
    <sheetView zoomScaleNormal="100" workbookViewId="0">
      <pane xSplit="5" ySplit="4" topLeftCell="J5" activePane="bottomRight" state="frozen"/>
      <selection pane="topRight" activeCell="F1" sqref="F1"/>
      <selection pane="bottomLeft" activeCell="A5" sqref="A5"/>
      <selection pane="bottomRight" activeCell="C72" sqref="C72"/>
    </sheetView>
  </sheetViews>
  <sheetFormatPr defaultRowHeight="15" x14ac:dyDescent="0.25"/>
  <cols>
    <col min="1" max="2" width="1.7109375" customWidth="1"/>
    <col min="3" max="3" width="24.7109375" customWidth="1"/>
    <col min="4" max="4" width="24.140625" customWidth="1"/>
    <col min="5" max="5" width="62.5703125" style="1" customWidth="1"/>
    <col min="6" max="6" width="11.7109375" bestFit="1" customWidth="1"/>
    <col min="7" max="9" width="18.7109375" style="1" customWidth="1"/>
    <col min="10" max="11" width="16.85546875" style="1" customWidth="1"/>
    <col min="12" max="12" width="18.7109375" style="1" customWidth="1"/>
    <col min="13" max="13" width="13.140625" style="1" customWidth="1"/>
    <col min="14" max="15" width="18.7109375" style="1" customWidth="1"/>
    <col min="16" max="16" width="12.7109375" style="1" customWidth="1"/>
  </cols>
  <sheetData>
    <row r="1" spans="2:17" x14ac:dyDescent="0.25">
      <c r="D1" s="436"/>
      <c r="E1" s="436"/>
      <c r="G1" s="436"/>
      <c r="H1" s="437"/>
      <c r="I1" s="9"/>
      <c r="J1" s="9"/>
      <c r="K1" s="202"/>
    </row>
    <row r="2" spans="2:17" ht="18" customHeight="1" thickBot="1" x14ac:dyDescent="0.3">
      <c r="B2" t="s">
        <v>100</v>
      </c>
      <c r="D2" s="438"/>
      <c r="E2" s="9"/>
      <c r="J2" s="6"/>
      <c r="K2" s="6"/>
      <c r="L2" s="6"/>
      <c r="P2" s="204" t="s">
        <v>81</v>
      </c>
    </row>
    <row r="3" spans="2:17" ht="20.100000000000001" customHeight="1" x14ac:dyDescent="0.25">
      <c r="C3" s="577" t="s">
        <v>106</v>
      </c>
      <c r="D3" s="579" t="s">
        <v>0</v>
      </c>
      <c r="E3" s="581" t="s">
        <v>1</v>
      </c>
      <c r="F3" s="589" t="s">
        <v>238</v>
      </c>
      <c r="G3" s="586" t="s">
        <v>101</v>
      </c>
      <c r="H3" s="587"/>
      <c r="I3" s="588"/>
      <c r="J3" s="583" t="s">
        <v>339</v>
      </c>
      <c r="K3" s="584"/>
      <c r="L3" s="585"/>
      <c r="M3" s="568" t="s">
        <v>245</v>
      </c>
      <c r="N3" s="569"/>
      <c r="O3" s="570" t="s">
        <v>103</v>
      </c>
      <c r="P3" s="572" t="s">
        <v>104</v>
      </c>
    </row>
    <row r="4" spans="2:17" ht="30" customHeight="1" x14ac:dyDescent="0.25">
      <c r="C4" s="578"/>
      <c r="D4" s="580"/>
      <c r="E4" s="582"/>
      <c r="F4" s="590"/>
      <c r="G4" s="4" t="s">
        <v>105</v>
      </c>
      <c r="H4" s="5" t="s">
        <v>5</v>
      </c>
      <c r="I4" s="5" t="s">
        <v>6</v>
      </c>
      <c r="J4" s="2" t="s">
        <v>2</v>
      </c>
      <c r="K4" s="2" t="s">
        <v>3</v>
      </c>
      <c r="L4" s="3" t="s">
        <v>4</v>
      </c>
      <c r="M4" s="242" t="s">
        <v>244</v>
      </c>
      <c r="N4" s="11" t="s">
        <v>102</v>
      </c>
      <c r="O4" s="571"/>
      <c r="P4" s="573"/>
      <c r="Q4" s="12" t="s">
        <v>96</v>
      </c>
    </row>
    <row r="5" spans="2:17" ht="24.95" customHeight="1" x14ac:dyDescent="0.25">
      <c r="C5" s="205" t="s">
        <v>85</v>
      </c>
      <c r="D5" s="206"/>
      <c r="E5" s="206"/>
      <c r="F5" s="207"/>
      <c r="G5" s="38">
        <f>G6+G9</f>
        <v>20588713.43</v>
      </c>
      <c r="H5" s="38">
        <f>H6+H9</f>
        <v>5634983.3900000006</v>
      </c>
      <c r="I5" s="38">
        <f>G5-H5</f>
        <v>14953730.039999999</v>
      </c>
      <c r="J5" s="29">
        <f>J6+J9</f>
        <v>99524320.379004329</v>
      </c>
      <c r="K5" s="29">
        <f>K6+K9</f>
        <v>58584544.250995681</v>
      </c>
      <c r="L5" s="30">
        <f t="shared" ref="L5:L6" si="0">J5+K5</f>
        <v>158108864.63</v>
      </c>
      <c r="M5" s="233"/>
      <c r="N5" s="48">
        <f>N6+N9</f>
        <v>16708961.854900001</v>
      </c>
      <c r="O5" s="49">
        <f t="shared" ref="O5:O36" si="1">N5+L5</f>
        <v>174817826.4849</v>
      </c>
      <c r="P5" s="15"/>
    </row>
    <row r="6" spans="2:17" ht="24.95" customHeight="1" x14ac:dyDescent="0.25">
      <c r="C6" s="208" t="s">
        <v>86</v>
      </c>
      <c r="D6" s="209"/>
      <c r="E6" s="209"/>
      <c r="F6" s="210"/>
      <c r="G6" s="39">
        <f>SUM(G7:G8)</f>
        <v>1831242.56</v>
      </c>
      <c r="H6" s="39">
        <f>SUM(H7:H8)</f>
        <v>1284329.48</v>
      </c>
      <c r="I6" s="39">
        <f t="shared" ref="I6:I9" si="2">G6-H6</f>
        <v>546913.08000000007</v>
      </c>
      <c r="J6" s="31">
        <f>SUM(J7:J8)</f>
        <v>8219424.8139814138</v>
      </c>
      <c r="K6" s="31">
        <f>SUM(K7:K8)</f>
        <v>2662736.5860185875</v>
      </c>
      <c r="L6" s="32">
        <f t="shared" si="0"/>
        <v>10882161.400000002</v>
      </c>
      <c r="M6" s="234"/>
      <c r="N6" s="50">
        <f>SUM(N7:N8)</f>
        <v>672703.08840000012</v>
      </c>
      <c r="O6" s="51">
        <f t="shared" si="1"/>
        <v>11554864.488400003</v>
      </c>
      <c r="P6" s="16"/>
    </row>
    <row r="7" spans="2:17" ht="15" customHeight="1" x14ac:dyDescent="0.25">
      <c r="C7" s="211" t="s">
        <v>153</v>
      </c>
      <c r="D7" s="212" t="s">
        <v>7</v>
      </c>
      <c r="E7" s="213" t="s">
        <v>8</v>
      </c>
      <c r="F7" s="214" t="s">
        <v>239</v>
      </c>
      <c r="G7" s="40">
        <v>0</v>
      </c>
      <c r="H7" s="40">
        <v>0</v>
      </c>
      <c r="I7" s="40">
        <f t="shared" si="2"/>
        <v>0</v>
      </c>
      <c r="J7" s="440">
        <v>8219424.8139814138</v>
      </c>
      <c r="K7" s="440">
        <v>1179906.6260185873</v>
      </c>
      <c r="L7" s="34">
        <f t="shared" ref="L7:L10" si="3">J7+K7</f>
        <v>9399331.4400000013</v>
      </c>
      <c r="M7" s="235">
        <v>0</v>
      </c>
      <c r="N7" s="52">
        <v>0</v>
      </c>
      <c r="O7" s="53">
        <f t="shared" si="1"/>
        <v>9399331.4400000013</v>
      </c>
      <c r="P7" s="17">
        <v>1</v>
      </c>
    </row>
    <row r="8" spans="2:17" ht="15" customHeight="1" x14ac:dyDescent="0.25">
      <c r="C8" s="211" t="s">
        <v>220</v>
      </c>
      <c r="D8" s="212" t="s">
        <v>9</v>
      </c>
      <c r="E8" s="215" t="s">
        <v>10</v>
      </c>
      <c r="F8" s="214" t="s">
        <v>240</v>
      </c>
      <c r="G8" s="40">
        <v>1831242.56</v>
      </c>
      <c r="H8" s="40">
        <v>1284329.48</v>
      </c>
      <c r="I8" s="40">
        <f t="shared" si="2"/>
        <v>546913.08000000007</v>
      </c>
      <c r="J8" s="33">
        <v>1.8189894035458565E-12</v>
      </c>
      <c r="K8" s="33">
        <f>1361184.4+121645.56</f>
        <v>1482829.96</v>
      </c>
      <c r="L8" s="34">
        <f t="shared" si="3"/>
        <v>1482829.96</v>
      </c>
      <c r="M8" s="236">
        <f>1.23</f>
        <v>1.23</v>
      </c>
      <c r="N8" s="54">
        <f>I8*M8</f>
        <v>672703.08840000012</v>
      </c>
      <c r="O8" s="53">
        <f t="shared" si="1"/>
        <v>2155533.0484000002</v>
      </c>
      <c r="P8" s="18">
        <v>0.70099999999999996</v>
      </c>
      <c r="Q8" s="7">
        <v>40299</v>
      </c>
    </row>
    <row r="9" spans="2:17" ht="24.95" customHeight="1" x14ac:dyDescent="0.25">
      <c r="C9" s="208" t="s">
        <v>87</v>
      </c>
      <c r="D9" s="209"/>
      <c r="E9" s="209"/>
      <c r="F9" s="210"/>
      <c r="G9" s="39">
        <f>SUM(G10:G22)</f>
        <v>18757470.870000001</v>
      </c>
      <c r="H9" s="39">
        <f>SUM(H10:H22)</f>
        <v>4350653.91</v>
      </c>
      <c r="I9" s="39">
        <f t="shared" si="2"/>
        <v>14406816.960000001</v>
      </c>
      <c r="J9" s="441">
        <f>SUM(J10:J22)</f>
        <v>91304895.565022916</v>
      </c>
      <c r="K9" s="441">
        <f>SUM(K10:K22)</f>
        <v>55921807.664977096</v>
      </c>
      <c r="L9" s="32">
        <f t="shared" si="3"/>
        <v>147226703.23000002</v>
      </c>
      <c r="M9" s="234"/>
      <c r="N9" s="50">
        <f>SUM(N10:N22)</f>
        <v>16036258.7665</v>
      </c>
      <c r="O9" s="51">
        <f t="shared" si="1"/>
        <v>163262961.99650002</v>
      </c>
      <c r="P9" s="19"/>
    </row>
    <row r="10" spans="2:17" ht="15" customHeight="1" x14ac:dyDescent="0.25">
      <c r="C10" s="211" t="s">
        <v>156</v>
      </c>
      <c r="D10" s="212" t="s">
        <v>11</v>
      </c>
      <c r="E10" s="213" t="s">
        <v>12</v>
      </c>
      <c r="F10" s="214" t="s">
        <v>240</v>
      </c>
      <c r="G10" s="40">
        <v>0</v>
      </c>
      <c r="H10" s="40">
        <v>0</v>
      </c>
      <c r="I10" s="40">
        <v>0</v>
      </c>
      <c r="J10" s="439">
        <v>91304895.565022916</v>
      </c>
      <c r="K10" s="440">
        <v>45827230.714977093</v>
      </c>
      <c r="L10" s="34">
        <f t="shared" si="3"/>
        <v>137132126.28</v>
      </c>
      <c r="M10" s="236">
        <v>1.38</v>
      </c>
      <c r="N10" s="52">
        <v>0</v>
      </c>
      <c r="O10" s="53">
        <f t="shared" si="1"/>
        <v>137132126.28</v>
      </c>
      <c r="P10" s="18">
        <v>0.97</v>
      </c>
      <c r="Q10" s="7">
        <v>39934</v>
      </c>
    </row>
    <row r="11" spans="2:17" ht="15" customHeight="1" x14ac:dyDescent="0.25">
      <c r="C11" s="211" t="s">
        <v>159</v>
      </c>
      <c r="D11" s="212" t="s">
        <v>13</v>
      </c>
      <c r="E11" s="213" t="s">
        <v>14</v>
      </c>
      <c r="F11" s="214" t="s">
        <v>239</v>
      </c>
      <c r="G11" s="40">
        <v>0</v>
      </c>
      <c r="H11" s="40">
        <v>0</v>
      </c>
      <c r="I11" s="40">
        <f t="shared" ref="I11:I63" si="4">G11-H11</f>
        <v>0</v>
      </c>
      <c r="J11" s="33">
        <v>0</v>
      </c>
      <c r="K11" s="33">
        <v>1973773.74</v>
      </c>
      <c r="L11" s="34">
        <f t="shared" ref="L11:L23" si="5">J11+K11</f>
        <v>1973773.74</v>
      </c>
      <c r="M11" s="235">
        <v>0</v>
      </c>
      <c r="N11" s="52">
        <v>0</v>
      </c>
      <c r="O11" s="53">
        <f t="shared" si="1"/>
        <v>1973773.74</v>
      </c>
      <c r="P11" s="17">
        <v>1</v>
      </c>
    </row>
    <row r="12" spans="2:17" ht="15" customHeight="1" x14ac:dyDescent="0.25">
      <c r="C12" s="211" t="s">
        <v>161</v>
      </c>
      <c r="D12" s="212" t="s">
        <v>15</v>
      </c>
      <c r="E12" s="213" t="s">
        <v>16</v>
      </c>
      <c r="F12" s="214" t="s">
        <v>239</v>
      </c>
      <c r="G12" s="40">
        <v>0</v>
      </c>
      <c r="H12" s="40">
        <v>0</v>
      </c>
      <c r="I12" s="40">
        <f t="shared" si="4"/>
        <v>0</v>
      </c>
      <c r="J12" s="33">
        <v>0</v>
      </c>
      <c r="K12" s="33">
        <v>578211.18000000005</v>
      </c>
      <c r="L12" s="34">
        <f t="shared" si="5"/>
        <v>578211.18000000005</v>
      </c>
      <c r="M12" s="235">
        <v>0</v>
      </c>
      <c r="N12" s="52">
        <v>0</v>
      </c>
      <c r="O12" s="53">
        <f t="shared" si="1"/>
        <v>578211.18000000005</v>
      </c>
      <c r="P12" s="17">
        <v>1</v>
      </c>
    </row>
    <row r="13" spans="2:17" ht="15" customHeight="1" x14ac:dyDescent="0.25">
      <c r="C13" s="211" t="s">
        <v>158</v>
      </c>
      <c r="D13" s="212" t="s">
        <v>17</v>
      </c>
      <c r="E13" s="213" t="s">
        <v>18</v>
      </c>
      <c r="F13" s="214" t="s">
        <v>239</v>
      </c>
      <c r="G13" s="40">
        <v>0</v>
      </c>
      <c r="H13" s="40">
        <v>0</v>
      </c>
      <c r="I13" s="40">
        <f t="shared" si="4"/>
        <v>0</v>
      </c>
      <c r="J13" s="33">
        <v>0</v>
      </c>
      <c r="K13" s="33">
        <v>96845.91</v>
      </c>
      <c r="L13" s="34">
        <f t="shared" si="5"/>
        <v>96845.91</v>
      </c>
      <c r="M13" s="235">
        <v>0</v>
      </c>
      <c r="N13" s="52">
        <v>0</v>
      </c>
      <c r="O13" s="53">
        <f t="shared" si="1"/>
        <v>96845.91</v>
      </c>
      <c r="P13" s="17">
        <v>0.18099999999999999</v>
      </c>
    </row>
    <row r="14" spans="2:17" ht="15" customHeight="1" x14ac:dyDescent="0.25">
      <c r="C14" s="211" t="s">
        <v>171</v>
      </c>
      <c r="D14" s="212" t="s">
        <v>19</v>
      </c>
      <c r="E14" s="213" t="s">
        <v>20</v>
      </c>
      <c r="F14" s="214" t="s">
        <v>239</v>
      </c>
      <c r="G14" s="40">
        <v>0</v>
      </c>
      <c r="H14" s="40">
        <v>0</v>
      </c>
      <c r="I14" s="40">
        <f t="shared" si="4"/>
        <v>0</v>
      </c>
      <c r="J14" s="33">
        <v>0</v>
      </c>
      <c r="K14" s="33">
        <v>1643673.88</v>
      </c>
      <c r="L14" s="34">
        <f t="shared" si="5"/>
        <v>1643673.88</v>
      </c>
      <c r="M14" s="235">
        <v>0</v>
      </c>
      <c r="N14" s="52">
        <v>0</v>
      </c>
      <c r="O14" s="53">
        <f t="shared" si="1"/>
        <v>1643673.88</v>
      </c>
      <c r="P14" s="17">
        <v>0.61</v>
      </c>
    </row>
    <row r="15" spans="2:17" ht="15" customHeight="1" x14ac:dyDescent="0.25">
      <c r="C15" s="211" t="s">
        <v>169</v>
      </c>
      <c r="D15" s="212" t="s">
        <v>99</v>
      </c>
      <c r="E15" s="213" t="s">
        <v>21</v>
      </c>
      <c r="F15" s="214" t="s">
        <v>239</v>
      </c>
      <c r="G15" s="40">
        <v>0</v>
      </c>
      <c r="H15" s="40">
        <v>0</v>
      </c>
      <c r="I15" s="40">
        <f t="shared" si="4"/>
        <v>0</v>
      </c>
      <c r="J15" s="33">
        <v>0</v>
      </c>
      <c r="K15" s="33">
        <v>780654.63000000012</v>
      </c>
      <c r="L15" s="34">
        <f t="shared" si="5"/>
        <v>780654.63000000012</v>
      </c>
      <c r="M15" s="235">
        <v>0</v>
      </c>
      <c r="N15" s="52">
        <v>0</v>
      </c>
      <c r="O15" s="53">
        <f t="shared" si="1"/>
        <v>780654.63000000012</v>
      </c>
      <c r="P15" s="17">
        <v>0.38400000000000001</v>
      </c>
    </row>
    <row r="16" spans="2:17" ht="15" customHeight="1" x14ac:dyDescent="0.25">
      <c r="C16" s="211" t="s">
        <v>164</v>
      </c>
      <c r="D16" s="212" t="s">
        <v>22</v>
      </c>
      <c r="E16" s="213" t="s">
        <v>23</v>
      </c>
      <c r="F16" s="214" t="s">
        <v>241</v>
      </c>
      <c r="G16" s="40">
        <v>0</v>
      </c>
      <c r="H16" s="40">
        <v>0</v>
      </c>
      <c r="I16" s="40">
        <f t="shared" si="4"/>
        <v>0</v>
      </c>
      <c r="J16" s="33">
        <v>0</v>
      </c>
      <c r="K16" s="33">
        <v>0</v>
      </c>
      <c r="L16" s="34">
        <f t="shared" si="5"/>
        <v>0</v>
      </c>
      <c r="M16" s="237">
        <v>1</v>
      </c>
      <c r="N16" s="54">
        <f t="shared" ref="N16:N22" si="6">I16*M16</f>
        <v>0</v>
      </c>
      <c r="O16" s="53">
        <f t="shared" si="1"/>
        <v>0</v>
      </c>
      <c r="P16" s="20" t="s">
        <v>108</v>
      </c>
      <c r="Q16" s="7">
        <v>40603</v>
      </c>
    </row>
    <row r="17" spans="3:17" ht="15" customHeight="1" x14ac:dyDescent="0.25">
      <c r="C17" s="211" t="s">
        <v>165</v>
      </c>
      <c r="D17" s="212" t="s">
        <v>24</v>
      </c>
      <c r="E17" s="213" t="s">
        <v>25</v>
      </c>
      <c r="F17" s="214" t="s">
        <v>240</v>
      </c>
      <c r="G17" s="40">
        <v>1949816.57</v>
      </c>
      <c r="H17" s="40">
        <v>787342.7</v>
      </c>
      <c r="I17" s="40">
        <f t="shared" si="4"/>
        <v>1162473.8700000001</v>
      </c>
      <c r="J17" s="33">
        <v>0</v>
      </c>
      <c r="K17" s="33">
        <v>964698.7100000002</v>
      </c>
      <c r="L17" s="34">
        <f t="shared" si="5"/>
        <v>964698.7100000002</v>
      </c>
      <c r="M17" s="236">
        <v>1.32</v>
      </c>
      <c r="N17" s="54">
        <f t="shared" si="6"/>
        <v>1534465.5084000002</v>
      </c>
      <c r="O17" s="53">
        <f t="shared" si="1"/>
        <v>2499164.2184000006</v>
      </c>
      <c r="P17" s="20">
        <v>0.40400000000000003</v>
      </c>
      <c r="Q17" s="7">
        <v>40299</v>
      </c>
    </row>
    <row r="18" spans="3:17" ht="15" customHeight="1" x14ac:dyDescent="0.25">
      <c r="C18" s="211" t="s">
        <v>162</v>
      </c>
      <c r="D18" s="212" t="s">
        <v>26</v>
      </c>
      <c r="E18" s="213" t="s">
        <v>27</v>
      </c>
      <c r="F18" s="214" t="s">
        <v>240</v>
      </c>
      <c r="G18" s="40">
        <v>2174720</v>
      </c>
      <c r="H18" s="40">
        <v>1841979</v>
      </c>
      <c r="I18" s="40">
        <f t="shared" si="4"/>
        <v>332741</v>
      </c>
      <c r="J18" s="33">
        <v>0</v>
      </c>
      <c r="K18" s="33">
        <v>2125243.09</v>
      </c>
      <c r="L18" s="34">
        <f t="shared" si="5"/>
        <v>2125243.09</v>
      </c>
      <c r="M18" s="236">
        <f>1.23</f>
        <v>1.23</v>
      </c>
      <c r="N18" s="54">
        <f t="shared" si="6"/>
        <v>409271.43</v>
      </c>
      <c r="O18" s="53">
        <f t="shared" si="1"/>
        <v>2534514.52</v>
      </c>
      <c r="P18" s="20">
        <v>0.84699999999999998</v>
      </c>
      <c r="Q18" s="7">
        <v>40299</v>
      </c>
    </row>
    <row r="19" spans="3:17" ht="15" customHeight="1" x14ac:dyDescent="0.25">
      <c r="C19" s="211" t="s">
        <v>166</v>
      </c>
      <c r="D19" s="212" t="s">
        <v>17</v>
      </c>
      <c r="E19" s="213" t="s">
        <v>28</v>
      </c>
      <c r="F19" s="214" t="s">
        <v>240</v>
      </c>
      <c r="G19" s="40">
        <v>1050000</v>
      </c>
      <c r="H19" s="40">
        <v>333859.09999999998</v>
      </c>
      <c r="I19" s="40">
        <f t="shared" si="4"/>
        <v>716140.9</v>
      </c>
      <c r="J19" s="33">
        <v>0</v>
      </c>
      <c r="K19" s="33">
        <v>353435.77</v>
      </c>
      <c r="L19" s="34">
        <f t="shared" si="5"/>
        <v>353435.77</v>
      </c>
      <c r="M19" s="238">
        <v>1.1499999999999999</v>
      </c>
      <c r="N19" s="54">
        <v>823562</v>
      </c>
      <c r="O19" s="53">
        <f t="shared" si="1"/>
        <v>1176997.77</v>
      </c>
      <c r="P19" s="20">
        <v>0.318</v>
      </c>
      <c r="Q19" s="7">
        <v>40725</v>
      </c>
    </row>
    <row r="20" spans="3:17" ht="15" customHeight="1" x14ac:dyDescent="0.25">
      <c r="C20" s="211" t="s">
        <v>167</v>
      </c>
      <c r="D20" s="212" t="s">
        <v>29</v>
      </c>
      <c r="E20" s="213" t="s">
        <v>30</v>
      </c>
      <c r="F20" s="214" t="s">
        <v>240</v>
      </c>
      <c r="G20" s="40">
        <v>1892508.02</v>
      </c>
      <c r="H20" s="40">
        <v>516201.44</v>
      </c>
      <c r="I20" s="40">
        <f t="shared" si="4"/>
        <v>1376306.58</v>
      </c>
      <c r="J20" s="33">
        <v>0</v>
      </c>
      <c r="K20" s="33">
        <v>625741.44000000006</v>
      </c>
      <c r="L20" s="34">
        <f t="shared" si="5"/>
        <v>625741.44000000006</v>
      </c>
      <c r="M20" s="236">
        <f>1.23</f>
        <v>1.23</v>
      </c>
      <c r="N20" s="55">
        <f t="shared" si="6"/>
        <v>1692857.0934000001</v>
      </c>
      <c r="O20" s="53">
        <f t="shared" si="1"/>
        <v>2318598.5334000001</v>
      </c>
      <c r="P20" s="20">
        <v>0.27300000000000002</v>
      </c>
      <c r="Q20" s="7">
        <v>40299</v>
      </c>
    </row>
    <row r="21" spans="3:17" ht="15" customHeight="1" x14ac:dyDescent="0.25">
      <c r="C21" s="216" t="s">
        <v>172</v>
      </c>
      <c r="D21" s="212" t="s">
        <v>24</v>
      </c>
      <c r="E21" s="213" t="s">
        <v>31</v>
      </c>
      <c r="F21" s="217" t="s">
        <v>240</v>
      </c>
      <c r="G21" s="40">
        <v>2155705.98</v>
      </c>
      <c r="H21" s="40">
        <v>612917.44999999995</v>
      </c>
      <c r="I21" s="40">
        <f t="shared" si="4"/>
        <v>1542788.53</v>
      </c>
      <c r="J21" s="33">
        <v>0</v>
      </c>
      <c r="K21" s="33">
        <f>640219.63+37637.69+5949.16</f>
        <v>683806.4800000001</v>
      </c>
      <c r="L21" s="34">
        <f t="shared" si="5"/>
        <v>683806.4800000001</v>
      </c>
      <c r="M21" s="238">
        <v>1.19</v>
      </c>
      <c r="N21" s="55">
        <f>I21*M21</f>
        <v>1835918.3506999998</v>
      </c>
      <c r="O21" s="53">
        <f t="shared" si="1"/>
        <v>2519724.8306999998</v>
      </c>
      <c r="P21" s="20">
        <v>0.27</v>
      </c>
      <c r="Q21" s="7">
        <v>41030</v>
      </c>
    </row>
    <row r="22" spans="3:17" ht="15" customHeight="1" x14ac:dyDescent="0.25">
      <c r="C22" s="218" t="s">
        <v>173</v>
      </c>
      <c r="D22" s="212" t="s">
        <v>32</v>
      </c>
      <c r="E22" s="213" t="s">
        <v>33</v>
      </c>
      <c r="F22" s="219" t="s">
        <v>240</v>
      </c>
      <c r="G22" s="40">
        <v>9534720.3000000007</v>
      </c>
      <c r="H22" s="40">
        <v>258354.22</v>
      </c>
      <c r="I22" s="40">
        <f t="shared" si="4"/>
        <v>9276366.0800000001</v>
      </c>
      <c r="J22" s="33">
        <v>0</v>
      </c>
      <c r="K22" s="33">
        <v>268492.12</v>
      </c>
      <c r="L22" s="34">
        <f t="shared" si="5"/>
        <v>268492.12</v>
      </c>
      <c r="M22" s="238">
        <v>1.05</v>
      </c>
      <c r="N22" s="55">
        <f t="shared" si="6"/>
        <v>9740184.3839999996</v>
      </c>
      <c r="O22" s="53">
        <f t="shared" si="1"/>
        <v>10008676.503999999</v>
      </c>
      <c r="P22" s="20">
        <v>2.1000000000000001E-2</v>
      </c>
      <c r="Q22" s="7">
        <v>41395</v>
      </c>
    </row>
    <row r="23" spans="3:17" ht="24.95" customHeight="1" x14ac:dyDescent="0.25">
      <c r="C23" s="220" t="s">
        <v>88</v>
      </c>
      <c r="D23" s="206"/>
      <c r="E23" s="206"/>
      <c r="F23" s="207"/>
      <c r="G23" s="38">
        <f>G24+G47</f>
        <v>1349700564.3599999</v>
      </c>
      <c r="H23" s="38">
        <f>H24+H47</f>
        <v>999107501.44999993</v>
      </c>
      <c r="I23" s="38">
        <f t="shared" si="4"/>
        <v>350593062.90999997</v>
      </c>
      <c r="J23" s="29">
        <f>J24+J47</f>
        <v>858874897.68999994</v>
      </c>
      <c r="K23" s="29">
        <f>K24+K47</f>
        <v>472615878.96000004</v>
      </c>
      <c r="L23" s="30">
        <f t="shared" si="5"/>
        <v>1331490776.6500001</v>
      </c>
      <c r="M23" s="233"/>
      <c r="N23" s="48">
        <f>N24+N47</f>
        <v>423539809.94310004</v>
      </c>
      <c r="O23" s="49">
        <f t="shared" si="1"/>
        <v>1755030586.5931001</v>
      </c>
      <c r="P23" s="21"/>
    </row>
    <row r="24" spans="3:17" ht="24.95" customHeight="1" x14ac:dyDescent="0.25">
      <c r="C24" s="208" t="s">
        <v>89</v>
      </c>
      <c r="D24" s="209"/>
      <c r="E24" s="209"/>
      <c r="F24" s="210"/>
      <c r="G24" s="39">
        <f>G25+G35+G42+G46</f>
        <v>1340200564.3599999</v>
      </c>
      <c r="H24" s="39">
        <f>H25+H35+H42+H46</f>
        <v>998693972.36999989</v>
      </c>
      <c r="I24" s="39">
        <f t="shared" si="4"/>
        <v>341506591.99000001</v>
      </c>
      <c r="J24" s="31">
        <f>J25+J35+J42+J46</f>
        <v>858874897.68999994</v>
      </c>
      <c r="K24" s="31">
        <f>K25+K35+K42+K46</f>
        <v>460796915.83000004</v>
      </c>
      <c r="L24" s="32">
        <f>J24+K24</f>
        <v>1319671813.52</v>
      </c>
      <c r="M24" s="234"/>
      <c r="N24" s="50">
        <f>N25+N35+N42+N46</f>
        <v>414453339.02310002</v>
      </c>
      <c r="O24" s="51">
        <f t="shared" si="1"/>
        <v>1734125152.5430999</v>
      </c>
      <c r="P24" s="19"/>
    </row>
    <row r="25" spans="3:17" ht="24.95" customHeight="1" x14ac:dyDescent="0.25">
      <c r="C25" s="221" t="s">
        <v>34</v>
      </c>
      <c r="D25" s="222"/>
      <c r="E25" s="222"/>
      <c r="F25" s="223"/>
      <c r="G25" s="41">
        <f>SUM(G26:G34)</f>
        <v>890318081.97000003</v>
      </c>
      <c r="H25" s="41">
        <f>SUM(H26:H34)</f>
        <v>622735269.83999991</v>
      </c>
      <c r="I25" s="41">
        <f t="shared" si="4"/>
        <v>267582812.13000011</v>
      </c>
      <c r="J25" s="35">
        <f>SUM(J26:J34)</f>
        <v>526730709.63999999</v>
      </c>
      <c r="K25" s="35">
        <f>SUM(K26:K34)</f>
        <v>233951443.5</v>
      </c>
      <c r="L25" s="36">
        <f>J25+K25</f>
        <v>760682153.13999999</v>
      </c>
      <c r="M25" s="234"/>
      <c r="N25" s="56">
        <f>SUM(N26:N34)</f>
        <v>327293389.47890002</v>
      </c>
      <c r="O25" s="57">
        <f t="shared" si="1"/>
        <v>1087975542.6189001</v>
      </c>
      <c r="P25" s="19"/>
    </row>
    <row r="26" spans="3:17" ht="15" customHeight="1" x14ac:dyDescent="0.25">
      <c r="C26" s="211" t="s">
        <v>221</v>
      </c>
      <c r="D26" s="212" t="s">
        <v>35</v>
      </c>
      <c r="E26" s="213" t="s">
        <v>36</v>
      </c>
      <c r="F26" s="214" t="s">
        <v>242</v>
      </c>
      <c r="G26" s="40">
        <v>0</v>
      </c>
      <c r="H26" s="40">
        <v>0</v>
      </c>
      <c r="I26" s="40">
        <f t="shared" si="4"/>
        <v>0</v>
      </c>
      <c r="J26" s="33">
        <v>4112608.42</v>
      </c>
      <c r="K26" s="33">
        <v>2101872.9900000002</v>
      </c>
      <c r="L26" s="34">
        <f>J26+K26</f>
        <v>6214481.4100000001</v>
      </c>
      <c r="M26" s="239"/>
      <c r="N26" s="58"/>
      <c r="O26" s="53">
        <f t="shared" si="1"/>
        <v>6214481.4100000001</v>
      </c>
      <c r="P26" s="18">
        <v>8.3000000000000004E-2</v>
      </c>
    </row>
    <row r="27" spans="3:17" ht="15" customHeight="1" x14ac:dyDescent="0.25">
      <c r="C27" s="211" t="s">
        <v>222</v>
      </c>
      <c r="D27" s="212" t="s">
        <v>35</v>
      </c>
      <c r="E27" s="213" t="s">
        <v>37</v>
      </c>
      <c r="F27" s="214" t="s">
        <v>243</v>
      </c>
      <c r="G27" s="40">
        <v>0</v>
      </c>
      <c r="H27" s="40">
        <v>0</v>
      </c>
      <c r="I27" s="40">
        <f t="shared" si="4"/>
        <v>0</v>
      </c>
      <c r="J27" s="33">
        <v>1464838.36</v>
      </c>
      <c r="K27" s="33">
        <v>459694.71</v>
      </c>
      <c r="L27" s="34">
        <f t="shared" ref="L27:L34" si="7">J27+K27</f>
        <v>1924533.07</v>
      </c>
      <c r="M27" s="239"/>
      <c r="N27" s="58"/>
      <c r="O27" s="53">
        <f t="shared" si="1"/>
        <v>1924533.07</v>
      </c>
      <c r="P27" s="18">
        <v>4.7E-2</v>
      </c>
    </row>
    <row r="28" spans="3:17" ht="15" customHeight="1" x14ac:dyDescent="0.25">
      <c r="C28" s="211" t="s">
        <v>223</v>
      </c>
      <c r="D28" s="212" t="s">
        <v>38</v>
      </c>
      <c r="E28" s="213" t="s">
        <v>39</v>
      </c>
      <c r="F28" s="214" t="s">
        <v>239</v>
      </c>
      <c r="G28" s="40">
        <v>0</v>
      </c>
      <c r="H28" s="40">
        <v>0</v>
      </c>
      <c r="I28" s="40">
        <f t="shared" si="4"/>
        <v>0</v>
      </c>
      <c r="J28" s="33">
        <v>0</v>
      </c>
      <c r="K28" s="33">
        <f>35982283.56+320814.71</f>
        <v>36303098.270000003</v>
      </c>
      <c r="L28" s="34">
        <f t="shared" si="7"/>
        <v>36303098.270000003</v>
      </c>
      <c r="M28" s="239"/>
      <c r="N28" s="58"/>
      <c r="O28" s="53">
        <f t="shared" si="1"/>
        <v>36303098.270000003</v>
      </c>
      <c r="P28" s="18">
        <v>0.91400000000000003</v>
      </c>
    </row>
    <row r="29" spans="3:17" ht="15" customHeight="1" x14ac:dyDescent="0.25">
      <c r="C29" s="211" t="s">
        <v>224</v>
      </c>
      <c r="D29" s="212" t="s">
        <v>40</v>
      </c>
      <c r="E29" s="213" t="s">
        <v>41</v>
      </c>
      <c r="F29" s="214" t="s">
        <v>240</v>
      </c>
      <c r="G29" s="40">
        <v>163460446.02000001</v>
      </c>
      <c r="H29" s="40">
        <v>125973060.45</v>
      </c>
      <c r="I29" s="40">
        <f t="shared" si="4"/>
        <v>37487385.570000008</v>
      </c>
      <c r="J29" s="33">
        <v>108221903.01000001</v>
      </c>
      <c r="K29" s="33">
        <v>37414942.030000001</v>
      </c>
      <c r="L29" s="34">
        <f t="shared" si="7"/>
        <v>145636845.04000002</v>
      </c>
      <c r="M29" s="236">
        <v>1.28</v>
      </c>
      <c r="N29" s="55">
        <f t="shared" ref="N29:N34" si="8">I29*M29</f>
        <v>47983853.529600009</v>
      </c>
      <c r="O29" s="53">
        <f t="shared" si="1"/>
        <v>193620698.56960005</v>
      </c>
      <c r="P29" s="18">
        <v>0.63500000000000001</v>
      </c>
      <c r="Q29" s="7">
        <v>40238</v>
      </c>
    </row>
    <row r="30" spans="3:17" ht="15" customHeight="1" x14ac:dyDescent="0.25">
      <c r="C30" s="211" t="s">
        <v>225</v>
      </c>
      <c r="D30" s="212" t="s">
        <v>42</v>
      </c>
      <c r="E30" s="213" t="s">
        <v>43</v>
      </c>
      <c r="F30" s="214" t="s">
        <v>240</v>
      </c>
      <c r="G30" s="40">
        <v>185042993.09</v>
      </c>
      <c r="H30" s="40">
        <v>164060999.06</v>
      </c>
      <c r="I30" s="40">
        <f t="shared" si="4"/>
        <v>20981994.030000001</v>
      </c>
      <c r="J30" s="33">
        <v>142690205.41</v>
      </c>
      <c r="K30" s="33">
        <v>52364485.100000001</v>
      </c>
      <c r="L30" s="34">
        <f t="shared" si="7"/>
        <v>195054690.50999999</v>
      </c>
      <c r="M30" s="236">
        <v>1.38</v>
      </c>
      <c r="N30" s="55">
        <f t="shared" si="8"/>
        <v>28955151.761399999</v>
      </c>
      <c r="O30" s="53">
        <f t="shared" si="1"/>
        <v>224009842.27139997</v>
      </c>
      <c r="P30" s="18">
        <v>0.86</v>
      </c>
      <c r="Q30" s="7">
        <v>40238</v>
      </c>
    </row>
    <row r="31" spans="3:17" ht="15" customHeight="1" x14ac:dyDescent="0.25">
      <c r="C31" s="211" t="s">
        <v>226</v>
      </c>
      <c r="D31" s="212" t="s">
        <v>44</v>
      </c>
      <c r="E31" s="213" t="s">
        <v>45</v>
      </c>
      <c r="F31" s="214" t="s">
        <v>240</v>
      </c>
      <c r="G31" s="40">
        <v>231196317.28999999</v>
      </c>
      <c r="H31" s="40">
        <v>152449098.56999999</v>
      </c>
      <c r="I31" s="40">
        <f t="shared" si="4"/>
        <v>78747218.719999999</v>
      </c>
      <c r="J31" s="33">
        <v>129804040.61</v>
      </c>
      <c r="K31" s="33">
        <v>41465953.130000003</v>
      </c>
      <c r="L31" s="34">
        <f t="shared" si="7"/>
        <v>171269993.74000001</v>
      </c>
      <c r="M31" s="236">
        <v>1.3</v>
      </c>
      <c r="N31" s="55">
        <f t="shared" si="8"/>
        <v>102371384.336</v>
      </c>
      <c r="O31" s="53">
        <f t="shared" si="1"/>
        <v>273641378.07599998</v>
      </c>
      <c r="P31" s="18">
        <v>0.44800000000000001</v>
      </c>
      <c r="Q31" s="7">
        <v>40238</v>
      </c>
    </row>
    <row r="32" spans="3:17" ht="15" customHeight="1" x14ac:dyDescent="0.25">
      <c r="C32" s="211" t="s">
        <v>227</v>
      </c>
      <c r="D32" s="212" t="s">
        <v>46</v>
      </c>
      <c r="E32" s="213" t="s">
        <v>47</v>
      </c>
      <c r="F32" s="214" t="s">
        <v>240</v>
      </c>
      <c r="G32" s="40">
        <v>32457734.870000001</v>
      </c>
      <c r="H32" s="40">
        <v>28761847.350000001</v>
      </c>
      <c r="I32" s="40">
        <f t="shared" si="4"/>
        <v>3695887.5199999996</v>
      </c>
      <c r="J32" s="33">
        <f>24369442.66+109025.47</f>
        <v>24478468.129999999</v>
      </c>
      <c r="K32" s="33">
        <v>11482067.27</v>
      </c>
      <c r="L32" s="34">
        <f t="shared" si="7"/>
        <v>35960535.399999999</v>
      </c>
      <c r="M32" s="236">
        <v>1.42</v>
      </c>
      <c r="N32" s="55">
        <f t="shared" si="8"/>
        <v>5248160.2783999993</v>
      </c>
      <c r="O32" s="53">
        <f t="shared" si="1"/>
        <v>41208695.678399995</v>
      </c>
      <c r="P32" s="18">
        <v>0.83499999999999996</v>
      </c>
      <c r="Q32" s="7">
        <v>40483</v>
      </c>
    </row>
    <row r="33" spans="3:17" ht="15" customHeight="1" x14ac:dyDescent="0.25">
      <c r="C33" s="211" t="s">
        <v>228</v>
      </c>
      <c r="D33" s="212" t="s">
        <v>48</v>
      </c>
      <c r="E33" s="213" t="s">
        <v>49</v>
      </c>
      <c r="F33" s="214" t="s">
        <v>240</v>
      </c>
      <c r="G33" s="40">
        <v>67933612.75</v>
      </c>
      <c r="H33" s="40">
        <v>45283741.719999999</v>
      </c>
      <c r="I33" s="40">
        <f t="shared" si="4"/>
        <v>22649871.030000001</v>
      </c>
      <c r="J33" s="33">
        <f>34813651.6+2646548.62</f>
        <v>37460200.219999999</v>
      </c>
      <c r="K33" s="33">
        <v>14133673.34</v>
      </c>
      <c r="L33" s="34">
        <f t="shared" si="7"/>
        <v>51593873.560000002</v>
      </c>
      <c r="M33" s="236">
        <v>1.25</v>
      </c>
      <c r="N33" s="55">
        <f>I33*M33</f>
        <v>28312338.787500001</v>
      </c>
      <c r="O33" s="53">
        <f t="shared" si="1"/>
        <v>79906212.347499996</v>
      </c>
      <c r="P33" s="18">
        <v>0.72499999999999998</v>
      </c>
      <c r="Q33" s="7">
        <v>41244</v>
      </c>
    </row>
    <row r="34" spans="3:17" ht="15" customHeight="1" x14ac:dyDescent="0.25">
      <c r="C34" s="211" t="s">
        <v>229</v>
      </c>
      <c r="D34" s="212" t="s">
        <v>50</v>
      </c>
      <c r="E34" s="213" t="s">
        <v>51</v>
      </c>
      <c r="F34" s="214" t="s">
        <v>240</v>
      </c>
      <c r="G34" s="40">
        <v>210226977.94999999</v>
      </c>
      <c r="H34" s="40">
        <v>106206522.69</v>
      </c>
      <c r="I34" s="40">
        <f t="shared" si="4"/>
        <v>104020455.25999999</v>
      </c>
      <c r="J34" s="33">
        <v>78498445.480000004</v>
      </c>
      <c r="K34" s="33">
        <v>38225656.659999996</v>
      </c>
      <c r="L34" s="34">
        <f t="shared" si="7"/>
        <v>116724102.14</v>
      </c>
      <c r="M34" s="236">
        <v>1.1000000000000001</v>
      </c>
      <c r="N34" s="55">
        <f t="shared" si="8"/>
        <v>114422500.786</v>
      </c>
      <c r="O34" s="53">
        <f t="shared" si="1"/>
        <v>231146602.926</v>
      </c>
      <c r="P34" s="22">
        <v>0.50700000000000001</v>
      </c>
      <c r="Q34" s="7">
        <v>41244</v>
      </c>
    </row>
    <row r="35" spans="3:17" ht="24.95" customHeight="1" x14ac:dyDescent="0.25">
      <c r="C35" s="221" t="s">
        <v>52</v>
      </c>
      <c r="D35" s="222"/>
      <c r="E35" s="222"/>
      <c r="F35" s="223"/>
      <c r="G35" s="41">
        <f>SUM(G36:G41)</f>
        <v>79583878.069999993</v>
      </c>
      <c r="H35" s="41">
        <f>SUM(H36:H41)</f>
        <v>78750271.760000005</v>
      </c>
      <c r="I35" s="41">
        <f t="shared" si="4"/>
        <v>833606.30999998748</v>
      </c>
      <c r="J35" s="35">
        <f>SUM(J36:J41)</f>
        <v>173207557.15000001</v>
      </c>
      <c r="K35" s="35">
        <f>SUM(K36:K41)</f>
        <v>45605341.109999999</v>
      </c>
      <c r="L35" s="36">
        <f>J35+K35</f>
        <v>218812898.25999999</v>
      </c>
      <c r="M35" s="234"/>
      <c r="N35" s="56">
        <f>SUM(N36:N41)</f>
        <v>1100360.3291999835</v>
      </c>
      <c r="O35" s="57">
        <f t="shared" si="1"/>
        <v>219913258.58919996</v>
      </c>
      <c r="P35" s="19"/>
    </row>
    <row r="36" spans="3:17" ht="24.95" customHeight="1" x14ac:dyDescent="0.25">
      <c r="C36" s="211" t="s">
        <v>83</v>
      </c>
      <c r="D36" s="212" t="s">
        <v>82</v>
      </c>
      <c r="E36" s="215"/>
      <c r="F36" s="214"/>
      <c r="G36" s="42">
        <v>0</v>
      </c>
      <c r="H36" s="42">
        <v>0</v>
      </c>
      <c r="I36" s="42">
        <f t="shared" si="4"/>
        <v>0</v>
      </c>
      <c r="J36" s="33">
        <v>0</v>
      </c>
      <c r="K36" s="33">
        <v>30823.68</v>
      </c>
      <c r="L36" s="34">
        <f>J36+K36</f>
        <v>30823.68</v>
      </c>
      <c r="M36" s="234"/>
      <c r="N36" s="57"/>
      <c r="O36" s="53">
        <f t="shared" si="1"/>
        <v>30823.68</v>
      </c>
      <c r="P36" s="19" t="s">
        <v>108</v>
      </c>
    </row>
    <row r="37" spans="3:17" ht="15" customHeight="1" x14ac:dyDescent="0.25">
      <c r="C37" s="211" t="s">
        <v>230</v>
      </c>
      <c r="D37" s="212" t="s">
        <v>53</v>
      </c>
      <c r="E37" s="213" t="s">
        <v>54</v>
      </c>
      <c r="F37" s="214" t="s">
        <v>239</v>
      </c>
      <c r="G37" s="40">
        <v>0</v>
      </c>
      <c r="H37" s="40">
        <v>0</v>
      </c>
      <c r="I37" s="40">
        <f t="shared" si="4"/>
        <v>0</v>
      </c>
      <c r="J37" s="33">
        <v>25371647.719999999</v>
      </c>
      <c r="K37" s="33">
        <v>5174776.6900000004</v>
      </c>
      <c r="L37" s="34">
        <f t="shared" ref="L37:L41" si="9">J37+K37</f>
        <v>30546424.41</v>
      </c>
      <c r="M37" s="240"/>
      <c r="N37" s="54"/>
      <c r="O37" s="53">
        <f t="shared" ref="O37:O63" si="10">N37+L37</f>
        <v>30546424.41</v>
      </c>
      <c r="P37" s="18" t="s">
        <v>109</v>
      </c>
    </row>
    <row r="38" spans="3:17" ht="15" customHeight="1" x14ac:dyDescent="0.25">
      <c r="C38" s="211" t="s">
        <v>231</v>
      </c>
      <c r="D38" s="212" t="s">
        <v>53</v>
      </c>
      <c r="E38" s="213" t="s">
        <v>55</v>
      </c>
      <c r="F38" s="214" t="s">
        <v>242</v>
      </c>
      <c r="G38" s="40">
        <v>0</v>
      </c>
      <c r="H38" s="40">
        <v>0</v>
      </c>
      <c r="I38" s="40">
        <f t="shared" si="4"/>
        <v>0</v>
      </c>
      <c r="J38" s="33">
        <v>20603624.5</v>
      </c>
      <c r="K38" s="33">
        <v>5749891.3099999996</v>
      </c>
      <c r="L38" s="34">
        <f t="shared" si="9"/>
        <v>26353515.809999999</v>
      </c>
      <c r="M38" s="240"/>
      <c r="N38" s="54"/>
      <c r="O38" s="53">
        <f t="shared" si="10"/>
        <v>26353515.809999999</v>
      </c>
      <c r="P38" s="18">
        <v>0.624</v>
      </c>
    </row>
    <row r="39" spans="3:17" ht="15" customHeight="1" x14ac:dyDescent="0.25">
      <c r="C39" s="211" t="s">
        <v>232</v>
      </c>
      <c r="D39" s="212" t="s">
        <v>56</v>
      </c>
      <c r="E39" s="213" t="s">
        <v>57</v>
      </c>
      <c r="F39" s="214" t="s">
        <v>242</v>
      </c>
      <c r="G39" s="40">
        <v>0</v>
      </c>
      <c r="H39" s="40">
        <v>0</v>
      </c>
      <c r="I39" s="40">
        <f t="shared" si="4"/>
        <v>0</v>
      </c>
      <c r="J39" s="33">
        <v>15117489.619999999</v>
      </c>
      <c r="K39" s="33">
        <v>4798509.74</v>
      </c>
      <c r="L39" s="34">
        <f t="shared" si="9"/>
        <v>19915999.359999999</v>
      </c>
      <c r="M39" s="240"/>
      <c r="N39" s="54"/>
      <c r="O39" s="53">
        <f t="shared" si="10"/>
        <v>19915999.359999999</v>
      </c>
      <c r="P39" s="18">
        <v>1</v>
      </c>
    </row>
    <row r="40" spans="3:17" ht="15" customHeight="1" x14ac:dyDescent="0.25">
      <c r="C40" s="211" t="s">
        <v>197</v>
      </c>
      <c r="D40" s="212" t="s">
        <v>58</v>
      </c>
      <c r="E40" s="213" t="s">
        <v>59</v>
      </c>
      <c r="F40" s="214" t="s">
        <v>239</v>
      </c>
      <c r="G40" s="40">
        <v>0</v>
      </c>
      <c r="H40" s="40">
        <v>0</v>
      </c>
      <c r="I40" s="40">
        <f t="shared" si="4"/>
        <v>0</v>
      </c>
      <c r="J40" s="33">
        <v>43247313.939999998</v>
      </c>
      <c r="K40" s="33">
        <v>11019782.15</v>
      </c>
      <c r="L40" s="34">
        <f t="shared" si="9"/>
        <v>54267096.089999996</v>
      </c>
      <c r="M40" s="240"/>
      <c r="N40" s="54"/>
      <c r="O40" s="53">
        <f t="shared" si="10"/>
        <v>54267096.089999996</v>
      </c>
      <c r="P40" s="18">
        <v>0.56100000000000005</v>
      </c>
    </row>
    <row r="41" spans="3:17" ht="15" customHeight="1" x14ac:dyDescent="0.25">
      <c r="C41" s="211" t="s">
        <v>233</v>
      </c>
      <c r="D41" s="212" t="s">
        <v>60</v>
      </c>
      <c r="E41" s="213" t="s">
        <v>61</v>
      </c>
      <c r="F41" s="214" t="s">
        <v>240</v>
      </c>
      <c r="G41" s="43">
        <v>79583878.069999993</v>
      </c>
      <c r="H41" s="43">
        <v>78750271.760000005</v>
      </c>
      <c r="I41" s="43">
        <f t="shared" si="4"/>
        <v>833606.30999998748</v>
      </c>
      <c r="J41" s="33">
        <v>68867481.370000005</v>
      </c>
      <c r="K41" s="33">
        <v>18831557.539999999</v>
      </c>
      <c r="L41" s="34">
        <f t="shared" si="9"/>
        <v>87699038.909999996</v>
      </c>
      <c r="M41" s="236">
        <v>1.32</v>
      </c>
      <c r="N41" s="59">
        <f>I41*M41</f>
        <v>1100360.3291999835</v>
      </c>
      <c r="O41" s="53">
        <f t="shared" si="10"/>
        <v>88799399.239199981</v>
      </c>
      <c r="P41" s="23">
        <v>0.99099999999999999</v>
      </c>
      <c r="Q41" s="7">
        <v>40360</v>
      </c>
    </row>
    <row r="42" spans="3:17" ht="24.95" customHeight="1" x14ac:dyDescent="0.25">
      <c r="C42" s="221" t="s">
        <v>62</v>
      </c>
      <c r="D42" s="222"/>
      <c r="E42" s="222"/>
      <c r="F42" s="223"/>
      <c r="G42" s="41">
        <f>SUM(G43:G45)</f>
        <v>370298604.31999999</v>
      </c>
      <c r="H42" s="41">
        <f>SUM(H43:H45)</f>
        <v>297208430.76999998</v>
      </c>
      <c r="I42" s="41">
        <f t="shared" si="4"/>
        <v>73090173.550000012</v>
      </c>
      <c r="J42" s="35">
        <f>SUM(J43:J45)</f>
        <v>158936630.89999998</v>
      </c>
      <c r="K42" s="35">
        <f>SUM(K43:K45)</f>
        <v>181240131.22</v>
      </c>
      <c r="L42" s="36">
        <f>J42+K42</f>
        <v>340176762.12</v>
      </c>
      <c r="M42" s="234"/>
      <c r="N42" s="56">
        <f>SUM(N43:N45)</f>
        <v>86059589.215000004</v>
      </c>
      <c r="O42" s="57">
        <f t="shared" si="10"/>
        <v>426236351.33500004</v>
      </c>
      <c r="P42" s="19"/>
    </row>
    <row r="43" spans="3:17" ht="15" customHeight="1" x14ac:dyDescent="0.25">
      <c r="C43" s="211" t="s">
        <v>200</v>
      </c>
      <c r="D43" s="212" t="s">
        <v>35</v>
      </c>
      <c r="E43" s="224" t="s">
        <v>97</v>
      </c>
      <c r="F43" s="214" t="s">
        <v>242</v>
      </c>
      <c r="G43" s="40">
        <v>0</v>
      </c>
      <c r="H43" s="40">
        <v>0</v>
      </c>
      <c r="I43" s="40">
        <f t="shared" si="4"/>
        <v>0</v>
      </c>
      <c r="J43" s="33">
        <v>19308457.079999998</v>
      </c>
      <c r="K43" s="33">
        <v>2450847.9300000002</v>
      </c>
      <c r="L43" s="34">
        <f>J43+K43</f>
        <v>21759305.009999998</v>
      </c>
      <c r="M43" s="240"/>
      <c r="N43" s="54"/>
      <c r="O43" s="53">
        <f t="shared" si="10"/>
        <v>21759305.009999998</v>
      </c>
      <c r="P43" s="18">
        <v>1</v>
      </c>
    </row>
    <row r="44" spans="3:17" ht="26.25" customHeight="1" x14ac:dyDescent="0.25">
      <c r="C44" s="211" t="s">
        <v>201</v>
      </c>
      <c r="D44" s="212" t="s">
        <v>63</v>
      </c>
      <c r="E44" s="225" t="s">
        <v>107</v>
      </c>
      <c r="F44" s="214" t="s">
        <v>240</v>
      </c>
      <c r="G44" s="43">
        <f>355567943.52</f>
        <v>355567943.51999998</v>
      </c>
      <c r="H44" s="43">
        <v>284345925.70999998</v>
      </c>
      <c r="I44" s="43">
        <f t="shared" si="4"/>
        <v>71222017.810000002</v>
      </c>
      <c r="J44" s="33">
        <f>134606696.15+5021477.67</f>
        <v>139628173.81999999</v>
      </c>
      <c r="K44" s="33">
        <f>160915033.8+4744134.26</f>
        <v>165659168.06</v>
      </c>
      <c r="L44" s="34">
        <f t="shared" ref="L44:L46" si="11">J44+K44</f>
        <v>305287341.88</v>
      </c>
      <c r="M44" s="236">
        <v>1.18</v>
      </c>
      <c r="N44" s="55">
        <f>I44*M44</f>
        <v>84041981.015799999</v>
      </c>
      <c r="O44" s="53">
        <f t="shared" si="10"/>
        <v>389329322.89579999</v>
      </c>
      <c r="P44" s="23">
        <v>0.77500000000000002</v>
      </c>
      <c r="Q44" s="7">
        <v>41153</v>
      </c>
    </row>
    <row r="45" spans="3:17" ht="22.5" customHeight="1" x14ac:dyDescent="0.25">
      <c r="C45" s="211" t="s">
        <v>203</v>
      </c>
      <c r="D45" s="212" t="s">
        <v>64</v>
      </c>
      <c r="E45" s="213" t="s">
        <v>98</v>
      </c>
      <c r="F45" s="214" t="s">
        <v>240</v>
      </c>
      <c r="G45" s="43">
        <v>14730660.800000001</v>
      </c>
      <c r="H45" s="43">
        <v>12862505.059999999</v>
      </c>
      <c r="I45" s="43">
        <f t="shared" si="4"/>
        <v>1868155.7400000021</v>
      </c>
      <c r="J45" s="33">
        <v>0</v>
      </c>
      <c r="K45" s="33">
        <v>13130115.23</v>
      </c>
      <c r="L45" s="34">
        <f t="shared" si="11"/>
        <v>13130115.23</v>
      </c>
      <c r="M45" s="236">
        <v>1.08</v>
      </c>
      <c r="N45" s="59">
        <f>I45*M45</f>
        <v>2017608.1992000025</v>
      </c>
      <c r="O45" s="53">
        <f t="shared" si="10"/>
        <v>15147723.429200003</v>
      </c>
      <c r="P45" s="24">
        <v>0.84399999999999997</v>
      </c>
      <c r="Q45" s="7">
        <v>41426</v>
      </c>
    </row>
    <row r="46" spans="3:17" ht="22.5" customHeight="1" x14ac:dyDescent="0.25">
      <c r="C46" s="221" t="s">
        <v>65</v>
      </c>
      <c r="D46" s="222"/>
      <c r="E46" s="222"/>
      <c r="F46" s="223"/>
      <c r="G46" s="42"/>
      <c r="H46" s="42"/>
      <c r="I46" s="42">
        <f t="shared" si="4"/>
        <v>0</v>
      </c>
      <c r="J46" s="35">
        <v>0</v>
      </c>
      <c r="K46" s="35">
        <v>0</v>
      </c>
      <c r="L46" s="36">
        <f t="shared" si="11"/>
        <v>0</v>
      </c>
      <c r="M46" s="234"/>
      <c r="N46" s="57">
        <v>0</v>
      </c>
      <c r="O46" s="57">
        <f t="shared" si="10"/>
        <v>0</v>
      </c>
      <c r="P46" s="19"/>
    </row>
    <row r="47" spans="3:17" ht="24.95" customHeight="1" x14ac:dyDescent="0.25">
      <c r="C47" s="226" t="s">
        <v>90</v>
      </c>
      <c r="D47" s="209"/>
      <c r="E47" s="209"/>
      <c r="F47" s="210"/>
      <c r="G47" s="39">
        <f>G48+G50+G52</f>
        <v>9500000</v>
      </c>
      <c r="H47" s="39">
        <f>H48+H50+H52</f>
        <v>413529.08</v>
      </c>
      <c r="I47" s="39">
        <f t="shared" si="4"/>
        <v>9086470.9199999999</v>
      </c>
      <c r="J47" s="31">
        <f>J48+J50+J52</f>
        <v>0</v>
      </c>
      <c r="K47" s="31">
        <f>K48+K50+K52</f>
        <v>11818963.130000001</v>
      </c>
      <c r="L47" s="32">
        <f t="shared" ref="L47:L53" si="12">J47+K47</f>
        <v>11818963.130000001</v>
      </c>
      <c r="M47" s="234"/>
      <c r="N47" s="31">
        <f>N48+N50+N52</f>
        <v>9086470.9199999999</v>
      </c>
      <c r="O47" s="51">
        <f t="shared" si="10"/>
        <v>20905434.050000001</v>
      </c>
      <c r="P47" s="19"/>
    </row>
    <row r="48" spans="3:17" ht="24.75" customHeight="1" x14ac:dyDescent="0.25">
      <c r="C48" s="221" t="s">
        <v>66</v>
      </c>
      <c r="D48" s="222"/>
      <c r="E48" s="222"/>
      <c r="F48" s="223"/>
      <c r="G48" s="41">
        <f>SUM(G49:G49)</f>
        <v>9500000</v>
      </c>
      <c r="H48" s="41">
        <f>SUM(H49:H49)</f>
        <v>413529.08</v>
      </c>
      <c r="I48" s="41">
        <f t="shared" si="4"/>
        <v>9086470.9199999999</v>
      </c>
      <c r="J48" s="35">
        <f>SUM(J49:J49)</f>
        <v>0</v>
      </c>
      <c r="K48" s="35">
        <f>SUM(K49:K49)</f>
        <v>413529.08</v>
      </c>
      <c r="L48" s="36">
        <f t="shared" si="12"/>
        <v>413529.08</v>
      </c>
      <c r="M48" s="234"/>
      <c r="N48" s="50">
        <f>N49</f>
        <v>9086470.9199999999</v>
      </c>
      <c r="O48" s="57">
        <f t="shared" si="10"/>
        <v>9500000</v>
      </c>
      <c r="P48" s="19"/>
    </row>
    <row r="49" spans="3:17" ht="15" customHeight="1" x14ac:dyDescent="0.25">
      <c r="C49" s="216" t="s">
        <v>234</v>
      </c>
      <c r="D49" s="227" t="s">
        <v>67</v>
      </c>
      <c r="E49" s="228" t="s">
        <v>68</v>
      </c>
      <c r="F49" s="214" t="s">
        <v>240</v>
      </c>
      <c r="G49" s="44">
        <v>9500000</v>
      </c>
      <c r="H49" s="44">
        <v>413529.08</v>
      </c>
      <c r="I49" s="44">
        <f t="shared" si="4"/>
        <v>9086470.9199999999</v>
      </c>
      <c r="J49" s="33">
        <v>0</v>
      </c>
      <c r="K49" s="33">
        <v>413529.08</v>
      </c>
      <c r="L49" s="34">
        <f t="shared" si="12"/>
        <v>413529.08</v>
      </c>
      <c r="M49" s="236">
        <v>1</v>
      </c>
      <c r="N49" s="55">
        <f>I49*M49</f>
        <v>9086470.9199999999</v>
      </c>
      <c r="O49" s="53">
        <f t="shared" si="10"/>
        <v>9500000</v>
      </c>
      <c r="P49" s="20">
        <v>4.3999999999999997E-2</v>
      </c>
      <c r="Q49" s="7">
        <v>41974</v>
      </c>
    </row>
    <row r="50" spans="3:17" ht="24.95" customHeight="1" x14ac:dyDescent="0.25">
      <c r="C50" s="221" t="s">
        <v>69</v>
      </c>
      <c r="D50" s="222"/>
      <c r="E50" s="222"/>
      <c r="F50" s="223"/>
      <c r="G50" s="41">
        <f>G51</f>
        <v>0</v>
      </c>
      <c r="H50" s="41">
        <f>H51</f>
        <v>0</v>
      </c>
      <c r="I50" s="41">
        <f t="shared" si="4"/>
        <v>0</v>
      </c>
      <c r="J50" s="35">
        <f>J51</f>
        <v>0</v>
      </c>
      <c r="K50" s="35">
        <f>K51</f>
        <v>2811934.0500000003</v>
      </c>
      <c r="L50" s="36">
        <f t="shared" si="12"/>
        <v>2811934.0500000003</v>
      </c>
      <c r="M50" s="234"/>
      <c r="N50" s="56">
        <f>N51</f>
        <v>0</v>
      </c>
      <c r="O50" s="57">
        <f t="shared" si="10"/>
        <v>2811934.0500000003</v>
      </c>
      <c r="P50" s="19"/>
    </row>
    <row r="51" spans="3:17" ht="18.75" customHeight="1" x14ac:dyDescent="0.25">
      <c r="C51" s="211" t="s">
        <v>206</v>
      </c>
      <c r="D51" s="212" t="s">
        <v>70</v>
      </c>
      <c r="E51" s="224" t="s">
        <v>71</v>
      </c>
      <c r="F51" s="214" t="s">
        <v>239</v>
      </c>
      <c r="G51" s="40">
        <v>0</v>
      </c>
      <c r="H51" s="40">
        <v>0</v>
      </c>
      <c r="I51" s="40">
        <f t="shared" si="4"/>
        <v>0</v>
      </c>
      <c r="J51" s="33">
        <v>0</v>
      </c>
      <c r="K51" s="33">
        <v>2811934.0500000003</v>
      </c>
      <c r="L51" s="34">
        <f t="shared" si="12"/>
        <v>2811934.0500000003</v>
      </c>
      <c r="M51" s="239"/>
      <c r="N51" s="58"/>
      <c r="O51" s="53">
        <f t="shared" si="10"/>
        <v>2811934.0500000003</v>
      </c>
      <c r="P51" s="25">
        <v>1</v>
      </c>
    </row>
    <row r="52" spans="3:17" ht="24.95" customHeight="1" x14ac:dyDescent="0.25">
      <c r="C52" s="221" t="s">
        <v>72</v>
      </c>
      <c r="D52" s="222"/>
      <c r="E52" s="222"/>
      <c r="F52" s="223"/>
      <c r="G52" s="41">
        <f>SUM(G53:G55)</f>
        <v>0</v>
      </c>
      <c r="H52" s="41">
        <f>SUM(H53:H55)</f>
        <v>0</v>
      </c>
      <c r="I52" s="41">
        <f t="shared" si="4"/>
        <v>0</v>
      </c>
      <c r="J52" s="35">
        <f>SUM(J53:J55)</f>
        <v>0</v>
      </c>
      <c r="K52" s="35">
        <f>SUM(K53:K55)</f>
        <v>8593500</v>
      </c>
      <c r="L52" s="36">
        <f t="shared" si="12"/>
        <v>8593500</v>
      </c>
      <c r="M52" s="236"/>
      <c r="N52" s="56">
        <f>SUM(N53:N55)</f>
        <v>0</v>
      </c>
      <c r="O52" s="57">
        <f t="shared" si="10"/>
        <v>8593500</v>
      </c>
      <c r="P52" s="26"/>
    </row>
    <row r="53" spans="3:17" ht="27" customHeight="1" x14ac:dyDescent="0.25">
      <c r="C53" s="216" t="s">
        <v>235</v>
      </c>
      <c r="D53" s="13" t="s">
        <v>73</v>
      </c>
      <c r="E53" s="229" t="s">
        <v>74</v>
      </c>
      <c r="F53" s="217" t="s">
        <v>239</v>
      </c>
      <c r="G53" s="45">
        <v>0</v>
      </c>
      <c r="H53" s="45">
        <v>0</v>
      </c>
      <c r="I53" s="45">
        <f t="shared" si="4"/>
        <v>0</v>
      </c>
      <c r="J53" s="33">
        <v>0</v>
      </c>
      <c r="K53" s="33">
        <v>4285000</v>
      </c>
      <c r="L53" s="34">
        <f t="shared" si="12"/>
        <v>4285000</v>
      </c>
      <c r="M53" s="236"/>
      <c r="N53" s="60"/>
      <c r="O53" s="53">
        <f t="shared" si="10"/>
        <v>4285000</v>
      </c>
      <c r="P53" s="17">
        <v>1</v>
      </c>
    </row>
    <row r="54" spans="3:17" ht="27" customHeight="1" x14ac:dyDescent="0.25">
      <c r="C54" s="216" t="s">
        <v>236</v>
      </c>
      <c r="D54" s="13" t="s">
        <v>75</v>
      </c>
      <c r="E54" s="230" t="s">
        <v>76</v>
      </c>
      <c r="F54" s="217" t="s">
        <v>239</v>
      </c>
      <c r="G54" s="45">
        <v>0</v>
      </c>
      <c r="H54" s="45">
        <v>0</v>
      </c>
      <c r="I54" s="45">
        <f t="shared" si="4"/>
        <v>0</v>
      </c>
      <c r="J54" s="33">
        <v>0</v>
      </c>
      <c r="K54" s="33">
        <v>4308500</v>
      </c>
      <c r="L54" s="34">
        <f t="shared" ref="L54:L55" si="13">J54+K54</f>
        <v>4308500</v>
      </c>
      <c r="M54" s="241"/>
      <c r="N54" s="61"/>
      <c r="O54" s="53">
        <f t="shared" si="10"/>
        <v>4308500</v>
      </c>
      <c r="P54" s="27">
        <v>1</v>
      </c>
    </row>
    <row r="55" spans="3:17" ht="27" customHeight="1" x14ac:dyDescent="0.25">
      <c r="C55" s="216" t="s">
        <v>237</v>
      </c>
      <c r="D55" s="13" t="s">
        <v>77</v>
      </c>
      <c r="E55" s="230" t="s">
        <v>76</v>
      </c>
      <c r="F55" s="217" t="s">
        <v>239</v>
      </c>
      <c r="G55" s="45">
        <v>0</v>
      </c>
      <c r="H55" s="45">
        <v>0</v>
      </c>
      <c r="I55" s="45">
        <f t="shared" si="4"/>
        <v>0</v>
      </c>
      <c r="J55" s="33">
        <v>0</v>
      </c>
      <c r="K55" s="33">
        <v>0</v>
      </c>
      <c r="L55" s="34">
        <f t="shared" si="13"/>
        <v>0</v>
      </c>
      <c r="M55" s="241"/>
      <c r="N55" s="61"/>
      <c r="O55" s="53">
        <f t="shared" si="10"/>
        <v>0</v>
      </c>
      <c r="P55" s="27">
        <v>1</v>
      </c>
    </row>
    <row r="56" spans="3:17" ht="24.95" customHeight="1" x14ac:dyDescent="0.25">
      <c r="C56" s="220" t="s">
        <v>91</v>
      </c>
      <c r="D56" s="206"/>
      <c r="E56" s="206"/>
      <c r="F56" s="207"/>
      <c r="G56" s="38">
        <f>G57+G58</f>
        <v>0</v>
      </c>
      <c r="H56" s="38">
        <f>H57+H58</f>
        <v>0</v>
      </c>
      <c r="I56" s="38">
        <f t="shared" si="4"/>
        <v>0</v>
      </c>
      <c r="J56" s="29">
        <f>J57+J58</f>
        <v>0</v>
      </c>
      <c r="K56" s="29">
        <f>K57+K58</f>
        <v>1806314.26</v>
      </c>
      <c r="L56" s="30">
        <f t="shared" ref="L56:L63" si="14">J56+K56</f>
        <v>1806314.26</v>
      </c>
      <c r="M56" s="233"/>
      <c r="N56" s="48">
        <f>N57+N58</f>
        <v>2286781</v>
      </c>
      <c r="O56" s="49">
        <f t="shared" si="10"/>
        <v>4093095.26</v>
      </c>
      <c r="P56" s="21"/>
    </row>
    <row r="57" spans="3:17" ht="24.95" customHeight="1" x14ac:dyDescent="0.25">
      <c r="C57" s="208" t="s">
        <v>92</v>
      </c>
      <c r="D57" s="209"/>
      <c r="E57" s="209"/>
      <c r="F57" s="210"/>
      <c r="G57" s="39">
        <v>0</v>
      </c>
      <c r="H57" s="39">
        <v>0</v>
      </c>
      <c r="I57" s="39">
        <f t="shared" si="4"/>
        <v>0</v>
      </c>
      <c r="J57" s="31">
        <v>0</v>
      </c>
      <c r="K57" s="31">
        <v>0</v>
      </c>
      <c r="L57" s="32">
        <f t="shared" si="14"/>
        <v>0</v>
      </c>
      <c r="M57" s="234"/>
      <c r="N57" s="57"/>
      <c r="O57" s="51">
        <f t="shared" si="10"/>
        <v>0</v>
      </c>
      <c r="P57" s="19"/>
    </row>
    <row r="58" spans="3:17" ht="24.95" customHeight="1" x14ac:dyDescent="0.25">
      <c r="C58" s="226" t="s">
        <v>93</v>
      </c>
      <c r="D58" s="209"/>
      <c r="E58" s="209"/>
      <c r="F58" s="210"/>
      <c r="G58" s="39">
        <f>G59</f>
        <v>0</v>
      </c>
      <c r="H58" s="39">
        <f>H59</f>
        <v>0</v>
      </c>
      <c r="I58" s="39">
        <f t="shared" si="4"/>
        <v>0</v>
      </c>
      <c r="J58" s="31">
        <f>J59</f>
        <v>0</v>
      </c>
      <c r="K58" s="31">
        <f>K59</f>
        <v>1806314.26</v>
      </c>
      <c r="L58" s="32">
        <f t="shared" si="14"/>
        <v>1806314.26</v>
      </c>
      <c r="M58" s="234"/>
      <c r="N58" s="50">
        <f>N59</f>
        <v>2286781</v>
      </c>
      <c r="O58" s="51">
        <f t="shared" si="10"/>
        <v>4093095.26</v>
      </c>
      <c r="P58" s="19"/>
    </row>
    <row r="59" spans="3:17" ht="24.95" customHeight="1" x14ac:dyDescent="0.25">
      <c r="C59" s="221" t="s">
        <v>78</v>
      </c>
      <c r="D59" s="222"/>
      <c r="E59" s="222"/>
      <c r="F59" s="223"/>
      <c r="G59" s="41">
        <f>G60</f>
        <v>0</v>
      </c>
      <c r="H59" s="41">
        <f>H60</f>
        <v>0</v>
      </c>
      <c r="I59" s="41">
        <f t="shared" si="4"/>
        <v>0</v>
      </c>
      <c r="J59" s="35">
        <f>J60</f>
        <v>0</v>
      </c>
      <c r="K59" s="35">
        <f>K60</f>
        <v>1806314.26</v>
      </c>
      <c r="L59" s="36">
        <f t="shared" si="14"/>
        <v>1806314.26</v>
      </c>
      <c r="M59" s="234"/>
      <c r="N59" s="56">
        <f>N60</f>
        <v>2286781</v>
      </c>
      <c r="O59" s="57">
        <f t="shared" si="10"/>
        <v>4093095.26</v>
      </c>
      <c r="P59" s="19"/>
    </row>
    <row r="60" spans="3:17" ht="15" customHeight="1" x14ac:dyDescent="0.25">
      <c r="C60" s="216" t="s">
        <v>213</v>
      </c>
      <c r="D60" s="13" t="s">
        <v>79</v>
      </c>
      <c r="E60" s="230" t="s">
        <v>80</v>
      </c>
      <c r="F60" s="217" t="s">
        <v>240</v>
      </c>
      <c r="G60" s="46"/>
      <c r="H60" s="46"/>
      <c r="I60" s="46">
        <f t="shared" si="4"/>
        <v>0</v>
      </c>
      <c r="J60" s="33">
        <v>0</v>
      </c>
      <c r="K60" s="33">
        <v>1806314.26</v>
      </c>
      <c r="L60" s="34">
        <f t="shared" si="14"/>
        <v>1806314.26</v>
      </c>
      <c r="M60" s="241">
        <v>1.1073999999999999</v>
      </c>
      <c r="N60" s="61">
        <f>2065000*M60</f>
        <v>2286781</v>
      </c>
      <c r="O60" s="53">
        <f t="shared" si="10"/>
        <v>4093095.26</v>
      </c>
      <c r="P60" s="27">
        <v>0.503</v>
      </c>
    </row>
    <row r="61" spans="3:17" ht="24.95" customHeight="1" x14ac:dyDescent="0.25">
      <c r="C61" s="220" t="s">
        <v>94</v>
      </c>
      <c r="D61" s="206"/>
      <c r="E61" s="206"/>
      <c r="F61" s="207"/>
      <c r="G61" s="38">
        <v>0</v>
      </c>
      <c r="H61" s="38">
        <v>0</v>
      </c>
      <c r="I61" s="38">
        <f t="shared" si="4"/>
        <v>0</v>
      </c>
      <c r="J61" s="29">
        <v>0</v>
      </c>
      <c r="K61" s="29">
        <v>0</v>
      </c>
      <c r="L61" s="30">
        <f t="shared" si="14"/>
        <v>0</v>
      </c>
      <c r="M61" s="233"/>
      <c r="N61" s="62"/>
      <c r="O61" s="49">
        <f t="shared" si="10"/>
        <v>0</v>
      </c>
      <c r="P61" s="21"/>
    </row>
    <row r="62" spans="3:17" ht="24.95" customHeight="1" thickBot="1" x14ac:dyDescent="0.3">
      <c r="C62" s="220" t="s">
        <v>95</v>
      </c>
      <c r="D62" s="206"/>
      <c r="E62" s="206"/>
      <c r="F62" s="231"/>
      <c r="G62" s="38">
        <v>0</v>
      </c>
      <c r="H62" s="38">
        <v>0</v>
      </c>
      <c r="I62" s="38">
        <f t="shared" si="4"/>
        <v>0</v>
      </c>
      <c r="J62" s="29">
        <v>0</v>
      </c>
      <c r="K62" s="29">
        <v>52325175.829999998</v>
      </c>
      <c r="L62" s="30">
        <f t="shared" si="14"/>
        <v>52325175.829999998</v>
      </c>
      <c r="M62" s="233"/>
      <c r="N62" s="62"/>
      <c r="O62" s="49">
        <f t="shared" si="10"/>
        <v>52325175.829999998</v>
      </c>
      <c r="P62" s="21"/>
    </row>
    <row r="63" spans="3:17" ht="30" customHeight="1" thickBot="1" x14ac:dyDescent="0.3">
      <c r="C63" s="574" t="s">
        <v>84</v>
      </c>
      <c r="D63" s="575"/>
      <c r="E63" s="576"/>
      <c r="F63" s="232"/>
      <c r="G63" s="47">
        <f>G5+G23+G56+G61+G62</f>
        <v>1370289277.79</v>
      </c>
      <c r="H63" s="47">
        <f>H5+H23+H56+H61+H62</f>
        <v>1004742484.8399999</v>
      </c>
      <c r="I63" s="47">
        <f t="shared" si="4"/>
        <v>365546792.95000005</v>
      </c>
      <c r="J63" s="37">
        <f>J5+J23+J56+J61+J62</f>
        <v>958399218.0690043</v>
      </c>
      <c r="K63" s="37">
        <f>K5+K23+K56+K61+K62</f>
        <v>585331913.30099571</v>
      </c>
      <c r="L63" s="37">
        <f t="shared" si="14"/>
        <v>1543731131.3699999</v>
      </c>
      <c r="M63" s="14"/>
      <c r="N63" s="63">
        <f>N5+N23+N56+N61+N62</f>
        <v>442535552.79800004</v>
      </c>
      <c r="O63" s="63">
        <f t="shared" si="10"/>
        <v>1986266684.168</v>
      </c>
      <c r="P63" s="28" t="s">
        <v>108</v>
      </c>
    </row>
    <row r="64" spans="3:17" x14ac:dyDescent="0.25">
      <c r="J64" s="9"/>
      <c r="K64" s="9"/>
      <c r="L64" s="9"/>
    </row>
    <row r="65" spans="10:15" x14ac:dyDescent="0.25">
      <c r="J65" s="6"/>
      <c r="K65" s="6"/>
      <c r="L65" s="6"/>
    </row>
    <row r="66" spans="10:15" x14ac:dyDescent="0.25">
      <c r="J66" s="6">
        <v>958399218.13252926</v>
      </c>
      <c r="K66" s="6">
        <v>585331913.35820103</v>
      </c>
      <c r="L66" s="6">
        <v>1543731131.49073</v>
      </c>
      <c r="O66" s="6"/>
    </row>
    <row r="67" spans="10:15" x14ac:dyDescent="0.25">
      <c r="J67" s="1">
        <v>419324075.97013533</v>
      </c>
      <c r="K67" s="1">
        <v>235151526.58657613</v>
      </c>
      <c r="L67" s="1">
        <v>654475602.55671155</v>
      </c>
    </row>
    <row r="68" spans="10:15" x14ac:dyDescent="0.25">
      <c r="J68" s="202"/>
      <c r="K68" s="202"/>
      <c r="L68" s="202"/>
    </row>
    <row r="69" spans="10:15" x14ac:dyDescent="0.25">
      <c r="J69" s="6">
        <f>J63-J66</f>
        <v>-6.3524961471557617E-2</v>
      </c>
      <c r="K69" s="6">
        <f>K63-K66</f>
        <v>-5.7205319404602051E-2</v>
      </c>
      <c r="L69" s="6">
        <f>L63-L66</f>
        <v>-0.12073016166687012</v>
      </c>
    </row>
    <row r="72" spans="10:15" x14ac:dyDescent="0.25">
      <c r="K72" s="1">
        <f>52380176-52325176</f>
        <v>55000</v>
      </c>
    </row>
  </sheetData>
  <mergeCells count="10">
    <mergeCell ref="M3:N3"/>
    <mergeCell ref="O3:O4"/>
    <mergeCell ref="P3:P4"/>
    <mergeCell ref="C63:E63"/>
    <mergeCell ref="C3:C4"/>
    <mergeCell ref="D3:D4"/>
    <mergeCell ref="E3:E4"/>
    <mergeCell ref="J3:L3"/>
    <mergeCell ref="G3:I3"/>
    <mergeCell ref="F3:F4"/>
  </mergeCells>
  <printOptions horizontalCentered="1"/>
  <pageMargins left="0.51181102362204722" right="0.31496062992125984" top="0.78740157480314965" bottom="0.39370078740157483" header="0.31496062992125984" footer="0.31496062992125984"/>
  <pageSetup paperSize="8" scale="6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pageSetUpPr fitToPage="1"/>
  </sheetPr>
  <dimension ref="B2:O97"/>
  <sheetViews>
    <sheetView zoomScale="80" zoomScaleNormal="80" workbookViewId="0">
      <selection activeCell="I72" sqref="I72"/>
    </sheetView>
  </sheetViews>
  <sheetFormatPr defaultRowHeight="15" x14ac:dyDescent="0.25"/>
  <cols>
    <col min="1" max="1" width="1.140625" customWidth="1"/>
    <col min="2" max="2" width="58.7109375" customWidth="1"/>
    <col min="3" max="3" width="21.85546875" customWidth="1"/>
    <col min="4" max="4" width="7.42578125" customWidth="1"/>
    <col min="5" max="5" width="22.7109375" customWidth="1"/>
    <col min="6" max="7" width="22.7109375" hidden="1" customWidth="1"/>
    <col min="8" max="12" width="22.7109375" customWidth="1"/>
    <col min="13" max="13" width="12" customWidth="1"/>
  </cols>
  <sheetData>
    <row r="2" spans="2:14" ht="20.25" x14ac:dyDescent="0.3">
      <c r="B2" s="623" t="s">
        <v>110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</row>
    <row r="3" spans="2:14" ht="20.25" x14ac:dyDescent="0.3">
      <c r="B3" s="623" t="s">
        <v>111</v>
      </c>
      <c r="C3" s="623"/>
      <c r="D3" s="623"/>
      <c r="E3" s="623"/>
      <c r="F3" s="623"/>
      <c r="G3" s="623"/>
      <c r="H3" s="623"/>
      <c r="I3" s="623"/>
      <c r="J3" s="623"/>
      <c r="K3" s="623"/>
      <c r="L3" s="623"/>
    </row>
    <row r="5" spans="2:14" ht="28.5" customHeight="1" thickBot="1" x14ac:dyDescent="0.35">
      <c r="I5" s="111"/>
      <c r="J5" s="111"/>
      <c r="K5" s="111"/>
      <c r="L5" s="201" t="s">
        <v>145</v>
      </c>
    </row>
    <row r="6" spans="2:14" ht="28.5" customHeight="1" thickBot="1" x14ac:dyDescent="0.3">
      <c r="B6" s="800" t="s">
        <v>146</v>
      </c>
      <c r="C6" s="801"/>
      <c r="D6" s="801"/>
      <c r="E6" s="806" t="s">
        <v>147</v>
      </c>
      <c r="F6" s="807"/>
      <c r="G6" s="807"/>
      <c r="H6" s="807"/>
      <c r="I6" s="807"/>
      <c r="J6" s="807"/>
      <c r="K6" s="807"/>
      <c r="L6" s="808"/>
    </row>
    <row r="7" spans="2:14" ht="28.5" customHeight="1" thickBot="1" x14ac:dyDescent="0.3">
      <c r="B7" s="802"/>
      <c r="C7" s="803"/>
      <c r="D7" s="803"/>
      <c r="E7" s="809" t="s">
        <v>261</v>
      </c>
      <c r="F7" s="810"/>
      <c r="G7" s="810"/>
      <c r="H7" s="811"/>
      <c r="I7" s="800" t="s">
        <v>149</v>
      </c>
      <c r="J7" s="801"/>
      <c r="K7" s="812"/>
      <c r="L7" s="645" t="s">
        <v>150</v>
      </c>
    </row>
    <row r="8" spans="2:14" ht="22.5" customHeight="1" x14ac:dyDescent="0.25">
      <c r="B8" s="802"/>
      <c r="C8" s="803"/>
      <c r="D8" s="803"/>
      <c r="E8" s="814">
        <v>2014</v>
      </c>
      <c r="F8" s="838" t="s">
        <v>217</v>
      </c>
      <c r="G8" s="194" t="s">
        <v>151</v>
      </c>
      <c r="H8" s="814">
        <v>2015</v>
      </c>
      <c r="I8" s="639" t="s">
        <v>262</v>
      </c>
      <c r="J8" s="817" t="s">
        <v>263</v>
      </c>
      <c r="K8" s="645" t="s">
        <v>4</v>
      </c>
      <c r="L8" s="813"/>
    </row>
    <row r="9" spans="2:14" ht="22.5" customHeight="1" thickBot="1" x14ac:dyDescent="0.3">
      <c r="B9" s="804"/>
      <c r="C9" s="805"/>
      <c r="D9" s="805"/>
      <c r="E9" s="815"/>
      <c r="F9" s="839"/>
      <c r="G9" s="195">
        <v>2015</v>
      </c>
      <c r="H9" s="815"/>
      <c r="I9" s="816"/>
      <c r="J9" s="818"/>
      <c r="K9" s="646"/>
      <c r="L9" s="646"/>
    </row>
    <row r="10" spans="2:14" ht="39.950000000000003" customHeight="1" thickBot="1" x14ac:dyDescent="0.3">
      <c r="B10" s="819" t="s">
        <v>85</v>
      </c>
      <c r="C10" s="820"/>
      <c r="D10" s="115"/>
      <c r="E10" s="116">
        <v>60516.922543041568</v>
      </c>
      <c r="F10" s="117">
        <v>10178</v>
      </c>
      <c r="G10" s="116">
        <v>8441.2190362412293</v>
      </c>
      <c r="H10" s="116">
        <f>+E10+G10</f>
        <v>68958.14157928279</v>
      </c>
      <c r="I10" s="118">
        <v>894.88331000000005</v>
      </c>
      <c r="J10" s="119">
        <v>392.45145833333333</v>
      </c>
      <c r="K10" s="120">
        <f>I10+J10</f>
        <v>1287.3347683333334</v>
      </c>
      <c r="L10" s="120">
        <f>E10+G10+I10+J10</f>
        <v>70245.476347616132</v>
      </c>
      <c r="M10" s="64">
        <f>E10+G10+K10</f>
        <v>70245.476347616117</v>
      </c>
      <c r="N10" s="64"/>
    </row>
    <row r="11" spans="2:14" ht="24.95" hidden="1" customHeight="1" x14ac:dyDescent="0.3">
      <c r="B11" s="821" t="s">
        <v>86</v>
      </c>
      <c r="C11" s="822"/>
      <c r="D11" s="121"/>
      <c r="E11" s="122"/>
      <c r="F11" s="123"/>
      <c r="G11" s="122"/>
      <c r="H11" s="122"/>
      <c r="I11" s="124"/>
      <c r="J11" s="125"/>
      <c r="K11" s="126"/>
      <c r="L11" s="126"/>
    </row>
    <row r="12" spans="2:14" ht="20.100000000000001" hidden="1" customHeight="1" x14ac:dyDescent="0.3">
      <c r="B12" s="127" t="s">
        <v>153</v>
      </c>
      <c r="C12" s="128" t="s">
        <v>7</v>
      </c>
      <c r="D12" s="129"/>
      <c r="E12" s="130"/>
      <c r="F12" s="131"/>
      <c r="G12" s="130"/>
      <c r="H12" s="130"/>
      <c r="I12" s="132"/>
      <c r="J12" s="133"/>
      <c r="K12" s="134"/>
      <c r="L12" s="134"/>
    </row>
    <row r="13" spans="2:14" ht="20.100000000000001" hidden="1" customHeight="1" x14ac:dyDescent="0.3">
      <c r="B13" s="127" t="s">
        <v>154</v>
      </c>
      <c r="C13" s="128" t="s">
        <v>9</v>
      </c>
      <c r="D13" s="129"/>
      <c r="E13" s="130"/>
      <c r="F13" s="131"/>
      <c r="G13" s="130"/>
      <c r="H13" s="130"/>
      <c r="I13" s="132"/>
      <c r="J13" s="133"/>
      <c r="K13" s="134"/>
      <c r="L13" s="134"/>
    </row>
    <row r="14" spans="2:14" ht="24.95" hidden="1" customHeight="1" x14ac:dyDescent="0.3">
      <c r="B14" s="653" t="s">
        <v>87</v>
      </c>
      <c r="C14" s="654"/>
      <c r="D14" s="121"/>
      <c r="E14" s="122"/>
      <c r="F14" s="123"/>
      <c r="G14" s="122"/>
      <c r="H14" s="122"/>
      <c r="I14" s="124"/>
      <c r="J14" s="125"/>
      <c r="K14" s="126"/>
      <c r="L14" s="126"/>
    </row>
    <row r="15" spans="2:14" ht="24.95" hidden="1" customHeight="1" x14ac:dyDescent="0.3">
      <c r="B15" s="825" t="s">
        <v>155</v>
      </c>
      <c r="C15" s="826"/>
      <c r="D15" s="135"/>
      <c r="E15" s="136"/>
      <c r="F15" s="137"/>
      <c r="G15" s="136"/>
      <c r="H15" s="136"/>
      <c r="I15" s="138"/>
      <c r="J15" s="139"/>
      <c r="K15" s="140"/>
      <c r="L15" s="140"/>
    </row>
    <row r="16" spans="2:14" ht="20.100000000000001" hidden="1" customHeight="1" x14ac:dyDescent="0.3">
      <c r="B16" s="127" t="s">
        <v>156</v>
      </c>
      <c r="C16" s="128" t="s">
        <v>11</v>
      </c>
      <c r="D16" s="129"/>
      <c r="E16" s="130"/>
      <c r="F16" s="131"/>
      <c r="G16" s="130"/>
      <c r="H16" s="130"/>
      <c r="I16" s="132"/>
      <c r="J16" s="133"/>
      <c r="K16" s="134"/>
      <c r="L16" s="134"/>
    </row>
    <row r="17" spans="2:15" ht="30" hidden="1" customHeight="1" x14ac:dyDescent="0.3">
      <c r="B17" s="141" t="s">
        <v>157</v>
      </c>
      <c r="C17" s="142"/>
      <c r="D17" s="142"/>
      <c r="E17" s="143"/>
      <c r="F17" s="144"/>
      <c r="G17" s="143"/>
      <c r="H17" s="143"/>
      <c r="I17" s="145"/>
      <c r="J17" s="146"/>
      <c r="K17" s="147"/>
      <c r="L17" s="147"/>
    </row>
    <row r="18" spans="2:15" s="148" customFormat="1" ht="20.100000000000001" hidden="1" customHeight="1" x14ac:dyDescent="0.3">
      <c r="B18" s="127" t="s">
        <v>158</v>
      </c>
      <c r="C18" s="128" t="s">
        <v>17</v>
      </c>
      <c r="D18" s="129"/>
      <c r="E18" s="130"/>
      <c r="F18" s="131"/>
      <c r="G18" s="130"/>
      <c r="H18" s="130"/>
      <c r="I18" s="132"/>
      <c r="J18" s="133"/>
      <c r="K18" s="134"/>
      <c r="L18" s="134"/>
    </row>
    <row r="19" spans="2:15" s="148" customFormat="1" ht="20.100000000000001" hidden="1" customHeight="1" x14ac:dyDescent="0.3">
      <c r="B19" s="127" t="s">
        <v>159</v>
      </c>
      <c r="C19" s="128" t="s">
        <v>160</v>
      </c>
      <c r="D19" s="129"/>
      <c r="E19" s="130"/>
      <c r="F19" s="131"/>
      <c r="G19" s="130"/>
      <c r="H19" s="130"/>
      <c r="I19" s="132"/>
      <c r="J19" s="133"/>
      <c r="K19" s="134"/>
      <c r="L19" s="134"/>
    </row>
    <row r="20" spans="2:15" s="148" customFormat="1" ht="20.100000000000001" hidden="1" customHeight="1" x14ac:dyDescent="0.3">
      <c r="B20" s="127" t="s">
        <v>161</v>
      </c>
      <c r="C20" s="128" t="s">
        <v>19</v>
      </c>
      <c r="D20" s="129"/>
      <c r="E20" s="130"/>
      <c r="F20" s="131"/>
      <c r="G20" s="130"/>
      <c r="H20" s="130"/>
      <c r="I20" s="132"/>
      <c r="J20" s="133"/>
      <c r="K20" s="134"/>
      <c r="L20" s="134"/>
    </row>
    <row r="21" spans="2:15" s="148" customFormat="1" ht="20.100000000000001" hidden="1" customHeight="1" x14ac:dyDescent="0.3">
      <c r="B21" s="127" t="s">
        <v>162</v>
      </c>
      <c r="C21" s="128" t="s">
        <v>163</v>
      </c>
      <c r="D21" s="129"/>
      <c r="E21" s="130"/>
      <c r="F21" s="131"/>
      <c r="G21" s="130"/>
      <c r="H21" s="130"/>
      <c r="I21" s="132"/>
      <c r="J21" s="133"/>
      <c r="K21" s="134"/>
      <c r="L21" s="134"/>
    </row>
    <row r="22" spans="2:15" s="148" customFormat="1" ht="20.100000000000001" hidden="1" customHeight="1" x14ac:dyDescent="0.3">
      <c r="B22" s="127" t="s">
        <v>164</v>
      </c>
      <c r="C22" s="128" t="s">
        <v>22</v>
      </c>
      <c r="D22" s="129"/>
      <c r="E22" s="130"/>
      <c r="F22" s="131"/>
      <c r="G22" s="130"/>
      <c r="H22" s="130"/>
      <c r="I22" s="132"/>
      <c r="J22" s="133"/>
      <c r="K22" s="134"/>
      <c r="L22" s="134"/>
    </row>
    <row r="23" spans="2:15" s="148" customFormat="1" ht="20.100000000000001" hidden="1" customHeight="1" x14ac:dyDescent="0.3">
      <c r="B23" s="127" t="s">
        <v>165</v>
      </c>
      <c r="C23" s="128" t="s">
        <v>24</v>
      </c>
      <c r="D23" s="129"/>
      <c r="E23" s="130"/>
      <c r="F23" s="131"/>
      <c r="G23" s="130"/>
      <c r="H23" s="130"/>
      <c r="I23" s="132"/>
      <c r="J23" s="133"/>
      <c r="K23" s="134"/>
      <c r="L23" s="134"/>
    </row>
    <row r="24" spans="2:15" s="148" customFormat="1" ht="20.100000000000001" hidden="1" customHeight="1" x14ac:dyDescent="0.3">
      <c r="B24" s="127" t="s">
        <v>166</v>
      </c>
      <c r="C24" s="128" t="s">
        <v>17</v>
      </c>
      <c r="D24" s="129"/>
      <c r="E24" s="130"/>
      <c r="F24" s="131"/>
      <c r="G24" s="130"/>
      <c r="H24" s="130"/>
      <c r="I24" s="132"/>
      <c r="J24" s="133"/>
      <c r="K24" s="134"/>
      <c r="L24" s="134"/>
    </row>
    <row r="25" spans="2:15" s="148" customFormat="1" ht="20.100000000000001" hidden="1" customHeight="1" x14ac:dyDescent="0.3">
      <c r="B25" s="127" t="s">
        <v>167</v>
      </c>
      <c r="C25" s="128" t="s">
        <v>168</v>
      </c>
      <c r="D25" s="129"/>
      <c r="E25" s="130"/>
      <c r="F25" s="131"/>
      <c r="G25" s="130"/>
      <c r="H25" s="130"/>
      <c r="I25" s="132"/>
      <c r="J25" s="133"/>
      <c r="K25" s="134"/>
      <c r="L25" s="134"/>
    </row>
    <row r="26" spans="2:15" s="148" customFormat="1" ht="31.5" hidden="1" customHeight="1" x14ac:dyDescent="0.3">
      <c r="B26" s="127" t="s">
        <v>169</v>
      </c>
      <c r="C26" s="149" t="s">
        <v>170</v>
      </c>
      <c r="D26" s="150"/>
      <c r="E26" s="151"/>
      <c r="F26" s="152"/>
      <c r="G26" s="151"/>
      <c r="H26" s="151"/>
      <c r="I26" s="153"/>
      <c r="J26" s="154"/>
      <c r="K26" s="155"/>
      <c r="L26" s="155"/>
    </row>
    <row r="27" spans="2:15" s="148" customFormat="1" ht="20.100000000000001" hidden="1" customHeight="1" x14ac:dyDescent="0.3">
      <c r="B27" s="127" t="s">
        <v>171</v>
      </c>
      <c r="C27" s="128" t="s">
        <v>15</v>
      </c>
      <c r="D27" s="129"/>
      <c r="E27" s="130"/>
      <c r="F27" s="131"/>
      <c r="G27" s="130"/>
      <c r="H27" s="130"/>
      <c r="I27" s="132"/>
      <c r="J27" s="133"/>
      <c r="K27" s="134"/>
      <c r="L27" s="134"/>
    </row>
    <row r="28" spans="2:15" s="148" customFormat="1" ht="30" hidden="1" customHeight="1" x14ac:dyDescent="0.3">
      <c r="B28" s="127" t="s">
        <v>172</v>
      </c>
      <c r="C28" s="128" t="s">
        <v>24</v>
      </c>
      <c r="D28" s="129"/>
      <c r="E28" s="130"/>
      <c r="F28" s="131"/>
      <c r="G28" s="130"/>
      <c r="H28" s="130"/>
      <c r="I28" s="132"/>
      <c r="J28" s="133"/>
      <c r="K28" s="134"/>
      <c r="L28" s="134"/>
    </row>
    <row r="29" spans="2:15" s="148" customFormat="1" ht="20.100000000000001" hidden="1" customHeight="1" x14ac:dyDescent="0.3">
      <c r="B29" s="127" t="s">
        <v>173</v>
      </c>
      <c r="C29" s="128" t="s">
        <v>24</v>
      </c>
      <c r="D29" s="129"/>
      <c r="E29" s="130"/>
      <c r="F29" s="131"/>
      <c r="G29" s="130"/>
      <c r="H29" s="130"/>
      <c r="I29" s="132"/>
      <c r="J29" s="133"/>
      <c r="K29" s="134"/>
      <c r="L29" s="134"/>
    </row>
    <row r="30" spans="2:15" ht="39.950000000000003" customHeight="1" x14ac:dyDescent="0.25">
      <c r="B30" s="819" t="s">
        <v>88</v>
      </c>
      <c r="C30" s="820"/>
      <c r="D30" s="115"/>
      <c r="E30" s="116">
        <f>E31+E53</f>
        <v>465320.50896045571</v>
      </c>
      <c r="F30" s="117">
        <f>F31+F53</f>
        <v>82316</v>
      </c>
      <c r="G30" s="116">
        <f>G31+G53</f>
        <v>79627.680530313868</v>
      </c>
      <c r="H30" s="116">
        <f t="shared" ref="H30:H68" si="0">+E30+G30</f>
        <v>544948.18949076952</v>
      </c>
      <c r="I30" s="118">
        <f>I31+I53</f>
        <v>16289.080955502628</v>
      </c>
      <c r="J30" s="119">
        <f>J31+J53</f>
        <v>20346.557269277404</v>
      </c>
      <c r="K30" s="120">
        <f t="shared" ref="K30:K68" si="1">I30+J30</f>
        <v>36635.638224780036</v>
      </c>
      <c r="L30" s="120">
        <f t="shared" ref="L30:L68" si="2">E30+G30+I30+J30</f>
        <v>581583.8277155495</v>
      </c>
      <c r="M30" s="64">
        <f t="shared" ref="M30:M68" si="3">E30+G30+K30</f>
        <v>581583.82771554962</v>
      </c>
      <c r="N30" s="64"/>
    </row>
    <row r="31" spans="2:15" s="114" customFormat="1" ht="24.95" customHeight="1" x14ac:dyDescent="0.25">
      <c r="B31" s="821" t="s">
        <v>89</v>
      </c>
      <c r="C31" s="822"/>
      <c r="D31" s="121"/>
      <c r="E31" s="122">
        <f>E32+E42+E49</f>
        <v>459864.16908552567</v>
      </c>
      <c r="F31" s="123">
        <f>F32+F42+F49</f>
        <v>82316</v>
      </c>
      <c r="G31" s="122">
        <f>G32+G42+G49</f>
        <v>79601.200780313869</v>
      </c>
      <c r="H31" s="122">
        <f t="shared" si="0"/>
        <v>539465.3698658396</v>
      </c>
      <c r="I31" s="124">
        <f>+I32+I42+I49</f>
        <v>16208.732865502629</v>
      </c>
      <c r="J31" s="125">
        <f>+J32+J42+J49</f>
        <v>20307.954328100932</v>
      </c>
      <c r="K31" s="126">
        <f t="shared" si="1"/>
        <v>36516.68719360356</v>
      </c>
      <c r="L31" s="126">
        <f t="shared" si="2"/>
        <v>575982.05705944309</v>
      </c>
      <c r="M31" s="64">
        <f t="shared" si="3"/>
        <v>575982.05705944321</v>
      </c>
      <c r="N31" s="64"/>
    </row>
    <row r="32" spans="2:15" ht="24.95" customHeight="1" x14ac:dyDescent="0.25">
      <c r="B32" s="141" t="s">
        <v>174</v>
      </c>
      <c r="C32" s="142"/>
      <c r="D32" s="142"/>
      <c r="E32" s="156">
        <v>266035.78797733819</v>
      </c>
      <c r="F32" s="157">
        <v>50467</v>
      </c>
      <c r="G32" s="156">
        <v>49355.126746420348</v>
      </c>
      <c r="H32" s="156">
        <f t="shared" si="0"/>
        <v>315390.91472375853</v>
      </c>
      <c r="I32" s="158">
        <v>9994.2687499999993</v>
      </c>
      <c r="J32" s="146">
        <f>7319.11899849195-1337.77943754115</f>
        <v>5981.3395609508007</v>
      </c>
      <c r="K32" s="147">
        <f t="shared" si="1"/>
        <v>15975.6083109508</v>
      </c>
      <c r="L32" s="159">
        <f t="shared" si="2"/>
        <v>331366.52303470933</v>
      </c>
      <c r="M32" s="64">
        <f t="shared" si="3"/>
        <v>331366.52303470933</v>
      </c>
      <c r="N32" s="64"/>
      <c r="O32" s="203">
        <v>1337.7794375411499</v>
      </c>
    </row>
    <row r="33" spans="2:14" s="148" customFormat="1" ht="20.100000000000001" hidden="1" customHeight="1" x14ac:dyDescent="0.25">
      <c r="B33" s="127" t="s">
        <v>175</v>
      </c>
      <c r="C33" s="128" t="s">
        <v>176</v>
      </c>
      <c r="D33" s="129"/>
      <c r="E33" s="130">
        <v>0</v>
      </c>
      <c r="F33" s="131" t="e">
        <v>#REF!</v>
      </c>
      <c r="G33" s="130">
        <v>0</v>
      </c>
      <c r="H33" s="130">
        <f t="shared" si="0"/>
        <v>0</v>
      </c>
      <c r="I33" s="132" t="e">
        <f>(#REF!-#REF!)/1000</f>
        <v>#REF!</v>
      </c>
      <c r="J33" s="133"/>
      <c r="K33" s="134" t="e">
        <f t="shared" si="1"/>
        <v>#REF!</v>
      </c>
      <c r="L33" s="134" t="e">
        <f t="shared" si="2"/>
        <v>#REF!</v>
      </c>
      <c r="M33" s="64" t="e">
        <f t="shared" si="3"/>
        <v>#REF!</v>
      </c>
      <c r="N33" s="64"/>
    </row>
    <row r="34" spans="2:14" s="148" customFormat="1" ht="20.100000000000001" hidden="1" customHeight="1" x14ac:dyDescent="0.25">
      <c r="B34" s="127" t="s">
        <v>177</v>
      </c>
      <c r="C34" s="128" t="s">
        <v>178</v>
      </c>
      <c r="D34" s="129"/>
      <c r="E34" s="130">
        <v>0</v>
      </c>
      <c r="F34" s="131" t="e">
        <v>#REF!</v>
      </c>
      <c r="G34" s="130">
        <v>0</v>
      </c>
      <c r="H34" s="130">
        <f t="shared" si="0"/>
        <v>0</v>
      </c>
      <c r="I34" s="132" t="e">
        <f>(#REF!-#REF!)/1000</f>
        <v>#REF!</v>
      </c>
      <c r="J34" s="133"/>
      <c r="K34" s="134" t="e">
        <f t="shared" si="1"/>
        <v>#REF!</v>
      </c>
      <c r="L34" s="134" t="e">
        <f t="shared" si="2"/>
        <v>#REF!</v>
      </c>
      <c r="M34" s="64" t="e">
        <f t="shared" si="3"/>
        <v>#REF!</v>
      </c>
      <c r="N34" s="64"/>
    </row>
    <row r="35" spans="2:14" s="148" customFormat="1" ht="20.100000000000001" hidden="1" customHeight="1" x14ac:dyDescent="0.25">
      <c r="B35" s="127" t="s">
        <v>179</v>
      </c>
      <c r="C35" s="128" t="s">
        <v>180</v>
      </c>
      <c r="D35" s="129"/>
      <c r="E35" s="130">
        <v>0</v>
      </c>
      <c r="F35" s="131" t="e">
        <v>#REF!</v>
      </c>
      <c r="G35" s="130">
        <v>0</v>
      </c>
      <c r="H35" s="130">
        <f t="shared" si="0"/>
        <v>0</v>
      </c>
      <c r="I35" s="132" t="e">
        <f>(#REF!-#REF!)/1000</f>
        <v>#REF!</v>
      </c>
      <c r="J35" s="133"/>
      <c r="K35" s="134" t="e">
        <f t="shared" si="1"/>
        <v>#REF!</v>
      </c>
      <c r="L35" s="134" t="e">
        <f t="shared" si="2"/>
        <v>#REF!</v>
      </c>
      <c r="M35" s="64" t="e">
        <f t="shared" si="3"/>
        <v>#REF!</v>
      </c>
      <c r="N35" s="64"/>
    </row>
    <row r="36" spans="2:14" s="148" customFormat="1" ht="20.100000000000001" hidden="1" customHeight="1" x14ac:dyDescent="0.25">
      <c r="B36" s="127" t="s">
        <v>181</v>
      </c>
      <c r="C36" s="128" t="s">
        <v>182</v>
      </c>
      <c r="D36" s="129"/>
      <c r="E36" s="130">
        <v>0</v>
      </c>
      <c r="F36" s="131" t="e">
        <v>#REF!</v>
      </c>
      <c r="G36" s="130">
        <v>0</v>
      </c>
      <c r="H36" s="130">
        <f t="shared" si="0"/>
        <v>0</v>
      </c>
      <c r="I36" s="132" t="e">
        <f>(#REF!-#REF!)/1000</f>
        <v>#REF!</v>
      </c>
      <c r="J36" s="133"/>
      <c r="K36" s="134" t="e">
        <f t="shared" si="1"/>
        <v>#REF!</v>
      </c>
      <c r="L36" s="134" t="e">
        <f t="shared" si="2"/>
        <v>#REF!</v>
      </c>
      <c r="M36" s="64" t="e">
        <f t="shared" si="3"/>
        <v>#REF!</v>
      </c>
      <c r="N36" s="64"/>
    </row>
    <row r="37" spans="2:14" s="148" customFormat="1" ht="20.100000000000001" hidden="1" customHeight="1" x14ac:dyDescent="0.25">
      <c r="B37" s="127" t="s">
        <v>183</v>
      </c>
      <c r="C37" s="128" t="s">
        <v>182</v>
      </c>
      <c r="D37" s="129"/>
      <c r="E37" s="130">
        <v>0</v>
      </c>
      <c r="F37" s="131" t="e">
        <v>#REF!</v>
      </c>
      <c r="G37" s="130">
        <v>0</v>
      </c>
      <c r="H37" s="130">
        <f t="shared" si="0"/>
        <v>0</v>
      </c>
      <c r="I37" s="132" t="e">
        <f>(#REF!-#REF!)/1000</f>
        <v>#REF!</v>
      </c>
      <c r="J37" s="133"/>
      <c r="K37" s="134" t="e">
        <f t="shared" si="1"/>
        <v>#REF!</v>
      </c>
      <c r="L37" s="134" t="e">
        <f t="shared" si="2"/>
        <v>#REF!</v>
      </c>
      <c r="M37" s="64" t="e">
        <f t="shared" si="3"/>
        <v>#REF!</v>
      </c>
      <c r="N37" s="64"/>
    </row>
    <row r="38" spans="2:14" s="148" customFormat="1" ht="20.100000000000001" hidden="1" customHeight="1" x14ac:dyDescent="0.25">
      <c r="B38" s="127" t="s">
        <v>184</v>
      </c>
      <c r="C38" s="128" t="s">
        <v>46</v>
      </c>
      <c r="D38" s="129"/>
      <c r="E38" s="130">
        <v>0</v>
      </c>
      <c r="F38" s="131" t="e">
        <v>#REF!</v>
      </c>
      <c r="G38" s="130">
        <v>0</v>
      </c>
      <c r="H38" s="130">
        <f t="shared" si="0"/>
        <v>0</v>
      </c>
      <c r="I38" s="132" t="e">
        <f>(#REF!-#REF!)/1000</f>
        <v>#REF!</v>
      </c>
      <c r="J38" s="133"/>
      <c r="K38" s="134" t="e">
        <f t="shared" si="1"/>
        <v>#REF!</v>
      </c>
      <c r="L38" s="134" t="e">
        <f t="shared" si="2"/>
        <v>#REF!</v>
      </c>
      <c r="M38" s="64" t="e">
        <f t="shared" si="3"/>
        <v>#REF!</v>
      </c>
      <c r="N38" s="64"/>
    </row>
    <row r="39" spans="2:14" s="148" customFormat="1" ht="20.100000000000001" hidden="1" customHeight="1" x14ac:dyDescent="0.25">
      <c r="B39" s="127" t="s">
        <v>185</v>
      </c>
      <c r="C39" s="128" t="s">
        <v>186</v>
      </c>
      <c r="D39" s="129"/>
      <c r="E39" s="130">
        <v>0</v>
      </c>
      <c r="F39" s="131" t="e">
        <v>#REF!</v>
      </c>
      <c r="G39" s="130">
        <v>0</v>
      </c>
      <c r="H39" s="130">
        <f t="shared" si="0"/>
        <v>0</v>
      </c>
      <c r="I39" s="132" t="e">
        <f>(#REF!-#REF!)/1000</f>
        <v>#REF!</v>
      </c>
      <c r="J39" s="133"/>
      <c r="K39" s="134" t="e">
        <f t="shared" si="1"/>
        <v>#REF!</v>
      </c>
      <c r="L39" s="134" t="e">
        <f t="shared" si="2"/>
        <v>#REF!</v>
      </c>
      <c r="M39" s="64" t="e">
        <f t="shared" si="3"/>
        <v>#REF!</v>
      </c>
      <c r="N39" s="64"/>
    </row>
    <row r="40" spans="2:14" s="148" customFormat="1" ht="20.100000000000001" hidden="1" customHeight="1" x14ac:dyDescent="0.25">
      <c r="B40" s="127" t="s">
        <v>187</v>
      </c>
      <c r="C40" s="128" t="s">
        <v>188</v>
      </c>
      <c r="D40" s="129"/>
      <c r="E40" s="130">
        <v>0</v>
      </c>
      <c r="F40" s="131" t="e">
        <v>#REF!</v>
      </c>
      <c r="G40" s="130">
        <v>0</v>
      </c>
      <c r="H40" s="130">
        <f t="shared" si="0"/>
        <v>0</v>
      </c>
      <c r="I40" s="132" t="e">
        <f>(#REF!-#REF!)/1000</f>
        <v>#REF!</v>
      </c>
      <c r="J40" s="133"/>
      <c r="K40" s="134" t="e">
        <f t="shared" si="1"/>
        <v>#REF!</v>
      </c>
      <c r="L40" s="134" t="e">
        <f t="shared" si="2"/>
        <v>#REF!</v>
      </c>
      <c r="M40" s="64" t="e">
        <f t="shared" si="3"/>
        <v>#REF!</v>
      </c>
      <c r="N40" s="64"/>
    </row>
    <row r="41" spans="2:14" s="148" customFormat="1" ht="20.100000000000001" hidden="1" customHeight="1" x14ac:dyDescent="0.25">
      <c r="B41" s="127" t="s">
        <v>189</v>
      </c>
      <c r="C41" s="128" t="s">
        <v>38</v>
      </c>
      <c r="D41" s="129"/>
      <c r="E41" s="130">
        <v>0</v>
      </c>
      <c r="F41" s="131" t="e">
        <v>#REF!</v>
      </c>
      <c r="G41" s="130">
        <v>0</v>
      </c>
      <c r="H41" s="130">
        <f t="shared" si="0"/>
        <v>0</v>
      </c>
      <c r="I41" s="132" t="e">
        <f>(#REF!-#REF!)/1000</f>
        <v>#REF!</v>
      </c>
      <c r="J41" s="133"/>
      <c r="K41" s="134" t="e">
        <f t="shared" si="1"/>
        <v>#REF!</v>
      </c>
      <c r="L41" s="134" t="e">
        <f t="shared" si="2"/>
        <v>#REF!</v>
      </c>
      <c r="M41" s="64" t="e">
        <f t="shared" si="3"/>
        <v>#REF!</v>
      </c>
      <c r="N41" s="64"/>
    </row>
    <row r="42" spans="2:14" ht="24.95" customHeight="1" x14ac:dyDescent="0.25">
      <c r="B42" s="141" t="s">
        <v>190</v>
      </c>
      <c r="C42" s="142"/>
      <c r="D42" s="142"/>
      <c r="E42" s="143">
        <v>95929.939388646904</v>
      </c>
      <c r="F42" s="144">
        <v>5060</v>
      </c>
      <c r="G42" s="143">
        <v>5391.1687824425753</v>
      </c>
      <c r="H42" s="143">
        <f t="shared" si="0"/>
        <v>101321.10817108948</v>
      </c>
      <c r="I42" s="145">
        <v>92.493745502630844</v>
      </c>
      <c r="J42" s="146">
        <v>294.11764705882354</v>
      </c>
      <c r="K42" s="147">
        <f t="shared" si="1"/>
        <v>386.61139256145441</v>
      </c>
      <c r="L42" s="147">
        <f t="shared" si="2"/>
        <v>101707.71956365094</v>
      </c>
      <c r="M42" s="64">
        <f t="shared" si="3"/>
        <v>101707.71956365093</v>
      </c>
      <c r="N42" s="64"/>
    </row>
    <row r="43" spans="2:14" s="148" customFormat="1" ht="20.100000000000001" hidden="1" customHeight="1" x14ac:dyDescent="0.25">
      <c r="B43" s="127" t="s">
        <v>191</v>
      </c>
      <c r="C43" s="128" t="s">
        <v>192</v>
      </c>
      <c r="D43" s="129"/>
      <c r="E43" s="130">
        <v>0</v>
      </c>
      <c r="F43" s="131" t="e">
        <v>#REF!</v>
      </c>
      <c r="G43" s="130">
        <v>0</v>
      </c>
      <c r="H43" s="130">
        <f t="shared" si="0"/>
        <v>0</v>
      </c>
      <c r="I43" s="132" t="e">
        <f>(#REF!-#REF!)/1000</f>
        <v>#REF!</v>
      </c>
      <c r="J43" s="133"/>
      <c r="K43" s="134" t="e">
        <f t="shared" si="1"/>
        <v>#REF!</v>
      </c>
      <c r="L43" s="134" t="e">
        <f t="shared" si="2"/>
        <v>#REF!</v>
      </c>
      <c r="M43" s="64" t="e">
        <f t="shared" si="3"/>
        <v>#REF!</v>
      </c>
      <c r="N43" s="64"/>
    </row>
    <row r="44" spans="2:14" s="148" customFormat="1" ht="20.100000000000001" hidden="1" customHeight="1" x14ac:dyDescent="0.25">
      <c r="B44" s="127" t="s">
        <v>193</v>
      </c>
      <c r="C44" s="128" t="s">
        <v>194</v>
      </c>
      <c r="D44" s="129"/>
      <c r="E44" s="130">
        <v>0</v>
      </c>
      <c r="F44" s="131" t="e">
        <v>#REF!</v>
      </c>
      <c r="G44" s="130">
        <v>0</v>
      </c>
      <c r="H44" s="130">
        <f t="shared" si="0"/>
        <v>0</v>
      </c>
      <c r="I44" s="132" t="e">
        <f>(#REF!-#REF!)/1000</f>
        <v>#REF!</v>
      </c>
      <c r="J44" s="133"/>
      <c r="K44" s="134" t="e">
        <f t="shared" si="1"/>
        <v>#REF!</v>
      </c>
      <c r="L44" s="134" t="e">
        <f t="shared" si="2"/>
        <v>#REF!</v>
      </c>
      <c r="M44" s="64" t="e">
        <f t="shared" si="3"/>
        <v>#REF!</v>
      </c>
      <c r="N44" s="64"/>
    </row>
    <row r="45" spans="2:14" s="148" customFormat="1" ht="20.100000000000001" hidden="1" customHeight="1" x14ac:dyDescent="0.25">
      <c r="B45" s="127" t="s">
        <v>195</v>
      </c>
      <c r="C45" s="128" t="s">
        <v>194</v>
      </c>
      <c r="D45" s="129"/>
      <c r="E45" s="130">
        <v>0</v>
      </c>
      <c r="F45" s="131" t="e">
        <v>#REF!</v>
      </c>
      <c r="G45" s="130">
        <v>0</v>
      </c>
      <c r="H45" s="130">
        <f t="shared" si="0"/>
        <v>0</v>
      </c>
      <c r="I45" s="132" t="e">
        <f>(#REF!-#REF!)/1000</f>
        <v>#REF!</v>
      </c>
      <c r="J45" s="133"/>
      <c r="K45" s="134" t="e">
        <f t="shared" si="1"/>
        <v>#REF!</v>
      </c>
      <c r="L45" s="134" t="e">
        <f t="shared" si="2"/>
        <v>#REF!</v>
      </c>
      <c r="M45" s="64" t="e">
        <f t="shared" si="3"/>
        <v>#REF!</v>
      </c>
      <c r="N45" s="64"/>
    </row>
    <row r="46" spans="2:14" s="148" customFormat="1" ht="20.100000000000001" hidden="1" customHeight="1" x14ac:dyDescent="0.25">
      <c r="B46" s="127" t="s">
        <v>196</v>
      </c>
      <c r="C46" s="128" t="s">
        <v>194</v>
      </c>
      <c r="D46" s="129"/>
      <c r="E46" s="130">
        <v>0</v>
      </c>
      <c r="F46" s="131" t="e">
        <v>#REF!</v>
      </c>
      <c r="G46" s="130">
        <v>0</v>
      </c>
      <c r="H46" s="130">
        <f t="shared" si="0"/>
        <v>0</v>
      </c>
      <c r="I46" s="132" t="e">
        <f>(#REF!-#REF!)/1000</f>
        <v>#REF!</v>
      </c>
      <c r="J46" s="133"/>
      <c r="K46" s="134" t="e">
        <f t="shared" si="1"/>
        <v>#REF!</v>
      </c>
      <c r="L46" s="134" t="e">
        <f t="shared" si="2"/>
        <v>#REF!</v>
      </c>
      <c r="M46" s="64" t="e">
        <f t="shared" si="3"/>
        <v>#REF!</v>
      </c>
      <c r="N46" s="64"/>
    </row>
    <row r="47" spans="2:14" s="148" customFormat="1" ht="20.100000000000001" hidden="1" customHeight="1" x14ac:dyDescent="0.25">
      <c r="B47" s="127" t="s">
        <v>197</v>
      </c>
      <c r="C47" s="128" t="s">
        <v>58</v>
      </c>
      <c r="D47" s="129"/>
      <c r="E47" s="130">
        <v>0</v>
      </c>
      <c r="F47" s="131" t="e">
        <v>#REF!</v>
      </c>
      <c r="G47" s="130">
        <v>0</v>
      </c>
      <c r="H47" s="130">
        <f t="shared" si="0"/>
        <v>0</v>
      </c>
      <c r="I47" s="132" t="e">
        <f>(#REF!-#REF!)/1000</f>
        <v>#REF!</v>
      </c>
      <c r="J47" s="133"/>
      <c r="K47" s="134" t="e">
        <f t="shared" si="1"/>
        <v>#REF!</v>
      </c>
      <c r="L47" s="134" t="e">
        <f t="shared" si="2"/>
        <v>#REF!</v>
      </c>
      <c r="M47" s="64" t="e">
        <f t="shared" si="3"/>
        <v>#REF!</v>
      </c>
      <c r="N47" s="64"/>
    </row>
    <row r="48" spans="2:14" s="148" customFormat="1" ht="29.25" hidden="1" customHeight="1" x14ac:dyDescent="0.25">
      <c r="B48" s="127" t="s">
        <v>198</v>
      </c>
      <c r="C48" s="128" t="s">
        <v>82</v>
      </c>
      <c r="D48" s="129"/>
      <c r="E48" s="130">
        <v>0</v>
      </c>
      <c r="F48" s="131" t="e">
        <v>#REF!</v>
      </c>
      <c r="G48" s="130">
        <v>0</v>
      </c>
      <c r="H48" s="130">
        <f t="shared" si="0"/>
        <v>0</v>
      </c>
      <c r="I48" s="132" t="e">
        <f>(#REF!-#REF!)/1000</f>
        <v>#REF!</v>
      </c>
      <c r="J48" s="133"/>
      <c r="K48" s="134" t="e">
        <f t="shared" si="1"/>
        <v>#REF!</v>
      </c>
      <c r="L48" s="134" t="e">
        <f t="shared" si="2"/>
        <v>#REF!</v>
      </c>
      <c r="M48" s="64" t="e">
        <f t="shared" si="3"/>
        <v>#REF!</v>
      </c>
      <c r="N48" s="64"/>
    </row>
    <row r="49" spans="2:15" ht="24.95" customHeight="1" x14ac:dyDescent="0.25">
      <c r="B49" s="141" t="s">
        <v>199</v>
      </c>
      <c r="C49" s="142"/>
      <c r="D49" s="142"/>
      <c r="E49" s="143">
        <v>97898.441719540599</v>
      </c>
      <c r="F49" s="144">
        <v>26789</v>
      </c>
      <c r="G49" s="143">
        <v>24854.905251450953</v>
      </c>
      <c r="H49" s="143">
        <f t="shared" si="0"/>
        <v>122753.34697099155</v>
      </c>
      <c r="I49" s="145">
        <v>6121.97037</v>
      </c>
      <c r="J49" s="146">
        <f>14972.184383861-939.687263769692</f>
        <v>14032.497120091308</v>
      </c>
      <c r="K49" s="147">
        <f t="shared" si="1"/>
        <v>20154.467490091309</v>
      </c>
      <c r="L49" s="147">
        <f t="shared" si="2"/>
        <v>142907.81446108286</v>
      </c>
      <c r="M49" s="64">
        <f t="shared" si="3"/>
        <v>142907.81446108286</v>
      </c>
      <c r="N49" s="64"/>
      <c r="O49" s="64">
        <v>939.68726376969153</v>
      </c>
    </row>
    <row r="50" spans="2:15" s="148" customFormat="1" ht="20.100000000000001" hidden="1" customHeight="1" x14ac:dyDescent="0.25">
      <c r="B50" s="127" t="s">
        <v>200</v>
      </c>
      <c r="C50" s="128" t="s">
        <v>182</v>
      </c>
      <c r="D50" s="129"/>
      <c r="E50" s="130">
        <v>0</v>
      </c>
      <c r="F50" s="131" t="e">
        <v>#REF!</v>
      </c>
      <c r="G50" s="130">
        <v>0</v>
      </c>
      <c r="H50" s="130">
        <f t="shared" si="0"/>
        <v>0</v>
      </c>
      <c r="I50" s="132" t="e">
        <f>(#REF!-#REF!)/1000</f>
        <v>#REF!</v>
      </c>
      <c r="J50" s="133"/>
      <c r="K50" s="134" t="e">
        <f t="shared" si="1"/>
        <v>#REF!</v>
      </c>
      <c r="L50" s="134" t="e">
        <f t="shared" si="2"/>
        <v>#REF!</v>
      </c>
      <c r="M50" s="64" t="e">
        <f t="shared" si="3"/>
        <v>#REF!</v>
      </c>
      <c r="N50" s="64"/>
    </row>
    <row r="51" spans="2:15" s="148" customFormat="1" ht="20.100000000000001" hidden="1" customHeight="1" x14ac:dyDescent="0.25">
      <c r="B51" s="127" t="s">
        <v>201</v>
      </c>
      <c r="C51" s="128" t="s">
        <v>202</v>
      </c>
      <c r="D51" s="129"/>
      <c r="E51" s="130">
        <v>0</v>
      </c>
      <c r="F51" s="131" t="e">
        <v>#REF!</v>
      </c>
      <c r="G51" s="130">
        <v>0</v>
      </c>
      <c r="H51" s="130">
        <f t="shared" si="0"/>
        <v>0</v>
      </c>
      <c r="I51" s="132" t="e">
        <f>(#REF!-#REF!)/1000</f>
        <v>#REF!</v>
      </c>
      <c r="J51" s="133"/>
      <c r="K51" s="134" t="e">
        <f t="shared" si="1"/>
        <v>#REF!</v>
      </c>
      <c r="L51" s="134" t="e">
        <f t="shared" si="2"/>
        <v>#REF!</v>
      </c>
      <c r="M51" s="64" t="e">
        <f t="shared" si="3"/>
        <v>#REF!</v>
      </c>
      <c r="N51" s="64"/>
    </row>
    <row r="52" spans="2:15" s="148" customFormat="1" ht="20.100000000000001" hidden="1" customHeight="1" x14ac:dyDescent="0.25">
      <c r="B52" s="127" t="s">
        <v>203</v>
      </c>
      <c r="C52" s="128" t="s">
        <v>204</v>
      </c>
      <c r="D52" s="129"/>
      <c r="E52" s="130">
        <v>0</v>
      </c>
      <c r="F52" s="131" t="e">
        <v>#REF!</v>
      </c>
      <c r="G52" s="130">
        <v>0</v>
      </c>
      <c r="H52" s="130">
        <f t="shared" si="0"/>
        <v>0</v>
      </c>
      <c r="I52" s="132" t="e">
        <f>(#REF!-#REF!)/1000</f>
        <v>#REF!</v>
      </c>
      <c r="J52" s="133"/>
      <c r="K52" s="134" t="e">
        <f t="shared" si="1"/>
        <v>#REF!</v>
      </c>
      <c r="L52" s="134" t="e">
        <f t="shared" si="2"/>
        <v>#REF!</v>
      </c>
      <c r="M52" s="64" t="e">
        <f t="shared" si="3"/>
        <v>#REF!</v>
      </c>
      <c r="N52" s="64"/>
    </row>
    <row r="53" spans="2:15" ht="24.95" customHeight="1" thickBot="1" x14ac:dyDescent="0.3">
      <c r="B53" s="821" t="s">
        <v>90</v>
      </c>
      <c r="C53" s="822"/>
      <c r="D53" s="121"/>
      <c r="E53" s="122">
        <v>5456.3398749300186</v>
      </c>
      <c r="F53" s="123">
        <v>0</v>
      </c>
      <c r="G53" s="122">
        <v>26.479749999999999</v>
      </c>
      <c r="H53" s="122">
        <f t="shared" si="0"/>
        <v>5482.819624930019</v>
      </c>
      <c r="I53" s="124">
        <v>80.348089999999999</v>
      </c>
      <c r="J53" s="125">
        <v>38.602941176470587</v>
      </c>
      <c r="K53" s="126">
        <f t="shared" si="1"/>
        <v>118.95103117647059</v>
      </c>
      <c r="L53" s="126">
        <f t="shared" si="2"/>
        <v>5601.7706561064897</v>
      </c>
      <c r="M53" s="64">
        <f t="shared" si="3"/>
        <v>5601.7706561064897</v>
      </c>
      <c r="N53" s="64"/>
    </row>
    <row r="54" spans="2:15" s="148" customFormat="1" ht="24.95" hidden="1" customHeight="1" x14ac:dyDescent="0.3">
      <c r="B54" s="141" t="s">
        <v>205</v>
      </c>
      <c r="C54" s="142"/>
      <c r="D54" s="142"/>
      <c r="E54" s="143"/>
      <c r="F54" s="144"/>
      <c r="G54" s="143"/>
      <c r="H54" s="143">
        <f t="shared" si="0"/>
        <v>0</v>
      </c>
      <c r="I54" s="145"/>
      <c r="J54" s="146"/>
      <c r="K54" s="147">
        <f t="shared" si="1"/>
        <v>0</v>
      </c>
      <c r="L54" s="147">
        <f t="shared" si="2"/>
        <v>0</v>
      </c>
      <c r="M54" s="64">
        <f t="shared" si="3"/>
        <v>0</v>
      </c>
      <c r="N54" s="64"/>
    </row>
    <row r="55" spans="2:15" s="148" customFormat="1" ht="20.100000000000001" hidden="1" customHeight="1" x14ac:dyDescent="0.3">
      <c r="B55" s="127" t="s">
        <v>206</v>
      </c>
      <c r="C55" s="128" t="s">
        <v>70</v>
      </c>
      <c r="D55" s="129"/>
      <c r="E55" s="130"/>
      <c r="F55" s="131"/>
      <c r="G55" s="130"/>
      <c r="H55" s="130">
        <f t="shared" si="0"/>
        <v>0</v>
      </c>
      <c r="I55" s="132"/>
      <c r="J55" s="133"/>
      <c r="K55" s="134">
        <f t="shared" si="1"/>
        <v>0</v>
      </c>
      <c r="L55" s="134">
        <f t="shared" si="2"/>
        <v>0</v>
      </c>
      <c r="M55" s="64">
        <f t="shared" si="3"/>
        <v>0</v>
      </c>
      <c r="N55" s="64"/>
    </row>
    <row r="56" spans="2:15" s="148" customFormat="1" ht="30" hidden="1" customHeight="1" x14ac:dyDescent="0.3">
      <c r="B56" s="141" t="s">
        <v>207</v>
      </c>
      <c r="C56" s="142"/>
      <c r="D56" s="142"/>
      <c r="E56" s="143"/>
      <c r="F56" s="144"/>
      <c r="G56" s="143"/>
      <c r="H56" s="143">
        <f t="shared" si="0"/>
        <v>0</v>
      </c>
      <c r="I56" s="145"/>
      <c r="J56" s="146"/>
      <c r="K56" s="147">
        <f t="shared" si="1"/>
        <v>0</v>
      </c>
      <c r="L56" s="147">
        <f t="shared" si="2"/>
        <v>0</v>
      </c>
      <c r="M56" s="64">
        <f t="shared" si="3"/>
        <v>0</v>
      </c>
      <c r="N56" s="64"/>
    </row>
    <row r="57" spans="2:15" s="148" customFormat="1" ht="36.75" hidden="1" customHeight="1" x14ac:dyDescent="0.3">
      <c r="B57" s="127" t="s">
        <v>208</v>
      </c>
      <c r="C57" s="128" t="s">
        <v>73</v>
      </c>
      <c r="D57" s="129"/>
      <c r="E57" s="130"/>
      <c r="F57" s="131"/>
      <c r="G57" s="130"/>
      <c r="H57" s="130">
        <f t="shared" si="0"/>
        <v>0</v>
      </c>
      <c r="I57" s="132"/>
      <c r="J57" s="133"/>
      <c r="K57" s="134">
        <f t="shared" si="1"/>
        <v>0</v>
      </c>
      <c r="L57" s="134">
        <f t="shared" si="2"/>
        <v>0</v>
      </c>
      <c r="M57" s="64">
        <f t="shared" si="3"/>
        <v>0</v>
      </c>
      <c r="N57" s="64"/>
    </row>
    <row r="58" spans="2:15" s="148" customFormat="1" ht="30.75" hidden="1" customHeight="1" x14ac:dyDescent="0.3">
      <c r="B58" s="127" t="s">
        <v>209</v>
      </c>
      <c r="C58" s="128" t="s">
        <v>75</v>
      </c>
      <c r="D58" s="160"/>
      <c r="E58" s="827"/>
      <c r="F58" s="836"/>
      <c r="G58" s="827"/>
      <c r="H58" s="827">
        <f t="shared" si="0"/>
        <v>0</v>
      </c>
      <c r="I58" s="828"/>
      <c r="J58" s="830"/>
      <c r="K58" s="823">
        <f t="shared" si="1"/>
        <v>0</v>
      </c>
      <c r="L58" s="823">
        <f t="shared" si="2"/>
        <v>0</v>
      </c>
      <c r="M58" s="64">
        <f t="shared" si="3"/>
        <v>0</v>
      </c>
      <c r="N58" s="64"/>
    </row>
    <row r="59" spans="2:15" s="148" customFormat="1" ht="27" hidden="1" customHeight="1" x14ac:dyDescent="0.3">
      <c r="B59" s="127" t="s">
        <v>210</v>
      </c>
      <c r="C59" s="128" t="s">
        <v>77</v>
      </c>
      <c r="D59" s="161"/>
      <c r="E59" s="691"/>
      <c r="F59" s="837"/>
      <c r="G59" s="691"/>
      <c r="H59" s="691">
        <f t="shared" si="0"/>
        <v>0</v>
      </c>
      <c r="I59" s="829"/>
      <c r="J59" s="831"/>
      <c r="K59" s="824">
        <f t="shared" si="1"/>
        <v>0</v>
      </c>
      <c r="L59" s="824">
        <f t="shared" si="2"/>
        <v>0</v>
      </c>
      <c r="M59" s="64">
        <f t="shared" si="3"/>
        <v>0</v>
      </c>
      <c r="N59" s="64"/>
    </row>
    <row r="60" spans="2:15" s="148" customFormat="1" ht="39.950000000000003" customHeight="1" thickBot="1" x14ac:dyDescent="0.3">
      <c r="B60" s="819" t="s">
        <v>211</v>
      </c>
      <c r="C60" s="820"/>
      <c r="D60" s="115"/>
      <c r="E60" s="162">
        <v>598.89924977861199</v>
      </c>
      <c r="F60" s="163">
        <v>0</v>
      </c>
      <c r="G60" s="162">
        <v>104.10939</v>
      </c>
      <c r="H60" s="162">
        <f t="shared" si="0"/>
        <v>703.00863977861195</v>
      </c>
      <c r="I60" s="118">
        <v>0</v>
      </c>
      <c r="J60" s="119">
        <v>96.507352941176464</v>
      </c>
      <c r="K60" s="120">
        <f t="shared" si="1"/>
        <v>96.507352941176464</v>
      </c>
      <c r="L60" s="120">
        <f t="shared" si="2"/>
        <v>799.51599271978841</v>
      </c>
      <c r="M60" s="64">
        <f t="shared" si="3"/>
        <v>799.51599271978841</v>
      </c>
      <c r="N60" s="64"/>
    </row>
    <row r="61" spans="2:15" s="148" customFormat="1" ht="24.95" hidden="1" customHeight="1" x14ac:dyDescent="0.3">
      <c r="B61" s="821" t="s">
        <v>93</v>
      </c>
      <c r="C61" s="822"/>
      <c r="D61" s="121"/>
      <c r="E61" s="122">
        <v>0</v>
      </c>
      <c r="F61" s="123" t="e">
        <v>#REF!</v>
      </c>
      <c r="G61" s="122">
        <v>0</v>
      </c>
      <c r="H61" s="122">
        <f t="shared" si="0"/>
        <v>0</v>
      </c>
      <c r="I61" s="124"/>
      <c r="J61" s="125"/>
      <c r="K61" s="126">
        <f t="shared" si="1"/>
        <v>0</v>
      </c>
      <c r="L61" s="126">
        <f t="shared" si="2"/>
        <v>0</v>
      </c>
      <c r="M61" s="64">
        <f t="shared" si="3"/>
        <v>0</v>
      </c>
      <c r="N61" s="64"/>
    </row>
    <row r="62" spans="2:15" s="148" customFormat="1" ht="24.95" hidden="1" customHeight="1" x14ac:dyDescent="0.3">
      <c r="B62" s="141" t="s">
        <v>212</v>
      </c>
      <c r="C62" s="142"/>
      <c r="D62" s="142"/>
      <c r="E62" s="143">
        <v>0</v>
      </c>
      <c r="F62" s="144" t="e">
        <v>#REF!</v>
      </c>
      <c r="G62" s="143">
        <v>0</v>
      </c>
      <c r="H62" s="143">
        <f t="shared" si="0"/>
        <v>0</v>
      </c>
      <c r="I62" s="145"/>
      <c r="J62" s="146"/>
      <c r="K62" s="147">
        <f t="shared" si="1"/>
        <v>0</v>
      </c>
      <c r="L62" s="147">
        <f t="shared" si="2"/>
        <v>0</v>
      </c>
      <c r="M62" s="64">
        <f t="shared" si="3"/>
        <v>0</v>
      </c>
      <c r="N62" s="64"/>
    </row>
    <row r="63" spans="2:15" s="148" customFormat="1" ht="29.25" hidden="1" customHeight="1" x14ac:dyDescent="0.3">
      <c r="B63" s="127" t="s">
        <v>213</v>
      </c>
      <c r="C63" s="128" t="s">
        <v>79</v>
      </c>
      <c r="D63" s="129"/>
      <c r="E63" s="130">
        <v>0</v>
      </c>
      <c r="F63" s="131" t="e">
        <v>#REF!</v>
      </c>
      <c r="G63" s="130">
        <v>0</v>
      </c>
      <c r="H63" s="130">
        <f t="shared" si="0"/>
        <v>0</v>
      </c>
      <c r="I63" s="132"/>
      <c r="J63" s="133"/>
      <c r="K63" s="134">
        <f t="shared" si="1"/>
        <v>0</v>
      </c>
      <c r="L63" s="134">
        <f t="shared" si="2"/>
        <v>0</v>
      </c>
      <c r="M63" s="64">
        <f t="shared" si="3"/>
        <v>0</v>
      </c>
      <c r="N63" s="64"/>
    </row>
    <row r="64" spans="2:15" s="148" customFormat="1" ht="29.25" customHeight="1" thickBot="1" x14ac:dyDescent="0.3">
      <c r="B64" s="819" t="s">
        <v>94</v>
      </c>
      <c r="C64" s="820"/>
      <c r="D64" s="115"/>
      <c r="E64" s="116">
        <v>0</v>
      </c>
      <c r="F64" s="117">
        <v>0</v>
      </c>
      <c r="G64" s="116">
        <v>0</v>
      </c>
      <c r="H64" s="116">
        <f t="shared" si="0"/>
        <v>0</v>
      </c>
      <c r="I64" s="118">
        <v>0</v>
      </c>
      <c r="J64" s="119">
        <v>0</v>
      </c>
      <c r="K64" s="120">
        <f t="shared" si="1"/>
        <v>0</v>
      </c>
      <c r="L64" s="120">
        <f t="shared" si="2"/>
        <v>0</v>
      </c>
      <c r="M64" s="64">
        <f t="shared" si="3"/>
        <v>0</v>
      </c>
      <c r="N64" s="64"/>
    </row>
    <row r="65" spans="2:14" s="148" customFormat="1" ht="39.950000000000003" customHeight="1" thickBot="1" x14ac:dyDescent="0.3">
      <c r="B65" s="819" t="s">
        <v>95</v>
      </c>
      <c r="C65" s="820"/>
      <c r="D65" s="115"/>
      <c r="E65" s="116">
        <v>10188.010530000001</v>
      </c>
      <c r="F65" s="117">
        <v>4721</v>
      </c>
      <c r="G65" s="116">
        <v>4721.8130600000004</v>
      </c>
      <c r="H65" s="116">
        <f t="shared" si="0"/>
        <v>14909.823590000002</v>
      </c>
      <c r="I65" s="118">
        <v>3838.9773500000001</v>
      </c>
      <c r="J65" s="119">
        <v>3921.5686274509803</v>
      </c>
      <c r="K65" s="120">
        <f t="shared" si="1"/>
        <v>7760.54597745098</v>
      </c>
      <c r="L65" s="120">
        <f t="shared" si="2"/>
        <v>22670.36956745098</v>
      </c>
      <c r="M65" s="64">
        <f t="shared" si="3"/>
        <v>22670.36956745098</v>
      </c>
      <c r="N65" s="64"/>
    </row>
    <row r="66" spans="2:14" s="148" customFormat="1" ht="29.25" hidden="1" customHeight="1" x14ac:dyDescent="0.3">
      <c r="B66" s="127" t="s">
        <v>108</v>
      </c>
      <c r="C66" s="128" t="s">
        <v>108</v>
      </c>
      <c r="D66" s="129"/>
      <c r="E66" s="130"/>
      <c r="F66" s="131"/>
      <c r="G66" s="130"/>
      <c r="H66" s="130">
        <f t="shared" si="0"/>
        <v>0</v>
      </c>
      <c r="I66" s="132"/>
      <c r="J66" s="133"/>
      <c r="K66" s="134">
        <f t="shared" si="1"/>
        <v>0</v>
      </c>
      <c r="L66" s="134">
        <f t="shared" si="2"/>
        <v>0</v>
      </c>
      <c r="M66" s="64">
        <f t="shared" si="3"/>
        <v>0</v>
      </c>
      <c r="N66" s="64"/>
    </row>
    <row r="67" spans="2:14" s="148" customFormat="1" ht="29.25" hidden="1" customHeight="1" x14ac:dyDescent="0.3">
      <c r="B67" s="127" t="s">
        <v>108</v>
      </c>
      <c r="C67" s="128" t="s">
        <v>108</v>
      </c>
      <c r="D67" s="129"/>
      <c r="E67" s="130"/>
      <c r="F67" s="131"/>
      <c r="G67" s="130"/>
      <c r="H67" s="130">
        <f t="shared" si="0"/>
        <v>0</v>
      </c>
      <c r="I67" s="132"/>
      <c r="J67" s="133"/>
      <c r="K67" s="134">
        <f t="shared" si="1"/>
        <v>0</v>
      </c>
      <c r="L67" s="134">
        <f t="shared" si="2"/>
        <v>0</v>
      </c>
      <c r="M67" s="64">
        <f t="shared" si="3"/>
        <v>0</v>
      </c>
      <c r="N67" s="64"/>
    </row>
    <row r="68" spans="2:14" s="148" customFormat="1" ht="45" customHeight="1" thickBot="1" x14ac:dyDescent="0.3">
      <c r="B68" s="834" t="s">
        <v>84</v>
      </c>
      <c r="C68" s="835"/>
      <c r="D68" s="164"/>
      <c r="E68" s="165">
        <f>E10+E30+E60+E64+E65</f>
        <v>536624.34128327586</v>
      </c>
      <c r="F68" s="166">
        <v>97215</v>
      </c>
      <c r="G68" s="165">
        <f>G10+G30+G60+G64+G65</f>
        <v>92894.822016555103</v>
      </c>
      <c r="H68" s="165">
        <f t="shared" si="0"/>
        <v>629519.16329983098</v>
      </c>
      <c r="I68" s="167">
        <f>+I10+I30+I60+I64+I65</f>
        <v>21022.94161550263</v>
      </c>
      <c r="J68" s="168">
        <f>+J10+J30+J60+J64+J65</f>
        <v>24757.084708002891</v>
      </c>
      <c r="K68" s="169">
        <f t="shared" si="1"/>
        <v>45780.026323505517</v>
      </c>
      <c r="L68" s="169">
        <f t="shared" si="2"/>
        <v>675299.18962333642</v>
      </c>
      <c r="M68" s="64">
        <f t="shared" si="3"/>
        <v>675299.18962333654</v>
      </c>
      <c r="N68" s="64"/>
    </row>
    <row r="69" spans="2:14" ht="15.75" thickBot="1" x14ac:dyDescent="0.3">
      <c r="B69" s="170"/>
      <c r="C69" s="170"/>
      <c r="D69" s="170"/>
      <c r="E69" s="171"/>
      <c r="F69" s="172"/>
      <c r="G69" s="173"/>
      <c r="H69" s="174"/>
      <c r="I69" s="175"/>
      <c r="J69" s="176"/>
      <c r="K69" s="177"/>
      <c r="L69" s="178"/>
      <c r="M69" s="64"/>
    </row>
    <row r="70" spans="2:14" ht="30" customHeight="1" x14ac:dyDescent="0.25">
      <c r="B70" s="832" t="s">
        <v>214</v>
      </c>
      <c r="C70" s="179"/>
      <c r="D70" s="180" t="s">
        <v>215</v>
      </c>
      <c r="E70" s="181">
        <v>360089.59925000003</v>
      </c>
      <c r="F70" s="182">
        <v>51746.273457388401</v>
      </c>
      <c r="G70" s="181">
        <v>47650.81007</v>
      </c>
      <c r="H70" s="183">
        <v>407740.40931999998</v>
      </c>
      <c r="I70" s="184">
        <v>9420.0690500000001</v>
      </c>
      <c r="J70" s="185">
        <v>13616</v>
      </c>
      <c r="K70" s="186">
        <f>I70+J70</f>
        <v>23036.069049999998</v>
      </c>
      <c r="L70" s="186">
        <f>E70+G70+I70+J70</f>
        <v>430776.47837000003</v>
      </c>
      <c r="M70" s="64"/>
    </row>
    <row r="71" spans="2:14" ht="30" customHeight="1" thickBot="1" x14ac:dyDescent="0.3">
      <c r="B71" s="833"/>
      <c r="C71" s="187"/>
      <c r="D71" s="188" t="s">
        <v>122</v>
      </c>
      <c r="E71" s="189">
        <f t="shared" ref="E71:L71" si="4">E70/E68</f>
        <v>0.67102733056962505</v>
      </c>
      <c r="F71" s="190">
        <f t="shared" si="4"/>
        <v>0.5322869254475997</v>
      </c>
      <c r="G71" s="189">
        <f t="shared" si="4"/>
        <v>0.51295442561381932</v>
      </c>
      <c r="H71" s="189">
        <f t="shared" si="4"/>
        <v>0.64770134586959194</v>
      </c>
      <c r="I71" s="191">
        <f t="shared" si="4"/>
        <v>0.44808520245584954</v>
      </c>
      <c r="J71" s="192">
        <f t="shared" si="4"/>
        <v>0.54998398077131183</v>
      </c>
      <c r="K71" s="193">
        <f t="shared" si="4"/>
        <v>0.50319038454052278</v>
      </c>
      <c r="L71" s="193">
        <f t="shared" si="4"/>
        <v>0.63790462803646408</v>
      </c>
      <c r="M71" s="64"/>
    </row>
    <row r="72" spans="2:14" ht="34.5" customHeight="1" x14ac:dyDescent="0.25">
      <c r="B72" s="832" t="s">
        <v>216</v>
      </c>
      <c r="C72" s="179"/>
      <c r="D72" s="180" t="s">
        <v>215</v>
      </c>
      <c r="E72" s="181">
        <v>176534.74202999999</v>
      </c>
      <c r="F72" s="182">
        <v>45468.725731588114</v>
      </c>
      <c r="G72" s="181">
        <v>45244.011930000001</v>
      </c>
      <c r="H72" s="183">
        <v>221778.75396999999</v>
      </c>
      <c r="I72" s="184">
        <v>11602.87256</v>
      </c>
      <c r="J72" s="185">
        <v>11141</v>
      </c>
      <c r="K72" s="186">
        <f>I72+J72</f>
        <v>22743.87256</v>
      </c>
      <c r="L72" s="186">
        <f>E72+G72+I72+J72</f>
        <v>244522.62651999999</v>
      </c>
      <c r="M72" s="64"/>
    </row>
    <row r="73" spans="2:14" ht="30.75" customHeight="1" thickBot="1" x14ac:dyDescent="0.3">
      <c r="B73" s="833"/>
      <c r="C73" s="187"/>
      <c r="D73" s="188" t="s">
        <v>122</v>
      </c>
      <c r="E73" s="189">
        <f t="shared" ref="E73:L73" si="5">E72/E68</f>
        <v>0.32897266942427045</v>
      </c>
      <c r="F73" s="190">
        <f t="shared" si="5"/>
        <v>0.46771306620982478</v>
      </c>
      <c r="G73" s="189">
        <f t="shared" si="5"/>
        <v>0.48704557420796729</v>
      </c>
      <c r="H73" s="189">
        <f t="shared" si="5"/>
        <v>0.35229865411479133</v>
      </c>
      <c r="I73" s="191">
        <f t="shared" si="5"/>
        <v>0.55191479728240644</v>
      </c>
      <c r="J73" s="192">
        <f t="shared" si="5"/>
        <v>0.45001259766254298</v>
      </c>
      <c r="K73" s="193">
        <f t="shared" si="5"/>
        <v>0.49680776501262686</v>
      </c>
      <c r="L73" s="193">
        <f t="shared" si="5"/>
        <v>0.36209524648828334</v>
      </c>
      <c r="M73" s="64"/>
    </row>
    <row r="75" spans="2:14" x14ac:dyDescent="0.25">
      <c r="I75" s="64"/>
      <c r="K75" s="111" t="s">
        <v>144</v>
      </c>
      <c r="L75" s="112">
        <v>42501</v>
      </c>
    </row>
    <row r="76" spans="2:14" x14ac:dyDescent="0.25">
      <c r="E76" s="64"/>
      <c r="F76" s="64"/>
      <c r="G76" s="64"/>
      <c r="H76" s="64"/>
      <c r="I76" s="64"/>
      <c r="J76" s="64"/>
      <c r="K76" s="64"/>
      <c r="L76" s="64"/>
    </row>
    <row r="77" spans="2:14" x14ac:dyDescent="0.25">
      <c r="G77" s="64"/>
      <c r="H77" s="64"/>
      <c r="I77" s="64"/>
      <c r="J77" s="64"/>
      <c r="K77" s="64"/>
      <c r="L77" s="64"/>
      <c r="M77" s="64"/>
    </row>
    <row r="78" spans="2:14" x14ac:dyDescent="0.25">
      <c r="E78" s="64"/>
      <c r="H78" s="64"/>
      <c r="I78" s="64"/>
      <c r="J78" s="64"/>
      <c r="K78" s="64"/>
      <c r="L78" s="64"/>
    </row>
    <row r="79" spans="2:14" x14ac:dyDescent="0.25">
      <c r="I79" s="64"/>
      <c r="J79" s="64"/>
      <c r="K79" s="64"/>
      <c r="L79" s="64"/>
    </row>
    <row r="80" spans="2:14" x14ac:dyDescent="0.25">
      <c r="E80" s="64"/>
      <c r="H80" s="64"/>
      <c r="I80" s="64"/>
      <c r="J80" s="64"/>
      <c r="K80" s="64"/>
      <c r="L80" s="64"/>
    </row>
    <row r="81" spans="3:10" x14ac:dyDescent="0.25">
      <c r="I81" s="64"/>
    </row>
    <row r="82" spans="3:10" x14ac:dyDescent="0.25">
      <c r="I82" s="64">
        <f>+H70+I70</f>
        <v>417160.47836999997</v>
      </c>
    </row>
    <row r="83" spans="3:10" x14ac:dyDescent="0.25">
      <c r="I83" s="64">
        <f>+H72+I72</f>
        <v>233381.62652999998</v>
      </c>
    </row>
    <row r="84" spans="3:10" x14ac:dyDescent="0.25">
      <c r="I84" s="64">
        <f>SUM(I82:I83)</f>
        <v>650542.10489999992</v>
      </c>
      <c r="J84" s="64"/>
    </row>
    <row r="86" spans="3:10" x14ac:dyDescent="0.25">
      <c r="I86">
        <f>I82/I84</f>
        <v>0.64125054355109734</v>
      </c>
    </row>
    <row r="87" spans="3:10" x14ac:dyDescent="0.25">
      <c r="I87">
        <f>I83/I84</f>
        <v>0.35874945644890266</v>
      </c>
    </row>
    <row r="96" spans="3:10" x14ac:dyDescent="0.25">
      <c r="C96" s="8"/>
      <c r="D96" s="8"/>
      <c r="E96" s="8"/>
      <c r="F96" s="8"/>
      <c r="G96" s="8"/>
      <c r="H96" s="8"/>
    </row>
    <row r="97" spans="3:8" x14ac:dyDescent="0.25">
      <c r="C97" s="8"/>
      <c r="D97" s="8"/>
      <c r="E97" s="8"/>
      <c r="F97" s="8"/>
      <c r="G97" s="8"/>
      <c r="H97" s="8"/>
    </row>
  </sheetData>
  <mergeCells count="35">
    <mergeCell ref="B2:L2"/>
    <mergeCell ref="B3:L3"/>
    <mergeCell ref="B6:D9"/>
    <mergeCell ref="E6:L6"/>
    <mergeCell ref="E7:H7"/>
    <mergeCell ref="I7:K7"/>
    <mergeCell ref="L7:L9"/>
    <mergeCell ref="E8:E9"/>
    <mergeCell ref="H8:H9"/>
    <mergeCell ref="I8:I9"/>
    <mergeCell ref="J8:J9"/>
    <mergeCell ref="K8:K9"/>
    <mergeCell ref="B10:C10"/>
    <mergeCell ref="B11:C11"/>
    <mergeCell ref="B14:C14"/>
    <mergeCell ref="B15:C15"/>
    <mergeCell ref="F8:F9"/>
    <mergeCell ref="B30:C30"/>
    <mergeCell ref="B31:C31"/>
    <mergeCell ref="B53:C53"/>
    <mergeCell ref="E58:E59"/>
    <mergeCell ref="F58:F59"/>
    <mergeCell ref="B72:B73"/>
    <mergeCell ref="L58:L59"/>
    <mergeCell ref="B64:C64"/>
    <mergeCell ref="B65:C65"/>
    <mergeCell ref="B68:C68"/>
    <mergeCell ref="B70:B71"/>
    <mergeCell ref="B60:C60"/>
    <mergeCell ref="B61:C61"/>
    <mergeCell ref="G58:G59"/>
    <mergeCell ref="H58:H59"/>
    <mergeCell ref="I58:I59"/>
    <mergeCell ref="J58:J59"/>
    <mergeCell ref="K58:K59"/>
  </mergeCells>
  <pageMargins left="0.51181102362204722" right="0.51181102362204722" top="0.78740157480314965" bottom="0.78740157480314965" header="0.31496062992125984" footer="0.31496062992125984"/>
  <pageSetup paperSize="9" scale="63" orientation="landscape" r:id="rId1"/>
  <headerFooter>
    <oddHeader>&amp;L&amp;G&amp;R&amp;9Superintendência de Gestão de Projetos Especiais - TG
Departamento de Planejamento e Controle - TGC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B1:AW6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H13" sqref="H13"/>
    </sheetView>
  </sheetViews>
  <sheetFormatPr defaultRowHeight="15" x14ac:dyDescent="0.25"/>
  <cols>
    <col min="1" max="2" width="1.7109375" customWidth="1"/>
    <col min="3" max="3" width="14.5703125" customWidth="1"/>
    <col min="4" max="4" width="24.140625" customWidth="1"/>
    <col min="5" max="5" width="62.5703125" style="1" customWidth="1"/>
    <col min="6" max="6" width="15" customWidth="1"/>
    <col min="7" max="8" width="14" customWidth="1"/>
    <col min="9" max="9" width="10.28515625" customWidth="1"/>
    <col min="10" max="10" width="16.7109375" customWidth="1"/>
    <col min="11" max="48" width="17.7109375" style="1" customWidth="1"/>
  </cols>
  <sheetData>
    <row r="1" spans="2:49" ht="15.75" x14ac:dyDescent="0.25"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  <c r="AL1" s="591"/>
      <c r="AM1" s="591"/>
      <c r="AN1" s="591"/>
      <c r="AO1" s="591"/>
      <c r="AP1" s="591"/>
      <c r="AQ1" s="591"/>
      <c r="AR1" s="591"/>
      <c r="AS1" s="591"/>
      <c r="AT1" s="591"/>
      <c r="AU1" s="591"/>
      <c r="AV1" s="591"/>
    </row>
    <row r="2" spans="2:49" ht="18" customHeight="1" thickBot="1" x14ac:dyDescent="0.3">
      <c r="B2" t="s">
        <v>100</v>
      </c>
      <c r="L2" s="202"/>
      <c r="M2" s="202"/>
      <c r="O2" s="6"/>
      <c r="P2" s="202"/>
    </row>
    <row r="3" spans="2:49" ht="20.100000000000001" customHeight="1" x14ac:dyDescent="0.25">
      <c r="C3" s="592" t="s">
        <v>106</v>
      </c>
      <c r="D3" s="594" t="s">
        <v>0</v>
      </c>
      <c r="E3" s="596" t="s">
        <v>1</v>
      </c>
      <c r="F3" s="598" t="s">
        <v>238</v>
      </c>
      <c r="G3" s="602" t="s">
        <v>273</v>
      </c>
      <c r="H3" s="602" t="s">
        <v>274</v>
      </c>
      <c r="I3" s="602" t="s">
        <v>275</v>
      </c>
      <c r="J3" s="602" t="s">
        <v>276</v>
      </c>
      <c r="K3" s="600" t="s">
        <v>118</v>
      </c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601"/>
      <c r="AL3" s="601"/>
      <c r="AM3" s="601"/>
      <c r="AN3" s="601"/>
      <c r="AO3" s="601"/>
      <c r="AP3" s="601"/>
      <c r="AQ3" s="601"/>
      <c r="AR3" s="601"/>
      <c r="AS3" s="601"/>
      <c r="AT3" s="601"/>
      <c r="AU3" s="601"/>
      <c r="AV3" s="601"/>
      <c r="AW3" s="301"/>
    </row>
    <row r="4" spans="2:49" ht="30" customHeight="1" x14ac:dyDescent="0.25">
      <c r="C4" s="593"/>
      <c r="D4" s="595"/>
      <c r="E4" s="597"/>
      <c r="F4" s="599"/>
      <c r="G4" s="603"/>
      <c r="H4" s="603"/>
      <c r="I4" s="603"/>
      <c r="J4" s="603"/>
      <c r="K4" s="11" t="s">
        <v>250</v>
      </c>
      <c r="L4" s="268">
        <v>42461</v>
      </c>
      <c r="M4" s="268">
        <v>42491</v>
      </c>
      <c r="N4" s="268">
        <v>42522</v>
      </c>
      <c r="O4" s="268">
        <v>42552</v>
      </c>
      <c r="P4" s="268">
        <v>42583</v>
      </c>
      <c r="Q4" s="268">
        <v>42614</v>
      </c>
      <c r="R4" s="268">
        <v>42644</v>
      </c>
      <c r="S4" s="268">
        <v>42675</v>
      </c>
      <c r="T4" s="268">
        <v>42705</v>
      </c>
      <c r="U4" s="268" t="s">
        <v>284</v>
      </c>
      <c r="V4" s="268">
        <v>42736</v>
      </c>
      <c r="W4" s="268">
        <v>42767</v>
      </c>
      <c r="X4" s="268">
        <v>42795</v>
      </c>
      <c r="Y4" s="268">
        <v>42826</v>
      </c>
      <c r="Z4" s="268">
        <v>42856</v>
      </c>
      <c r="AA4" s="268">
        <v>42887</v>
      </c>
      <c r="AB4" s="268">
        <v>42917</v>
      </c>
      <c r="AC4" s="268">
        <v>42948</v>
      </c>
      <c r="AD4" s="268">
        <v>42979</v>
      </c>
      <c r="AE4" s="268">
        <v>43009</v>
      </c>
      <c r="AF4" s="268">
        <v>43040</v>
      </c>
      <c r="AG4" s="268">
        <v>43070</v>
      </c>
      <c r="AH4" s="268" t="s">
        <v>285</v>
      </c>
      <c r="AI4" s="268">
        <v>43101</v>
      </c>
      <c r="AJ4" s="268">
        <v>43132</v>
      </c>
      <c r="AK4" s="268">
        <v>43160</v>
      </c>
      <c r="AL4" s="268">
        <v>43191</v>
      </c>
      <c r="AM4" s="268">
        <v>43221</v>
      </c>
      <c r="AN4" s="268">
        <v>43252</v>
      </c>
      <c r="AO4" s="268">
        <v>43282</v>
      </c>
      <c r="AP4" s="268">
        <v>43313</v>
      </c>
      <c r="AQ4" s="268">
        <v>43344</v>
      </c>
      <c r="AR4" s="268">
        <v>43374</v>
      </c>
      <c r="AS4" s="268">
        <v>43405</v>
      </c>
      <c r="AT4" s="268">
        <v>43435</v>
      </c>
      <c r="AU4" s="268" t="s">
        <v>286</v>
      </c>
      <c r="AV4" s="268" t="s">
        <v>119</v>
      </c>
    </row>
    <row r="5" spans="2:49" ht="24.95" customHeight="1" x14ac:dyDescent="0.25">
      <c r="C5" s="205" t="s">
        <v>85</v>
      </c>
      <c r="D5" s="206"/>
      <c r="E5" s="206"/>
      <c r="F5" s="207"/>
      <c r="G5" s="233"/>
      <c r="H5" s="233"/>
      <c r="I5" s="233"/>
      <c r="J5" s="233"/>
      <c r="K5" s="48">
        <f t="shared" ref="K5" si="0">K6+K9</f>
        <v>16708961.854900001</v>
      </c>
      <c r="L5" s="48"/>
      <c r="M5" s="48"/>
      <c r="N5" s="48"/>
      <c r="O5" s="48"/>
      <c r="P5" s="48"/>
      <c r="Q5" s="48"/>
      <c r="R5" s="48"/>
      <c r="S5" s="48"/>
      <c r="T5" s="48"/>
      <c r="U5" s="48">
        <f t="shared" ref="U5" si="1">U6+U9</f>
        <v>1612910.1358</v>
      </c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>
        <f t="shared" ref="AH5" si="2">AH6+AH9</f>
        <v>5290920.8</v>
      </c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>
        <f t="shared" ref="AU5:AV5" si="3">AU6+AU9</f>
        <v>12078903.199999999</v>
      </c>
      <c r="AV5" s="48">
        <f t="shared" si="3"/>
        <v>18982734.1358</v>
      </c>
    </row>
    <row r="6" spans="2:49" ht="24.95" customHeight="1" x14ac:dyDescent="0.25">
      <c r="C6" s="226" t="s">
        <v>86</v>
      </c>
      <c r="D6" s="209"/>
      <c r="E6" s="209"/>
      <c r="F6" s="210"/>
      <c r="G6" s="269"/>
      <c r="H6" s="269"/>
      <c r="I6" s="269"/>
      <c r="J6" s="269"/>
      <c r="K6" s="50">
        <f t="shared" ref="K6" si="4">SUM(K7:K8)</f>
        <v>672703.08840000012</v>
      </c>
      <c r="L6" s="50"/>
      <c r="M6" s="50"/>
      <c r="N6" s="50"/>
      <c r="O6" s="50"/>
      <c r="P6" s="50"/>
      <c r="Q6" s="50"/>
      <c r="R6" s="50"/>
      <c r="S6" s="50"/>
      <c r="T6" s="50"/>
      <c r="U6" s="50">
        <f>SUM(U7:U8)</f>
        <v>35000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>
        <f>SUM(AH7:AH8)</f>
        <v>0</v>
      </c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>
        <f>SUM(AU7:AU8)</f>
        <v>0</v>
      </c>
      <c r="AV6" s="50">
        <f>SUM(AV7:AV8)</f>
        <v>35000</v>
      </c>
    </row>
    <row r="7" spans="2:49" ht="15" customHeight="1" x14ac:dyDescent="0.25">
      <c r="C7" s="211" t="s">
        <v>153</v>
      </c>
      <c r="D7" s="212" t="s">
        <v>7</v>
      </c>
      <c r="E7" s="213" t="s">
        <v>8</v>
      </c>
      <c r="F7" s="214" t="s">
        <v>239</v>
      </c>
      <c r="G7" s="270" t="s">
        <v>108</v>
      </c>
      <c r="H7" s="270" t="s">
        <v>108</v>
      </c>
      <c r="I7" s="283" t="s">
        <v>108</v>
      </c>
      <c r="J7" s="283"/>
      <c r="K7" s="52">
        <f>'Estimativa  R$'!N7</f>
        <v>0</v>
      </c>
      <c r="L7" s="52"/>
      <c r="M7" s="52"/>
      <c r="N7" s="52"/>
      <c r="O7" s="52"/>
      <c r="P7" s="52"/>
      <c r="Q7" s="52"/>
      <c r="R7" s="52"/>
      <c r="S7" s="52"/>
      <c r="T7" s="52"/>
      <c r="U7" s="52">
        <f>SUM(L7:T7)</f>
        <v>0</v>
      </c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303">
        <f>SUM(V7:AG7)</f>
        <v>0</v>
      </c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>
        <f>SUM(AI7:AT7)</f>
        <v>0</v>
      </c>
      <c r="AV7" s="52">
        <f>+U7+AH7+AU7</f>
        <v>0</v>
      </c>
    </row>
    <row r="8" spans="2:49" ht="15" customHeight="1" x14ac:dyDescent="0.25">
      <c r="C8" s="211" t="s">
        <v>220</v>
      </c>
      <c r="D8" s="212" t="s">
        <v>9</v>
      </c>
      <c r="E8" s="215" t="s">
        <v>296</v>
      </c>
      <c r="F8" s="214" t="s">
        <v>240</v>
      </c>
      <c r="G8" s="272">
        <v>42740</v>
      </c>
      <c r="H8" s="272">
        <v>40299</v>
      </c>
      <c r="I8" s="283">
        <v>1.06</v>
      </c>
      <c r="J8" s="54">
        <f>K8/9</f>
        <v>74744.787600000011</v>
      </c>
      <c r="K8" s="54">
        <f>'Estimativa  R$'!N8</f>
        <v>672703.08840000012</v>
      </c>
      <c r="L8" s="54"/>
      <c r="M8" s="54"/>
      <c r="N8" s="54">
        <v>35000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2">
        <f>SUM(L8:T8)</f>
        <v>35000</v>
      </c>
      <c r="V8" s="54">
        <v>0</v>
      </c>
      <c r="W8" s="54">
        <v>0</v>
      </c>
      <c r="X8" s="54"/>
      <c r="Y8" s="54"/>
      <c r="Z8" s="54"/>
      <c r="AA8" s="54"/>
      <c r="AB8" s="54"/>
      <c r="AC8" s="54"/>
      <c r="AD8" s="54"/>
      <c r="AE8" s="54"/>
      <c r="AF8" s="54"/>
      <c r="AG8" s="54"/>
      <c r="AH8" s="303">
        <f>SUM(V8:AG8)</f>
        <v>0</v>
      </c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2">
        <f>SUM(AI8:AT8)</f>
        <v>0</v>
      </c>
      <c r="AV8" s="52">
        <f>+U8+AH8+AU8</f>
        <v>35000</v>
      </c>
    </row>
    <row r="9" spans="2:49" ht="24.95" customHeight="1" x14ac:dyDescent="0.25">
      <c r="C9" s="226" t="s">
        <v>87</v>
      </c>
      <c r="D9" s="209"/>
      <c r="E9" s="209"/>
      <c r="F9" s="210"/>
      <c r="G9" s="269"/>
      <c r="H9" s="269"/>
      <c r="I9" s="284"/>
      <c r="J9" s="284"/>
      <c r="K9" s="50">
        <f t="shared" ref="K9" si="5">SUM(K10:K22)</f>
        <v>16036258.7665</v>
      </c>
      <c r="L9" s="50"/>
      <c r="M9" s="50"/>
      <c r="N9" s="50"/>
      <c r="O9" s="50"/>
      <c r="P9" s="50"/>
      <c r="Q9" s="50"/>
      <c r="R9" s="50"/>
      <c r="S9" s="50"/>
      <c r="T9" s="50"/>
      <c r="U9" s="50">
        <f t="shared" ref="U9" si="6">SUM(U10:U22)</f>
        <v>1577910.1358</v>
      </c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>
        <f t="shared" ref="AH9" si="7">SUM(AH10:AH22)</f>
        <v>5290920.8</v>
      </c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>
        <f t="shared" ref="AU9:AV9" si="8">SUM(AU10:AU22)</f>
        <v>12078903.199999999</v>
      </c>
      <c r="AV9" s="50">
        <f t="shared" si="8"/>
        <v>18947734.1358</v>
      </c>
    </row>
    <row r="10" spans="2:49" ht="15" customHeight="1" x14ac:dyDescent="0.25">
      <c r="C10" s="211" t="s">
        <v>156</v>
      </c>
      <c r="D10" s="212" t="s">
        <v>11</v>
      </c>
      <c r="E10" s="213" t="s">
        <v>12</v>
      </c>
      <c r="F10" s="214" t="s">
        <v>255</v>
      </c>
      <c r="G10" s="272">
        <v>42462</v>
      </c>
      <c r="H10" s="272">
        <v>39934</v>
      </c>
      <c r="I10" s="283" t="s">
        <v>108</v>
      </c>
      <c r="J10" s="283" t="s">
        <v>108</v>
      </c>
      <c r="K10" s="54">
        <f>'Estimativa  R$'!N10</f>
        <v>0</v>
      </c>
      <c r="L10" s="442"/>
      <c r="M10" s="442"/>
      <c r="N10" s="54"/>
      <c r="O10" s="54"/>
      <c r="P10" s="54"/>
      <c r="Q10" s="54"/>
      <c r="R10" s="54"/>
      <c r="S10" s="54"/>
      <c r="T10" s="54"/>
      <c r="U10" s="52">
        <f t="shared" ref="U10:U22" si="9">SUM(L10:T10)</f>
        <v>0</v>
      </c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303">
        <f t="shared" ref="AH10:AH22" si="10">SUM(V10:AG10)</f>
        <v>0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2">
        <f t="shared" ref="AU10:AU22" si="11">SUM(AI10:AT10)</f>
        <v>0</v>
      </c>
      <c r="AV10" s="52">
        <f t="shared" ref="AV10:AV22" si="12">+U10+AH10+AU10</f>
        <v>0</v>
      </c>
    </row>
    <row r="11" spans="2:49" ht="15" customHeight="1" x14ac:dyDescent="0.25">
      <c r="C11" s="211" t="s">
        <v>159</v>
      </c>
      <c r="D11" s="212" t="s">
        <v>13</v>
      </c>
      <c r="E11" s="213" t="s">
        <v>14</v>
      </c>
      <c r="F11" s="214" t="s">
        <v>239</v>
      </c>
      <c r="G11" s="270" t="s">
        <v>108</v>
      </c>
      <c r="H11" s="270" t="s">
        <v>108</v>
      </c>
      <c r="I11" s="283" t="s">
        <v>108</v>
      </c>
      <c r="J11" s="283" t="s">
        <v>108</v>
      </c>
      <c r="K11" s="52">
        <f>'Estimativa  R$'!N11</f>
        <v>0</v>
      </c>
      <c r="L11" s="52"/>
      <c r="M11" s="52"/>
      <c r="N11" s="52"/>
      <c r="O11" s="52"/>
      <c r="P11" s="52"/>
      <c r="Q11" s="52"/>
      <c r="R11" s="52"/>
      <c r="S11" s="52"/>
      <c r="T11" s="52"/>
      <c r="U11" s="52">
        <f t="shared" si="9"/>
        <v>0</v>
      </c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303">
        <f t="shared" si="10"/>
        <v>0</v>
      </c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>
        <f t="shared" si="11"/>
        <v>0</v>
      </c>
      <c r="AV11" s="52">
        <f t="shared" si="12"/>
        <v>0</v>
      </c>
    </row>
    <row r="12" spans="2:49" ht="15" customHeight="1" x14ac:dyDescent="0.25">
      <c r="C12" s="211" t="s">
        <v>161</v>
      </c>
      <c r="D12" s="212" t="s">
        <v>15</v>
      </c>
      <c r="E12" s="213" t="s">
        <v>16</v>
      </c>
      <c r="F12" s="214" t="s">
        <v>239</v>
      </c>
      <c r="G12" s="270" t="s">
        <v>108</v>
      </c>
      <c r="H12" s="270" t="s">
        <v>108</v>
      </c>
      <c r="I12" s="283" t="s">
        <v>108</v>
      </c>
      <c r="J12" s="283" t="s">
        <v>108</v>
      </c>
      <c r="K12" s="52">
        <f>'Estimativa  R$'!N12</f>
        <v>0</v>
      </c>
      <c r="L12" s="52"/>
      <c r="M12" s="52"/>
      <c r="N12" s="52"/>
      <c r="O12" s="52"/>
      <c r="P12" s="52"/>
      <c r="Q12" s="52"/>
      <c r="R12" s="52"/>
      <c r="S12" s="52"/>
      <c r="T12" s="52"/>
      <c r="U12" s="52">
        <f t="shared" si="9"/>
        <v>0</v>
      </c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303">
        <f t="shared" si="10"/>
        <v>0</v>
      </c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>
        <f t="shared" si="11"/>
        <v>0</v>
      </c>
      <c r="AV12" s="52">
        <f t="shared" si="12"/>
        <v>0</v>
      </c>
    </row>
    <row r="13" spans="2:49" ht="15" customHeight="1" x14ac:dyDescent="0.25">
      <c r="C13" s="211" t="s">
        <v>158</v>
      </c>
      <c r="D13" s="212" t="s">
        <v>17</v>
      </c>
      <c r="E13" s="213" t="s">
        <v>18</v>
      </c>
      <c r="F13" s="214" t="s">
        <v>239</v>
      </c>
      <c r="G13" s="270" t="s">
        <v>108</v>
      </c>
      <c r="H13" s="270" t="s">
        <v>108</v>
      </c>
      <c r="I13" s="283" t="s">
        <v>108</v>
      </c>
      <c r="J13" s="283" t="s">
        <v>108</v>
      </c>
      <c r="K13" s="52">
        <f>'Estimativa  R$'!N13</f>
        <v>0</v>
      </c>
      <c r="L13" s="52"/>
      <c r="M13" s="52"/>
      <c r="N13" s="52"/>
      <c r="O13" s="52"/>
      <c r="P13" s="52"/>
      <c r="Q13" s="52"/>
      <c r="R13" s="52"/>
      <c r="S13" s="52"/>
      <c r="T13" s="52"/>
      <c r="U13" s="52">
        <f t="shared" si="9"/>
        <v>0</v>
      </c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303">
        <f t="shared" si="10"/>
        <v>0</v>
      </c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>
        <f t="shared" si="11"/>
        <v>0</v>
      </c>
      <c r="AV13" s="52">
        <f t="shared" si="12"/>
        <v>0</v>
      </c>
    </row>
    <row r="14" spans="2:49" ht="15" customHeight="1" x14ac:dyDescent="0.25">
      <c r="C14" s="211" t="s">
        <v>171</v>
      </c>
      <c r="D14" s="212" t="s">
        <v>19</v>
      </c>
      <c r="E14" s="213" t="s">
        <v>20</v>
      </c>
      <c r="F14" s="214" t="s">
        <v>239</v>
      </c>
      <c r="G14" s="270" t="s">
        <v>108</v>
      </c>
      <c r="H14" s="270" t="s">
        <v>108</v>
      </c>
      <c r="I14" s="283" t="s">
        <v>108</v>
      </c>
      <c r="J14" s="283" t="s">
        <v>108</v>
      </c>
      <c r="K14" s="52">
        <f>'Estimativa  R$'!N14</f>
        <v>0</v>
      </c>
      <c r="L14" s="52"/>
      <c r="M14" s="52"/>
      <c r="N14" s="52"/>
      <c r="O14" s="52"/>
      <c r="P14" s="52"/>
      <c r="Q14" s="52"/>
      <c r="R14" s="52"/>
      <c r="S14" s="52"/>
      <c r="T14" s="52"/>
      <c r="U14" s="52">
        <f t="shared" si="9"/>
        <v>0</v>
      </c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303">
        <f t="shared" si="10"/>
        <v>0</v>
      </c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>
        <f t="shared" si="11"/>
        <v>0</v>
      </c>
      <c r="AV14" s="52">
        <f t="shared" si="12"/>
        <v>0</v>
      </c>
    </row>
    <row r="15" spans="2:49" ht="15" customHeight="1" x14ac:dyDescent="0.25">
      <c r="C15" s="211" t="s">
        <v>169</v>
      </c>
      <c r="D15" s="212" t="s">
        <v>99</v>
      </c>
      <c r="E15" s="213" t="s">
        <v>21</v>
      </c>
      <c r="F15" s="214" t="s">
        <v>239</v>
      </c>
      <c r="G15" s="270" t="s">
        <v>108</v>
      </c>
      <c r="H15" s="270" t="s">
        <v>108</v>
      </c>
      <c r="I15" s="283" t="s">
        <v>108</v>
      </c>
      <c r="J15" s="283" t="s">
        <v>108</v>
      </c>
      <c r="K15" s="52">
        <f>'Estimativa  R$'!N15</f>
        <v>0</v>
      </c>
      <c r="L15" s="52"/>
      <c r="M15" s="52"/>
      <c r="N15" s="52"/>
      <c r="O15" s="52"/>
      <c r="P15" s="52"/>
      <c r="Q15" s="52"/>
      <c r="R15" s="52"/>
      <c r="S15" s="52"/>
      <c r="T15" s="52"/>
      <c r="U15" s="52">
        <f t="shared" si="9"/>
        <v>0</v>
      </c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303">
        <f t="shared" si="10"/>
        <v>0</v>
      </c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>
        <f t="shared" si="11"/>
        <v>0</v>
      </c>
      <c r="AV15" s="52">
        <f t="shared" si="12"/>
        <v>0</v>
      </c>
    </row>
    <row r="16" spans="2:49" ht="15" customHeight="1" x14ac:dyDescent="0.25">
      <c r="C16" s="211" t="s">
        <v>164</v>
      </c>
      <c r="D16" s="212" t="s">
        <v>22</v>
      </c>
      <c r="E16" s="213" t="s">
        <v>23</v>
      </c>
      <c r="F16" s="214" t="s">
        <v>272</v>
      </c>
      <c r="G16" s="270" t="s">
        <v>108</v>
      </c>
      <c r="H16" s="270" t="s">
        <v>108</v>
      </c>
      <c r="I16" s="283" t="s">
        <v>108</v>
      </c>
      <c r="J16" s="283" t="s">
        <v>108</v>
      </c>
      <c r="K16" s="54">
        <f>'Estimativa  R$'!N16</f>
        <v>0</v>
      </c>
      <c r="L16" s="54"/>
      <c r="M16" s="54"/>
      <c r="N16" s="54"/>
      <c r="O16" s="54"/>
      <c r="P16" s="54"/>
      <c r="Q16" s="54"/>
      <c r="R16" s="54"/>
      <c r="S16" s="54"/>
      <c r="T16" s="54"/>
      <c r="U16" s="52">
        <f t="shared" si="9"/>
        <v>0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303">
        <f t="shared" si="10"/>
        <v>0</v>
      </c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2">
        <f t="shared" si="11"/>
        <v>0</v>
      </c>
      <c r="AV16" s="52">
        <f t="shared" si="12"/>
        <v>0</v>
      </c>
    </row>
    <row r="17" spans="3:48" ht="15" customHeight="1" x14ac:dyDescent="0.25">
      <c r="C17" s="211" t="s">
        <v>165</v>
      </c>
      <c r="D17" s="212" t="s">
        <v>24</v>
      </c>
      <c r="E17" s="213" t="s">
        <v>25</v>
      </c>
      <c r="F17" s="214" t="s">
        <v>241</v>
      </c>
      <c r="G17" s="272">
        <v>42767</v>
      </c>
      <c r="H17" s="272">
        <v>40299</v>
      </c>
      <c r="I17" s="283">
        <v>1.06</v>
      </c>
      <c r="J17" s="283" t="s">
        <v>278</v>
      </c>
      <c r="K17" s="54">
        <f>'Estimativa  R$'!N17</f>
        <v>1534465.5084000002</v>
      </c>
      <c r="L17" s="54"/>
      <c r="M17" s="54"/>
      <c r="N17" s="54">
        <v>17000</v>
      </c>
      <c r="O17" s="54">
        <v>17000</v>
      </c>
      <c r="P17" s="54">
        <v>17000</v>
      </c>
      <c r="Q17" s="54">
        <v>17000</v>
      </c>
      <c r="R17" s="54">
        <v>17000</v>
      </c>
      <c r="S17" s="54">
        <v>17000</v>
      </c>
      <c r="T17" s="54">
        <v>20863.07</v>
      </c>
      <c r="U17" s="52">
        <f t="shared" si="9"/>
        <v>122863.07</v>
      </c>
      <c r="V17" s="54">
        <v>58000</v>
      </c>
      <c r="W17" s="54">
        <v>58000</v>
      </c>
      <c r="X17" s="54">
        <v>58000</v>
      </c>
      <c r="Y17" s="54">
        <v>58000</v>
      </c>
      <c r="Z17" s="54">
        <v>58000</v>
      </c>
      <c r="AA17" s="54">
        <v>61000</v>
      </c>
      <c r="AB17" s="54">
        <v>61000</v>
      </c>
      <c r="AC17" s="54">
        <v>61000</v>
      </c>
      <c r="AD17" s="54">
        <v>61000</v>
      </c>
      <c r="AE17" s="54">
        <v>61000</v>
      </c>
      <c r="AF17" s="54">
        <v>61000</v>
      </c>
      <c r="AG17" s="54">
        <v>61000</v>
      </c>
      <c r="AH17" s="303">
        <f t="shared" si="10"/>
        <v>717000</v>
      </c>
      <c r="AI17" s="54">
        <v>61000</v>
      </c>
      <c r="AJ17" s="54">
        <v>61000</v>
      </c>
      <c r="AK17" s="54">
        <v>61000</v>
      </c>
      <c r="AL17" s="54">
        <v>61000</v>
      </c>
      <c r="AM17" s="54">
        <v>61000</v>
      </c>
      <c r="AN17" s="54">
        <v>65000</v>
      </c>
      <c r="AO17" s="54">
        <v>65000</v>
      </c>
      <c r="AP17" s="54">
        <v>65000</v>
      </c>
      <c r="AQ17" s="54">
        <v>65000</v>
      </c>
      <c r="AR17" s="54">
        <v>65000</v>
      </c>
      <c r="AS17" s="54">
        <v>65000</v>
      </c>
      <c r="AT17" s="54">
        <v>65000</v>
      </c>
      <c r="AU17" s="52">
        <f t="shared" si="11"/>
        <v>760000</v>
      </c>
      <c r="AV17" s="52">
        <f t="shared" si="12"/>
        <v>1599863.07</v>
      </c>
    </row>
    <row r="18" spans="3:48" ht="15" customHeight="1" x14ac:dyDescent="0.25">
      <c r="C18" s="211" t="s">
        <v>162</v>
      </c>
      <c r="D18" s="212" t="s">
        <v>26</v>
      </c>
      <c r="E18" s="213" t="s">
        <v>27</v>
      </c>
      <c r="F18" s="214" t="s">
        <v>240</v>
      </c>
      <c r="G18" s="272">
        <v>42437</v>
      </c>
      <c r="H18" s="272">
        <v>40299</v>
      </c>
      <c r="I18" s="283">
        <v>1.06</v>
      </c>
      <c r="J18" s="283" t="s">
        <v>108</v>
      </c>
      <c r="K18" s="54">
        <f>'Estimativa  R$'!N18</f>
        <v>409271.43</v>
      </c>
      <c r="L18" s="54"/>
      <c r="M18" s="54"/>
      <c r="N18" s="54"/>
      <c r="O18" s="54">
        <f>409271.43*I18</f>
        <v>433827.71580000001</v>
      </c>
      <c r="P18" s="54"/>
      <c r="Q18" s="54"/>
      <c r="R18" s="54"/>
      <c r="S18" s="54"/>
      <c r="T18" s="54"/>
      <c r="U18" s="52">
        <f t="shared" si="9"/>
        <v>433827.71580000001</v>
      </c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303">
        <f t="shared" si="10"/>
        <v>0</v>
      </c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2">
        <f t="shared" si="11"/>
        <v>0</v>
      </c>
      <c r="AV18" s="52">
        <f t="shared" si="12"/>
        <v>433827.71580000001</v>
      </c>
    </row>
    <row r="19" spans="3:48" ht="15" customHeight="1" x14ac:dyDescent="0.25">
      <c r="C19" s="211" t="s">
        <v>166</v>
      </c>
      <c r="D19" s="212" t="s">
        <v>17</v>
      </c>
      <c r="E19" s="213" t="s">
        <v>28</v>
      </c>
      <c r="F19" s="273" t="s">
        <v>240</v>
      </c>
      <c r="G19" s="276">
        <v>42478</v>
      </c>
      <c r="H19" s="276">
        <v>40725</v>
      </c>
      <c r="I19" s="283" t="s">
        <v>108</v>
      </c>
      <c r="J19" s="283" t="s">
        <v>108</v>
      </c>
      <c r="K19" s="275">
        <f>'Estimativa  R$'!N19</f>
        <v>823562</v>
      </c>
      <c r="L19" s="54"/>
      <c r="M19" s="54"/>
      <c r="N19" s="54"/>
      <c r="O19" s="54"/>
      <c r="P19" s="54"/>
      <c r="Q19" s="54"/>
      <c r="R19" s="54">
        <f>K19</f>
        <v>823562</v>
      </c>
      <c r="S19" s="54"/>
      <c r="T19" s="54"/>
      <c r="U19" s="52">
        <f t="shared" si="9"/>
        <v>823562</v>
      </c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303">
        <f t="shared" si="10"/>
        <v>0</v>
      </c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2">
        <f t="shared" si="11"/>
        <v>0</v>
      </c>
      <c r="AV19" s="52">
        <f t="shared" si="12"/>
        <v>823562</v>
      </c>
    </row>
    <row r="20" spans="3:48" ht="15" customHeight="1" x14ac:dyDescent="0.25">
      <c r="C20" s="211" t="s">
        <v>167</v>
      </c>
      <c r="D20" s="212" t="s">
        <v>29</v>
      </c>
      <c r="E20" s="213" t="s">
        <v>30</v>
      </c>
      <c r="F20" s="273" t="s">
        <v>240</v>
      </c>
      <c r="G20" s="276">
        <v>42867</v>
      </c>
      <c r="H20" s="276">
        <v>40299</v>
      </c>
      <c r="I20" s="283">
        <v>1.06</v>
      </c>
      <c r="J20" s="283">
        <v>66000</v>
      </c>
      <c r="K20" s="55">
        <f>'Estimativa  R$'!N20</f>
        <v>1692857.0934000001</v>
      </c>
      <c r="L20" s="55"/>
      <c r="M20" s="443"/>
      <c r="N20" s="443">
        <f>13325.78+13325.78</f>
        <v>26651.56</v>
      </c>
      <c r="O20" s="55">
        <v>13325.78</v>
      </c>
      <c r="P20" s="55">
        <v>13325.78</v>
      </c>
      <c r="Q20" s="55">
        <v>13325.78</v>
      </c>
      <c r="R20" s="55">
        <v>13325.78</v>
      </c>
      <c r="S20" s="55">
        <v>13325.78</v>
      </c>
      <c r="T20" s="55">
        <v>13325.78</v>
      </c>
      <c r="U20" s="52">
        <f t="shared" si="9"/>
        <v>106606.24</v>
      </c>
      <c r="V20" s="55">
        <v>66000</v>
      </c>
      <c r="W20" s="55">
        <v>66000</v>
      </c>
      <c r="X20" s="55">
        <v>66000</v>
      </c>
      <c r="Y20" s="55">
        <v>66000</v>
      </c>
      <c r="Z20" s="55">
        <v>66000</v>
      </c>
      <c r="AA20" s="55">
        <f>66000*$I$20</f>
        <v>69960</v>
      </c>
      <c r="AB20" s="55">
        <f t="shared" ref="AB20:AM20" si="13">66000*$I$20</f>
        <v>69960</v>
      </c>
      <c r="AC20" s="55">
        <f t="shared" si="13"/>
        <v>69960</v>
      </c>
      <c r="AD20" s="55">
        <f t="shared" si="13"/>
        <v>69960</v>
      </c>
      <c r="AE20" s="55">
        <f t="shared" si="13"/>
        <v>69960</v>
      </c>
      <c r="AF20" s="55">
        <f t="shared" si="13"/>
        <v>69960</v>
      </c>
      <c r="AG20" s="55">
        <f t="shared" si="13"/>
        <v>69960</v>
      </c>
      <c r="AH20" s="303">
        <f t="shared" si="10"/>
        <v>819720</v>
      </c>
      <c r="AI20" s="55">
        <f t="shared" si="13"/>
        <v>69960</v>
      </c>
      <c r="AJ20" s="55">
        <f t="shared" si="13"/>
        <v>69960</v>
      </c>
      <c r="AK20" s="55">
        <f t="shared" si="13"/>
        <v>69960</v>
      </c>
      <c r="AL20" s="55">
        <f t="shared" si="13"/>
        <v>69960</v>
      </c>
      <c r="AM20" s="55">
        <f t="shared" si="13"/>
        <v>69960</v>
      </c>
      <c r="AN20" s="55">
        <f>$AM$20*1.06</f>
        <v>74157.600000000006</v>
      </c>
      <c r="AO20" s="55">
        <f t="shared" ref="AO20:AT20" si="14">$AM$20*1.06</f>
        <v>74157.600000000006</v>
      </c>
      <c r="AP20" s="55">
        <f t="shared" si="14"/>
        <v>74157.600000000006</v>
      </c>
      <c r="AQ20" s="55">
        <f t="shared" si="14"/>
        <v>74157.600000000006</v>
      </c>
      <c r="AR20" s="55">
        <f t="shared" si="14"/>
        <v>74157.600000000006</v>
      </c>
      <c r="AS20" s="55">
        <f t="shared" si="14"/>
        <v>74157.600000000006</v>
      </c>
      <c r="AT20" s="55">
        <f t="shared" si="14"/>
        <v>74157.600000000006</v>
      </c>
      <c r="AU20" s="52">
        <f t="shared" si="11"/>
        <v>868903.19999999984</v>
      </c>
      <c r="AV20" s="52">
        <f t="shared" si="12"/>
        <v>1795229.44</v>
      </c>
    </row>
    <row r="21" spans="3:48" ht="15" customHeight="1" x14ac:dyDescent="0.25">
      <c r="C21" s="216" t="s">
        <v>172</v>
      </c>
      <c r="D21" s="212" t="s">
        <v>24</v>
      </c>
      <c r="E21" s="213" t="s">
        <v>31</v>
      </c>
      <c r="F21" s="274" t="s">
        <v>240</v>
      </c>
      <c r="G21" s="276">
        <v>42870</v>
      </c>
      <c r="H21" s="276">
        <v>41030</v>
      </c>
      <c r="I21" s="283">
        <v>1.06</v>
      </c>
      <c r="J21" s="276" t="s">
        <v>279</v>
      </c>
      <c r="K21" s="55">
        <f>'Estimativa  R$'!N21</f>
        <v>1835918.3506999998</v>
      </c>
      <c r="L21" s="55"/>
      <c r="M21" s="443"/>
      <c r="N21" s="443">
        <f>13000+26000.27</f>
        <v>39000.270000000004</v>
      </c>
      <c r="O21" s="55">
        <v>13000</v>
      </c>
      <c r="P21" s="55">
        <v>7000</v>
      </c>
      <c r="Q21" s="55">
        <v>7000</v>
      </c>
      <c r="R21" s="55">
        <v>7000</v>
      </c>
      <c r="S21" s="55">
        <v>7000</v>
      </c>
      <c r="T21" s="55">
        <v>7000</v>
      </c>
      <c r="U21" s="52">
        <f t="shared" si="9"/>
        <v>87000.27</v>
      </c>
      <c r="V21" s="55">
        <v>346680</v>
      </c>
      <c r="W21" s="55">
        <v>346680</v>
      </c>
      <c r="X21" s="55">
        <v>346680</v>
      </c>
      <c r="Y21" s="55">
        <v>346680</v>
      </c>
      <c r="Z21" s="55">
        <f>346680*1.06</f>
        <v>367480.80000000005</v>
      </c>
      <c r="AA21" s="55"/>
      <c r="AB21" s="55"/>
      <c r="AC21" s="55"/>
      <c r="AD21" s="55"/>
      <c r="AE21" s="55"/>
      <c r="AF21" s="55"/>
      <c r="AG21" s="55"/>
      <c r="AH21" s="303">
        <f t="shared" si="10"/>
        <v>1754200.8</v>
      </c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2">
        <f t="shared" si="11"/>
        <v>0</v>
      </c>
      <c r="AV21" s="52">
        <f t="shared" si="12"/>
        <v>1841201.07</v>
      </c>
    </row>
    <row r="22" spans="3:48" ht="15" customHeight="1" x14ac:dyDescent="0.25">
      <c r="C22" s="218" t="s">
        <v>173</v>
      </c>
      <c r="D22" s="212" t="s">
        <v>32</v>
      </c>
      <c r="E22" s="213" t="s">
        <v>297</v>
      </c>
      <c r="F22" s="219" t="s">
        <v>240</v>
      </c>
      <c r="G22" s="278">
        <v>43075</v>
      </c>
      <c r="H22" s="278">
        <v>41395</v>
      </c>
      <c r="I22" s="283" t="s">
        <v>108</v>
      </c>
      <c r="J22" s="283" t="s">
        <v>280</v>
      </c>
      <c r="K22" s="55">
        <f>'Estimativa  R$'!N22</f>
        <v>9740184.3839999996</v>
      </c>
      <c r="L22" s="55"/>
      <c r="M22" s="443"/>
      <c r="N22" s="443">
        <f>10000-5949.16</f>
        <v>4050.84</v>
      </c>
      <c r="O22" s="55"/>
      <c r="P22" s="55"/>
      <c r="Q22" s="55"/>
      <c r="R22" s="55"/>
      <c r="S22" s="55"/>
      <c r="T22" s="55"/>
      <c r="U22" s="52">
        <f t="shared" si="9"/>
        <v>4050.84</v>
      </c>
      <c r="V22" s="55">
        <f>2000000/12</f>
        <v>166666.66666666666</v>
      </c>
      <c r="W22" s="55">
        <v>166666.66666666666</v>
      </c>
      <c r="X22" s="55">
        <v>166666.66666666666</v>
      </c>
      <c r="Y22" s="55">
        <v>166666.66666666666</v>
      </c>
      <c r="Z22" s="55">
        <v>166666.66666666666</v>
      </c>
      <c r="AA22" s="55">
        <v>166666.66666666666</v>
      </c>
      <c r="AB22" s="55">
        <v>166666.66666666666</v>
      </c>
      <c r="AC22" s="55">
        <v>166666.66666666666</v>
      </c>
      <c r="AD22" s="55">
        <v>166666.66666666666</v>
      </c>
      <c r="AE22" s="55">
        <v>166666.66666666666</v>
      </c>
      <c r="AF22" s="55">
        <v>166666.66666666666</v>
      </c>
      <c r="AG22" s="55">
        <v>166666.66666666666</v>
      </c>
      <c r="AH22" s="303">
        <f t="shared" si="10"/>
        <v>2000000.0000000002</v>
      </c>
      <c r="AI22" s="55">
        <f>10450000/12</f>
        <v>870833.33333333337</v>
      </c>
      <c r="AJ22" s="55">
        <v>870833.33333333337</v>
      </c>
      <c r="AK22" s="55">
        <v>870833.33333333337</v>
      </c>
      <c r="AL22" s="55">
        <v>870833.33333333337</v>
      </c>
      <c r="AM22" s="55">
        <v>870833.33333333337</v>
      </c>
      <c r="AN22" s="55">
        <v>870833.33333333337</v>
      </c>
      <c r="AO22" s="55">
        <v>870833.33333333337</v>
      </c>
      <c r="AP22" s="55">
        <v>870833.33333333337</v>
      </c>
      <c r="AQ22" s="55">
        <v>870833.33333333337</v>
      </c>
      <c r="AR22" s="55">
        <v>870833.33333333337</v>
      </c>
      <c r="AS22" s="55">
        <v>870833.33333333337</v>
      </c>
      <c r="AT22" s="55">
        <v>870833.33333333337</v>
      </c>
      <c r="AU22" s="52">
        <f t="shared" si="11"/>
        <v>10450000</v>
      </c>
      <c r="AV22" s="52">
        <f t="shared" si="12"/>
        <v>12454050.84</v>
      </c>
    </row>
    <row r="23" spans="3:48" ht="24.95" customHeight="1" x14ac:dyDescent="0.25">
      <c r="C23" s="205" t="s">
        <v>88</v>
      </c>
      <c r="D23" s="206"/>
      <c r="E23" s="206"/>
      <c r="F23" s="207"/>
      <c r="G23" s="233"/>
      <c r="H23" s="233"/>
      <c r="I23" s="285"/>
      <c r="J23" s="285"/>
      <c r="K23" s="48">
        <f t="shared" ref="K23" si="15">K24+K48</f>
        <v>291101572.07749999</v>
      </c>
      <c r="L23" s="48"/>
      <c r="M23" s="48"/>
      <c r="N23" s="48"/>
      <c r="O23" s="48"/>
      <c r="P23" s="48"/>
      <c r="Q23" s="48"/>
      <c r="R23" s="48"/>
      <c r="S23" s="48"/>
      <c r="T23" s="48"/>
      <c r="U23" s="48">
        <f t="shared" ref="U23" si="16">U24+U48</f>
        <v>112479880.86123842</v>
      </c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>
        <f t="shared" ref="AH23" si="17">AH24+AH48</f>
        <v>116885952.84271304</v>
      </c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>
        <f t="shared" ref="AU23:AV23" si="18">AU24+AU48</f>
        <v>54594859.893935315</v>
      </c>
      <c r="AV23" s="48">
        <f t="shared" si="18"/>
        <v>283960693.59788674</v>
      </c>
    </row>
    <row r="24" spans="3:48" ht="24.95" customHeight="1" x14ac:dyDescent="0.25">
      <c r="C24" s="208" t="s">
        <v>89</v>
      </c>
      <c r="D24" s="209"/>
      <c r="E24" s="209"/>
      <c r="F24" s="210"/>
      <c r="G24" s="269"/>
      <c r="H24" s="269"/>
      <c r="I24" s="284"/>
      <c r="J24" s="284"/>
      <c r="K24" s="50">
        <f t="shared" ref="K24" si="19">K25+K35+K43+K47</f>
        <v>271695101.15749997</v>
      </c>
      <c r="L24" s="50"/>
      <c r="M24" s="50"/>
      <c r="N24" s="50"/>
      <c r="O24" s="50"/>
      <c r="P24" s="50"/>
      <c r="Q24" s="50"/>
      <c r="R24" s="50"/>
      <c r="S24" s="50"/>
      <c r="T24" s="50"/>
      <c r="U24" s="50">
        <f t="shared" ref="U24" si="20">U25+U35+U43+U47</f>
        <v>106220305.28384712</v>
      </c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>
        <f t="shared" ref="AH24" si="21">AH25+AH35+AH43+AH47</f>
        <v>106373099.86</v>
      </c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>
        <f t="shared" ref="AU24:AV24" si="22">AU25+AU35+AU43+AU47</f>
        <v>51368579.678656012</v>
      </c>
      <c r="AV24" s="50">
        <f t="shared" si="22"/>
        <v>263961984.82250312</v>
      </c>
    </row>
    <row r="25" spans="3:48" ht="24.95" customHeight="1" x14ac:dyDescent="0.25">
      <c r="C25" s="251" t="s">
        <v>34</v>
      </c>
      <c r="D25" s="222"/>
      <c r="E25" s="222"/>
      <c r="F25" s="223"/>
      <c r="G25" s="234"/>
      <c r="H25" s="234"/>
      <c r="I25" s="287"/>
      <c r="J25" s="287"/>
      <c r="K25" s="56">
        <f t="shared" ref="K25" si="23">SUM(K26:K34)</f>
        <v>184535151.6133</v>
      </c>
      <c r="L25" s="56"/>
      <c r="M25" s="56"/>
      <c r="N25" s="56"/>
      <c r="O25" s="56"/>
      <c r="P25" s="56"/>
      <c r="Q25" s="56"/>
      <c r="R25" s="56"/>
      <c r="S25" s="56"/>
      <c r="T25" s="56"/>
      <c r="U25" s="56">
        <f t="shared" ref="U25" si="24">SUM(U26:U34)</f>
        <v>46104155.033847138</v>
      </c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>
        <f t="shared" ref="AH25" si="25">SUM(AH26:AH34)</f>
        <v>75407340</v>
      </c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>
        <f t="shared" ref="AU25:AV25" si="26">SUM(AU26:AU34)</f>
        <v>51368579.678656012</v>
      </c>
      <c r="AV25" s="56">
        <f t="shared" si="26"/>
        <v>172880074.71250314</v>
      </c>
    </row>
    <row r="26" spans="3:48" ht="15" customHeight="1" x14ac:dyDescent="0.25">
      <c r="C26" s="211" t="s">
        <v>221</v>
      </c>
      <c r="D26" s="212" t="s">
        <v>35</v>
      </c>
      <c r="E26" s="213" t="s">
        <v>36</v>
      </c>
      <c r="F26" s="214" t="s">
        <v>242</v>
      </c>
      <c r="G26" s="270" t="s">
        <v>108</v>
      </c>
      <c r="H26" s="288" t="s">
        <v>108</v>
      </c>
      <c r="I26" s="292" t="s">
        <v>108</v>
      </c>
      <c r="J26" s="292" t="s">
        <v>108</v>
      </c>
      <c r="K26" s="291"/>
      <c r="L26" s="58"/>
      <c r="M26" s="58"/>
      <c r="N26" s="58"/>
      <c r="O26" s="58"/>
      <c r="P26" s="58"/>
      <c r="Q26" s="58"/>
      <c r="R26" s="58"/>
      <c r="S26" s="58"/>
      <c r="T26" s="58"/>
      <c r="U26" s="291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304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291"/>
      <c r="AV26" s="52">
        <f t="shared" ref="AV26:AV34" si="27">+U26+AH26+AU26</f>
        <v>0</v>
      </c>
    </row>
    <row r="27" spans="3:48" ht="15" customHeight="1" x14ac:dyDescent="0.25">
      <c r="C27" s="211" t="s">
        <v>222</v>
      </c>
      <c r="D27" s="212" t="s">
        <v>35</v>
      </c>
      <c r="E27" s="213" t="s">
        <v>37</v>
      </c>
      <c r="F27" s="214" t="s">
        <v>243</v>
      </c>
      <c r="G27" s="270" t="s">
        <v>108</v>
      </c>
      <c r="H27" s="288" t="s">
        <v>108</v>
      </c>
      <c r="I27" s="292" t="s">
        <v>108</v>
      </c>
      <c r="J27" s="292" t="s">
        <v>108</v>
      </c>
      <c r="K27" s="291"/>
      <c r="L27" s="58"/>
      <c r="M27" s="58"/>
      <c r="N27" s="58"/>
      <c r="O27" s="58"/>
      <c r="P27" s="58"/>
      <c r="Q27" s="58"/>
      <c r="R27" s="58"/>
      <c r="S27" s="58"/>
      <c r="T27" s="58"/>
      <c r="U27" s="291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304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291"/>
      <c r="AV27" s="52">
        <f t="shared" si="27"/>
        <v>0</v>
      </c>
    </row>
    <row r="28" spans="3:48" ht="15" customHeight="1" x14ac:dyDescent="0.25">
      <c r="C28" s="211" t="s">
        <v>223</v>
      </c>
      <c r="D28" s="212" t="s">
        <v>38</v>
      </c>
      <c r="E28" s="213" t="s">
        <v>39</v>
      </c>
      <c r="F28" s="273" t="s">
        <v>239</v>
      </c>
      <c r="G28" s="277" t="s">
        <v>108</v>
      </c>
      <c r="H28" s="289" t="s">
        <v>108</v>
      </c>
      <c r="I28" s="292" t="s">
        <v>108</v>
      </c>
      <c r="J28" s="292" t="s">
        <v>108</v>
      </c>
      <c r="K28" s="279">
        <f>'Estimativa  R$'!N28</f>
        <v>0</v>
      </c>
      <c r="L28" s="249"/>
      <c r="M28" s="249"/>
      <c r="N28" s="249"/>
      <c r="O28" s="249"/>
      <c r="P28" s="249"/>
      <c r="Q28" s="249"/>
      <c r="R28" s="249"/>
      <c r="S28" s="249"/>
      <c r="T28" s="249"/>
      <c r="U28" s="52">
        <f t="shared" ref="U28:U34" si="28">SUM(L28:T28)</f>
        <v>0</v>
      </c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303">
        <f t="shared" ref="AH28:AH34" si="29">SUM(V28:AG28)</f>
        <v>0</v>
      </c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52">
        <f t="shared" ref="AU28:AU34" si="30">SUM(AI28:AT28)</f>
        <v>0</v>
      </c>
      <c r="AV28" s="52">
        <f t="shared" si="27"/>
        <v>0</v>
      </c>
    </row>
    <row r="29" spans="3:48" ht="15" customHeight="1" x14ac:dyDescent="0.25">
      <c r="C29" s="211" t="s">
        <v>224</v>
      </c>
      <c r="D29" s="212" t="s">
        <v>40</v>
      </c>
      <c r="E29" s="213" t="s">
        <v>41</v>
      </c>
      <c r="F29" s="273" t="s">
        <v>240</v>
      </c>
      <c r="G29" s="276">
        <v>42586</v>
      </c>
      <c r="H29" s="290">
        <v>40249</v>
      </c>
      <c r="I29" s="292" t="s">
        <v>108</v>
      </c>
      <c r="J29" s="292" t="s">
        <v>278</v>
      </c>
      <c r="K29" s="55">
        <v>6950000</v>
      </c>
      <c r="L29" s="55"/>
      <c r="M29" s="55"/>
      <c r="N29" s="55">
        <v>6950000</v>
      </c>
      <c r="O29" s="55"/>
      <c r="P29" s="55"/>
      <c r="Q29" s="55"/>
      <c r="R29" s="55"/>
      <c r="S29" s="55"/>
      <c r="T29" s="55"/>
      <c r="U29" s="52">
        <f t="shared" si="28"/>
        <v>6950000</v>
      </c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303">
        <f t="shared" si="29"/>
        <v>0</v>
      </c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2">
        <f t="shared" si="30"/>
        <v>0</v>
      </c>
      <c r="AV29" s="52">
        <f t="shared" si="27"/>
        <v>6950000</v>
      </c>
    </row>
    <row r="30" spans="3:48" ht="15" customHeight="1" x14ac:dyDescent="0.25">
      <c r="C30" s="211" t="s">
        <v>225</v>
      </c>
      <c r="D30" s="212" t="s">
        <v>42</v>
      </c>
      <c r="E30" s="213" t="s">
        <v>43</v>
      </c>
      <c r="F30" s="273" t="s">
        <v>240</v>
      </c>
      <c r="G30" s="276">
        <v>42583</v>
      </c>
      <c r="H30" s="290">
        <v>40249</v>
      </c>
      <c r="I30" s="292"/>
      <c r="J30" s="292" t="s">
        <v>281</v>
      </c>
      <c r="K30" s="55">
        <f>'Estimativa  R$'!N30</f>
        <v>28955151.761399999</v>
      </c>
      <c r="L30" s="443"/>
      <c r="M30" s="443"/>
      <c r="N30" s="55">
        <v>0</v>
      </c>
      <c r="O30" s="55">
        <v>3500000</v>
      </c>
      <c r="P30" s="55">
        <v>0</v>
      </c>
      <c r="Q30" s="55">
        <v>4000000</v>
      </c>
      <c r="R30" s="55">
        <v>3968248.48</v>
      </c>
      <c r="S30" s="55">
        <v>0</v>
      </c>
      <c r="T30" s="55">
        <v>0</v>
      </c>
      <c r="U30" s="52">
        <f t="shared" si="28"/>
        <v>11468248.48</v>
      </c>
      <c r="V30" s="55">
        <v>0</v>
      </c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303">
        <f t="shared" si="29"/>
        <v>0</v>
      </c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2">
        <f t="shared" si="30"/>
        <v>0</v>
      </c>
      <c r="AV30" s="52">
        <f t="shared" si="27"/>
        <v>11468248.48</v>
      </c>
    </row>
    <row r="31" spans="3:48" ht="15" customHeight="1" x14ac:dyDescent="0.25">
      <c r="C31" s="211" t="s">
        <v>226</v>
      </c>
      <c r="D31" s="212" t="s">
        <v>44</v>
      </c>
      <c r="E31" s="213" t="s">
        <v>45</v>
      </c>
      <c r="F31" s="273" t="s">
        <v>240</v>
      </c>
      <c r="G31" s="276">
        <v>42381</v>
      </c>
      <c r="H31" s="290">
        <v>40249</v>
      </c>
      <c r="I31" s="292" t="s">
        <v>108</v>
      </c>
      <c r="J31" s="292" t="s">
        <v>108</v>
      </c>
      <c r="K31" s="55">
        <v>647000</v>
      </c>
      <c r="L31" s="55"/>
      <c r="M31" s="55"/>
      <c r="N31" s="55"/>
      <c r="O31" s="55">
        <v>562000</v>
      </c>
      <c r="P31" s="55">
        <v>85000</v>
      </c>
      <c r="Q31" s="55"/>
      <c r="R31" s="55"/>
      <c r="S31" s="55"/>
      <c r="T31" s="55"/>
      <c r="U31" s="52">
        <f t="shared" si="28"/>
        <v>647000</v>
      </c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303">
        <f t="shared" si="29"/>
        <v>0</v>
      </c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2">
        <f t="shared" si="30"/>
        <v>0</v>
      </c>
      <c r="AV31" s="52">
        <f t="shared" si="27"/>
        <v>647000</v>
      </c>
    </row>
    <row r="32" spans="3:48" ht="15" customHeight="1" x14ac:dyDescent="0.25">
      <c r="C32" s="211" t="s">
        <v>227</v>
      </c>
      <c r="D32" s="212" t="s">
        <v>46</v>
      </c>
      <c r="E32" s="213" t="s">
        <v>47</v>
      </c>
      <c r="F32" s="273" t="s">
        <v>240</v>
      </c>
      <c r="G32" s="276">
        <v>42631</v>
      </c>
      <c r="H32" s="290">
        <v>40504</v>
      </c>
      <c r="I32" s="292"/>
      <c r="J32" s="292" t="s">
        <v>282</v>
      </c>
      <c r="K32" s="55">
        <f>'Estimativa  R$'!N32</f>
        <v>5248160.2783999993</v>
      </c>
      <c r="L32" s="443"/>
      <c r="M32" s="443"/>
      <c r="N32" s="55">
        <v>109025.47</v>
      </c>
      <c r="O32" s="55">
        <v>109025.47</v>
      </c>
      <c r="P32" s="55">
        <v>1000000</v>
      </c>
      <c r="Q32" s="55">
        <v>1000000</v>
      </c>
      <c r="R32" s="55">
        <v>442062.14384714002</v>
      </c>
      <c r="S32" s="55"/>
      <c r="T32" s="55"/>
      <c r="U32" s="52">
        <f t="shared" si="28"/>
        <v>2660113.08384714</v>
      </c>
      <c r="V32" s="55">
        <v>0</v>
      </c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303">
        <f t="shared" si="29"/>
        <v>0</v>
      </c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2">
        <f t="shared" si="30"/>
        <v>0</v>
      </c>
      <c r="AV32" s="52">
        <f t="shared" si="27"/>
        <v>2660113.08384714</v>
      </c>
    </row>
    <row r="33" spans="3:48" ht="15" customHeight="1" x14ac:dyDescent="0.25">
      <c r="C33" s="211" t="s">
        <v>228</v>
      </c>
      <c r="D33" s="212" t="s">
        <v>48</v>
      </c>
      <c r="E33" s="213" t="s">
        <v>49</v>
      </c>
      <c r="F33" s="273" t="s">
        <v>240</v>
      </c>
      <c r="G33" s="276">
        <v>42746</v>
      </c>
      <c r="H33" s="290">
        <v>41249</v>
      </c>
      <c r="I33" s="292">
        <v>1.06</v>
      </c>
      <c r="J33" s="292" t="s">
        <v>278</v>
      </c>
      <c r="K33" s="55">
        <f>'Estimativa  R$'!N33</f>
        <v>28312338.787500001</v>
      </c>
      <c r="L33" s="443"/>
      <c r="M33" s="443"/>
      <c r="N33" s="443">
        <f>1500000+278793.47</f>
        <v>1778793.47</v>
      </c>
      <c r="O33" s="55">
        <v>1500000</v>
      </c>
      <c r="P33" s="55">
        <v>1500000</v>
      </c>
      <c r="Q33" s="55">
        <v>1500000</v>
      </c>
      <c r="R33" s="55">
        <v>1200000</v>
      </c>
      <c r="S33" s="55">
        <v>1200000</v>
      </c>
      <c r="T33" s="55">
        <v>1200000</v>
      </c>
      <c r="U33" s="52">
        <f t="shared" si="28"/>
        <v>9878793.4699999988</v>
      </c>
      <c r="V33" s="55">
        <f>1200000*1.06</f>
        <v>1272000</v>
      </c>
      <c r="W33" s="55">
        <f t="shared" ref="W33:AG33" si="31">1200000*1.06</f>
        <v>1272000</v>
      </c>
      <c r="X33" s="55">
        <f t="shared" si="31"/>
        <v>1272000</v>
      </c>
      <c r="Y33" s="55">
        <f t="shared" si="31"/>
        <v>1272000</v>
      </c>
      <c r="Z33" s="55">
        <f t="shared" si="31"/>
        <v>1272000</v>
      </c>
      <c r="AA33" s="55">
        <f t="shared" si="31"/>
        <v>1272000</v>
      </c>
      <c r="AB33" s="55">
        <f t="shared" si="31"/>
        <v>1272000</v>
      </c>
      <c r="AC33" s="55">
        <f t="shared" si="31"/>
        <v>1272000</v>
      </c>
      <c r="AD33" s="55">
        <f t="shared" si="31"/>
        <v>1272000</v>
      </c>
      <c r="AE33" s="55">
        <f t="shared" si="31"/>
        <v>1272000</v>
      </c>
      <c r="AF33" s="55">
        <f t="shared" si="31"/>
        <v>1272000</v>
      </c>
      <c r="AG33" s="55">
        <f t="shared" si="31"/>
        <v>1272000</v>
      </c>
      <c r="AH33" s="303">
        <f t="shared" si="29"/>
        <v>15264000</v>
      </c>
      <c r="AI33" s="55">
        <f>(700000*1.06)*1.06</f>
        <v>786520</v>
      </c>
      <c r="AJ33" s="55">
        <f>(700000*1.06)*1.06</f>
        <v>786520</v>
      </c>
      <c r="AK33" s="55">
        <f>(600000*1.06)*1.06</f>
        <v>674160</v>
      </c>
      <c r="AL33" s="55">
        <v>600398</v>
      </c>
      <c r="AM33" s="55"/>
      <c r="AN33" s="55"/>
      <c r="AO33" s="55"/>
      <c r="AP33" s="55"/>
      <c r="AQ33" s="55"/>
      <c r="AR33" s="55"/>
      <c r="AS33" s="55"/>
      <c r="AT33" s="55"/>
      <c r="AU33" s="52">
        <f t="shared" si="30"/>
        <v>2847598</v>
      </c>
      <c r="AV33" s="52">
        <f t="shared" si="27"/>
        <v>27990391.469999999</v>
      </c>
    </row>
    <row r="34" spans="3:48" ht="15" customHeight="1" x14ac:dyDescent="0.25">
      <c r="C34" s="211" t="s">
        <v>229</v>
      </c>
      <c r="D34" s="212" t="s">
        <v>50</v>
      </c>
      <c r="E34" s="213" t="s">
        <v>51</v>
      </c>
      <c r="F34" s="273" t="s">
        <v>240</v>
      </c>
      <c r="G34" s="276">
        <v>43206</v>
      </c>
      <c r="H34" s="290">
        <v>41249</v>
      </c>
      <c r="I34" s="292">
        <v>1.06</v>
      </c>
      <c r="J34" s="292" t="s">
        <v>278</v>
      </c>
      <c r="K34" s="55">
        <f>'Estimativa  R$'!N34</f>
        <v>114422500.786</v>
      </c>
      <c r="L34" s="55"/>
      <c r="M34" s="55"/>
      <c r="N34" s="55">
        <v>1000000</v>
      </c>
      <c r="O34" s="55">
        <v>2000000</v>
      </c>
      <c r="P34" s="55">
        <v>2000000</v>
      </c>
      <c r="Q34" s="55">
        <v>2000000</v>
      </c>
      <c r="R34" s="55">
        <v>2500000</v>
      </c>
      <c r="S34" s="55">
        <v>2500000</v>
      </c>
      <c r="T34" s="55">
        <v>2500000</v>
      </c>
      <c r="U34" s="52">
        <f t="shared" si="28"/>
        <v>14500000</v>
      </c>
      <c r="V34" s="55">
        <f>5000000*1.06</f>
        <v>5300000</v>
      </c>
      <c r="W34" s="55">
        <f t="shared" ref="W34:AA34" si="32">5000000*1.06</f>
        <v>5300000</v>
      </c>
      <c r="X34" s="55">
        <f t="shared" si="32"/>
        <v>5300000</v>
      </c>
      <c r="Y34" s="55">
        <f t="shared" si="32"/>
        <v>5300000</v>
      </c>
      <c r="Z34" s="55">
        <f t="shared" si="32"/>
        <v>5300000</v>
      </c>
      <c r="AA34" s="55">
        <f t="shared" si="32"/>
        <v>5300000</v>
      </c>
      <c r="AB34" s="55">
        <f>4500000*1.06</f>
        <v>4770000</v>
      </c>
      <c r="AC34" s="55">
        <f t="shared" ref="AC34:AF34" si="33">4500000*1.06</f>
        <v>4770000</v>
      </c>
      <c r="AD34" s="55">
        <f t="shared" si="33"/>
        <v>4770000</v>
      </c>
      <c r="AE34" s="55">
        <f t="shared" si="33"/>
        <v>4770000</v>
      </c>
      <c r="AF34" s="55">
        <f t="shared" si="33"/>
        <v>4770000</v>
      </c>
      <c r="AG34" s="55">
        <f>4239000*1.06</f>
        <v>4493340</v>
      </c>
      <c r="AH34" s="303">
        <f t="shared" si="29"/>
        <v>60143340</v>
      </c>
      <c r="AI34" s="55">
        <f>(3598625.08*1.06)*1.06</f>
        <v>4043415.1398880007</v>
      </c>
      <c r="AJ34" s="55">
        <f t="shared" ref="AJ34:AT34" si="34">(3598625.08*1.06)*1.06</f>
        <v>4043415.1398880007</v>
      </c>
      <c r="AK34" s="55">
        <f t="shared" si="34"/>
        <v>4043415.1398880007</v>
      </c>
      <c r="AL34" s="55">
        <f t="shared" si="34"/>
        <v>4043415.1398880007</v>
      </c>
      <c r="AM34" s="55">
        <f t="shared" si="34"/>
        <v>4043415.1398880007</v>
      </c>
      <c r="AN34" s="55">
        <f t="shared" si="34"/>
        <v>4043415.1398880007</v>
      </c>
      <c r="AO34" s="55">
        <f t="shared" si="34"/>
        <v>4043415.1398880007</v>
      </c>
      <c r="AP34" s="55">
        <f t="shared" si="34"/>
        <v>4043415.1398880007</v>
      </c>
      <c r="AQ34" s="55">
        <f t="shared" si="34"/>
        <v>4043415.1398880007</v>
      </c>
      <c r="AR34" s="55">
        <f t="shared" si="34"/>
        <v>4043415.1398880007</v>
      </c>
      <c r="AS34" s="55">
        <f t="shared" si="34"/>
        <v>4043415.1398880007</v>
      </c>
      <c r="AT34" s="55">
        <f t="shared" si="34"/>
        <v>4043415.1398880007</v>
      </c>
      <c r="AU34" s="52">
        <f t="shared" si="30"/>
        <v>48520981.678656012</v>
      </c>
      <c r="AV34" s="52">
        <f t="shared" si="27"/>
        <v>123164321.67865601</v>
      </c>
    </row>
    <row r="35" spans="3:48" ht="24.95" customHeight="1" x14ac:dyDescent="0.25">
      <c r="C35" s="251" t="s">
        <v>52</v>
      </c>
      <c r="D35" s="222"/>
      <c r="E35" s="222"/>
      <c r="F35" s="223"/>
      <c r="G35" s="280"/>
      <c r="H35" s="280"/>
      <c r="I35" s="286"/>
      <c r="J35" s="286"/>
      <c r="K35" s="56">
        <f t="shared" ref="K35" si="35">SUM(K36:K42)</f>
        <v>1100360.3291999835</v>
      </c>
      <c r="L35" s="56"/>
      <c r="M35" s="56"/>
      <c r="N35" s="56"/>
      <c r="O35" s="56"/>
      <c r="P35" s="56"/>
      <c r="Q35" s="56"/>
      <c r="R35" s="56"/>
      <c r="S35" s="56"/>
      <c r="T35" s="56"/>
      <c r="U35" s="56">
        <f t="shared" ref="U35" si="36">SUM(U36:U42)</f>
        <v>1450000</v>
      </c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>
        <f t="shared" ref="AH35" si="37">SUM(AH36:AH42)</f>
        <v>0</v>
      </c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>
        <f t="shared" ref="AU35:AV35" si="38">SUM(AU36:AU42)</f>
        <v>0</v>
      </c>
      <c r="AV35" s="56">
        <f t="shared" si="38"/>
        <v>1450000</v>
      </c>
    </row>
    <row r="36" spans="3:48" ht="15" customHeight="1" x14ac:dyDescent="0.25">
      <c r="C36" s="211" t="s">
        <v>198</v>
      </c>
      <c r="D36" s="212" t="s">
        <v>259</v>
      </c>
      <c r="E36" s="215"/>
      <c r="F36" s="214"/>
      <c r="G36" s="270"/>
      <c r="H36" s="270"/>
      <c r="I36" s="292"/>
      <c r="J36" s="292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2">
        <f t="shared" ref="AV36:AV42" si="39">+U36+AH36+AU36</f>
        <v>0</v>
      </c>
    </row>
    <row r="37" spans="3:48" ht="15" customHeight="1" x14ac:dyDescent="0.25">
      <c r="C37" s="211" t="s">
        <v>223</v>
      </c>
      <c r="D37" s="212" t="s">
        <v>38</v>
      </c>
      <c r="E37" s="213" t="s">
        <v>39</v>
      </c>
      <c r="F37" s="214" t="s">
        <v>239</v>
      </c>
      <c r="G37" s="270" t="s">
        <v>108</v>
      </c>
      <c r="H37" s="270" t="s">
        <v>108</v>
      </c>
      <c r="I37" s="292"/>
      <c r="J37" s="292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303">
        <f t="shared" ref="AH37:AH42" si="40">SUM(V37:AG37)</f>
        <v>0</v>
      </c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2">
        <f t="shared" ref="AU37:AU42" si="41">SUM(AI37:AT37)</f>
        <v>0</v>
      </c>
      <c r="AV37" s="52">
        <f t="shared" si="39"/>
        <v>0</v>
      </c>
    </row>
    <row r="38" spans="3:48" ht="15" customHeight="1" x14ac:dyDescent="0.25">
      <c r="C38" s="211" t="s">
        <v>230</v>
      </c>
      <c r="D38" s="212" t="s">
        <v>53</v>
      </c>
      <c r="E38" s="213" t="s">
        <v>54</v>
      </c>
      <c r="F38" s="214" t="s">
        <v>239</v>
      </c>
      <c r="G38" s="270" t="s">
        <v>108</v>
      </c>
      <c r="H38" s="270" t="s">
        <v>108</v>
      </c>
      <c r="I38" s="292"/>
      <c r="J38" s="292"/>
      <c r="K38" s="54">
        <f>'Estimativa  R$'!N37</f>
        <v>0</v>
      </c>
      <c r="L38" s="54"/>
      <c r="M38" s="54"/>
      <c r="N38" s="54"/>
      <c r="O38" s="54"/>
      <c r="P38" s="54"/>
      <c r="Q38" s="54"/>
      <c r="R38" s="54"/>
      <c r="S38" s="54"/>
      <c r="T38" s="54"/>
      <c r="U38" s="52">
        <f>SUM(L38:T38)</f>
        <v>0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303">
        <f t="shared" si="40"/>
        <v>0</v>
      </c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2">
        <f t="shared" si="41"/>
        <v>0</v>
      </c>
      <c r="AV38" s="52">
        <f t="shared" si="39"/>
        <v>0</v>
      </c>
    </row>
    <row r="39" spans="3:48" ht="15" customHeight="1" x14ac:dyDescent="0.25">
      <c r="C39" s="211" t="s">
        <v>231</v>
      </c>
      <c r="D39" s="212" t="s">
        <v>53</v>
      </c>
      <c r="E39" s="213" t="s">
        <v>55</v>
      </c>
      <c r="F39" s="214" t="s">
        <v>242</v>
      </c>
      <c r="G39" s="270" t="s">
        <v>108</v>
      </c>
      <c r="H39" s="270" t="s">
        <v>108</v>
      </c>
      <c r="I39" s="292"/>
      <c r="J39" s="292"/>
      <c r="K39" s="54">
        <f>'Estimativa  R$'!N38</f>
        <v>0</v>
      </c>
      <c r="L39" s="54"/>
      <c r="M39" s="54"/>
      <c r="N39" s="54"/>
      <c r="O39" s="54"/>
      <c r="P39" s="54"/>
      <c r="Q39" s="54"/>
      <c r="R39" s="54"/>
      <c r="S39" s="54"/>
      <c r="T39" s="54"/>
      <c r="U39" s="52">
        <f>SUM(L39:T39)</f>
        <v>0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303">
        <f t="shared" si="40"/>
        <v>0</v>
      </c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2">
        <f t="shared" si="41"/>
        <v>0</v>
      </c>
      <c r="AV39" s="52">
        <f t="shared" si="39"/>
        <v>0</v>
      </c>
    </row>
    <row r="40" spans="3:48" ht="15" customHeight="1" x14ac:dyDescent="0.25">
      <c r="C40" s="211" t="s">
        <v>232</v>
      </c>
      <c r="D40" s="212" t="s">
        <v>56</v>
      </c>
      <c r="E40" s="213" t="s">
        <v>57</v>
      </c>
      <c r="F40" s="214" t="s">
        <v>242</v>
      </c>
      <c r="G40" s="270" t="s">
        <v>108</v>
      </c>
      <c r="H40" s="270" t="s">
        <v>108</v>
      </c>
      <c r="I40" s="292"/>
      <c r="J40" s="292"/>
      <c r="K40" s="54">
        <f>'Estimativa  R$'!N39</f>
        <v>0</v>
      </c>
      <c r="L40" s="54"/>
      <c r="M40" s="54"/>
      <c r="N40" s="54"/>
      <c r="O40" s="54"/>
      <c r="P40" s="54"/>
      <c r="Q40" s="54"/>
      <c r="R40" s="54"/>
      <c r="S40" s="54"/>
      <c r="T40" s="54"/>
      <c r="U40" s="52">
        <f>SUM(L40:T40)</f>
        <v>0</v>
      </c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303">
        <f t="shared" si="40"/>
        <v>0</v>
      </c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2">
        <f t="shared" si="41"/>
        <v>0</v>
      </c>
      <c r="AV40" s="52">
        <f t="shared" si="39"/>
        <v>0</v>
      </c>
    </row>
    <row r="41" spans="3:48" ht="15" customHeight="1" x14ac:dyDescent="0.25">
      <c r="C41" s="211" t="s">
        <v>197</v>
      </c>
      <c r="D41" s="212" t="s">
        <v>58</v>
      </c>
      <c r="E41" s="213" t="s">
        <v>59</v>
      </c>
      <c r="F41" s="273" t="s">
        <v>239</v>
      </c>
      <c r="G41" s="277" t="s">
        <v>108</v>
      </c>
      <c r="H41" s="277" t="s">
        <v>108</v>
      </c>
      <c r="I41" s="292"/>
      <c r="J41" s="292"/>
      <c r="K41" s="275">
        <f>'Estimativa  R$'!N40</f>
        <v>0</v>
      </c>
      <c r="L41" s="54"/>
      <c r="M41" s="54"/>
      <c r="N41" s="54"/>
      <c r="O41" s="54"/>
      <c r="P41" s="54"/>
      <c r="Q41" s="54"/>
      <c r="R41" s="54"/>
      <c r="S41" s="54"/>
      <c r="T41" s="54"/>
      <c r="U41" s="52">
        <f>SUM(L41:T41)</f>
        <v>0</v>
      </c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303">
        <f t="shared" si="40"/>
        <v>0</v>
      </c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2">
        <f t="shared" si="41"/>
        <v>0</v>
      </c>
      <c r="AV41" s="52">
        <f t="shared" si="39"/>
        <v>0</v>
      </c>
    </row>
    <row r="42" spans="3:48" ht="15" customHeight="1" x14ac:dyDescent="0.25">
      <c r="C42" s="211" t="s">
        <v>233</v>
      </c>
      <c r="D42" s="212" t="s">
        <v>60</v>
      </c>
      <c r="E42" s="213" t="s">
        <v>61</v>
      </c>
      <c r="F42" s="273" t="s">
        <v>240</v>
      </c>
      <c r="G42" s="276">
        <v>42421</v>
      </c>
      <c r="H42" s="276">
        <v>40381</v>
      </c>
      <c r="I42" s="292"/>
      <c r="J42" s="292" t="s">
        <v>283</v>
      </c>
      <c r="K42" s="59">
        <f>'Estimativa  R$'!N41</f>
        <v>1100360.3291999835</v>
      </c>
      <c r="L42" s="59"/>
      <c r="M42" s="59"/>
      <c r="N42" s="59">
        <v>1450000</v>
      </c>
      <c r="O42" s="59"/>
      <c r="P42" s="59"/>
      <c r="Q42" s="59"/>
      <c r="R42" s="59"/>
      <c r="S42" s="59"/>
      <c r="T42" s="59"/>
      <c r="U42" s="52">
        <f>SUM(L42:T42)</f>
        <v>1450000</v>
      </c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303">
        <f t="shared" si="40"/>
        <v>0</v>
      </c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2">
        <f t="shared" si="41"/>
        <v>0</v>
      </c>
      <c r="AV42" s="52">
        <f t="shared" si="39"/>
        <v>1450000</v>
      </c>
    </row>
    <row r="43" spans="3:48" ht="24.95" customHeight="1" x14ac:dyDescent="0.25">
      <c r="C43" s="221" t="s">
        <v>62</v>
      </c>
      <c r="D43" s="222"/>
      <c r="E43" s="222"/>
      <c r="F43" s="223"/>
      <c r="G43" s="281"/>
      <c r="H43" s="281"/>
      <c r="I43" s="292"/>
      <c r="J43" s="292"/>
      <c r="K43" s="56">
        <f t="shared" ref="K43" si="42">SUM(K44:K46)</f>
        <v>86059589.215000004</v>
      </c>
      <c r="L43" s="56"/>
      <c r="M43" s="56"/>
      <c r="N43" s="56"/>
      <c r="O43" s="56"/>
      <c r="P43" s="56"/>
      <c r="Q43" s="56"/>
      <c r="R43" s="56"/>
      <c r="S43" s="56"/>
      <c r="T43" s="56"/>
      <c r="U43" s="56">
        <f t="shared" ref="U43" si="43">SUM(U44:U46)</f>
        <v>58666150.249999978</v>
      </c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>
        <f t="shared" ref="AH43" si="44">SUM(AH44:AH46)</f>
        <v>30965759.860000003</v>
      </c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>
        <f t="shared" ref="AU43:AV43" si="45">SUM(AU44:AU46)</f>
        <v>0</v>
      </c>
      <c r="AV43" s="56">
        <f t="shared" si="45"/>
        <v>89631910.109999985</v>
      </c>
    </row>
    <row r="44" spans="3:48" ht="15" customHeight="1" x14ac:dyDescent="0.25">
      <c r="C44" s="211" t="s">
        <v>200</v>
      </c>
      <c r="D44" s="212" t="s">
        <v>35</v>
      </c>
      <c r="E44" s="224" t="s">
        <v>97</v>
      </c>
      <c r="F44" s="273" t="s">
        <v>242</v>
      </c>
      <c r="G44" s="277" t="s">
        <v>108</v>
      </c>
      <c r="H44" s="277" t="s">
        <v>108</v>
      </c>
      <c r="I44" s="292"/>
      <c r="J44" s="292"/>
      <c r="K44" s="275">
        <f>'Estimativa  R$'!N43</f>
        <v>0</v>
      </c>
      <c r="L44" s="54"/>
      <c r="M44" s="54"/>
      <c r="N44" s="54"/>
      <c r="O44" s="54"/>
      <c r="P44" s="54"/>
      <c r="Q44" s="54"/>
      <c r="R44" s="54"/>
      <c r="S44" s="54"/>
      <c r="T44" s="54"/>
      <c r="U44" s="52">
        <f>SUM(L44:T44)</f>
        <v>0</v>
      </c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303">
        <f t="shared" ref="AH44:AH45" si="46">SUM(V44:AG44)</f>
        <v>0</v>
      </c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2">
        <f t="shared" ref="AU44:AU46" si="47">SUM(AI44:AT44)</f>
        <v>0</v>
      </c>
      <c r="AV44" s="52">
        <f t="shared" ref="AV44:AV46" si="48">+U44+AH44+AU44</f>
        <v>0</v>
      </c>
    </row>
    <row r="45" spans="3:48" ht="26.25" customHeight="1" x14ac:dyDescent="0.25">
      <c r="C45" s="211" t="s">
        <v>201</v>
      </c>
      <c r="D45" s="212" t="s">
        <v>63</v>
      </c>
      <c r="E45" s="225" t="s">
        <v>107</v>
      </c>
      <c r="F45" s="273" t="s">
        <v>240</v>
      </c>
      <c r="G45" s="276">
        <v>42834</v>
      </c>
      <c r="H45" s="276">
        <v>41171</v>
      </c>
      <c r="I45" s="292">
        <v>1.06</v>
      </c>
      <c r="J45" s="292" t="s">
        <v>278</v>
      </c>
      <c r="K45" s="59">
        <f>'Estimativa  R$'!N44</f>
        <v>84041981.015799999</v>
      </c>
      <c r="L45" s="444"/>
      <c r="M45" s="444"/>
      <c r="N45" s="59">
        <v>8668484</v>
      </c>
      <c r="O45" s="59">
        <v>9266000</v>
      </c>
      <c r="P45" s="59">
        <v>9425000</v>
      </c>
      <c r="Q45" s="59">
        <v>9166000</v>
      </c>
      <c r="R45" s="59">
        <v>10072533.220000001</v>
      </c>
      <c r="S45" s="59">
        <v>4431000</v>
      </c>
      <c r="T45" s="59">
        <v>4706953.6999999834</v>
      </c>
      <c r="U45" s="52">
        <f>SUM(L45:T45)</f>
        <v>55735970.919999979</v>
      </c>
      <c r="V45" s="59">
        <f>7303245.25*1.06</f>
        <v>7741439.9650000008</v>
      </c>
      <c r="W45" s="59">
        <f t="shared" ref="W45:Y45" si="49">7303245.25*1.06</f>
        <v>7741439.9650000008</v>
      </c>
      <c r="X45" s="59">
        <f t="shared" si="49"/>
        <v>7741439.9650000008</v>
      </c>
      <c r="Y45" s="59">
        <f t="shared" si="49"/>
        <v>7741439.9650000008</v>
      </c>
      <c r="Z45" s="59"/>
      <c r="AA45" s="59"/>
      <c r="AB45" s="59"/>
      <c r="AC45" s="59"/>
      <c r="AD45" s="59"/>
      <c r="AE45" s="59"/>
      <c r="AF45" s="59"/>
      <c r="AG45" s="59"/>
      <c r="AH45" s="303">
        <f t="shared" si="46"/>
        <v>30965759.860000003</v>
      </c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2">
        <f t="shared" si="47"/>
        <v>0</v>
      </c>
      <c r="AV45" s="52">
        <f t="shared" si="48"/>
        <v>86701730.779999986</v>
      </c>
    </row>
    <row r="46" spans="3:48" ht="22.5" customHeight="1" x14ac:dyDescent="0.25">
      <c r="C46" s="211" t="s">
        <v>203</v>
      </c>
      <c r="D46" s="212" t="s">
        <v>64</v>
      </c>
      <c r="E46" s="213" t="s">
        <v>98</v>
      </c>
      <c r="F46" s="273" t="s">
        <v>240</v>
      </c>
      <c r="G46" s="276">
        <v>42525</v>
      </c>
      <c r="H46" s="276">
        <v>41440</v>
      </c>
      <c r="I46" s="292"/>
      <c r="J46" s="292" t="s">
        <v>277</v>
      </c>
      <c r="K46" s="59">
        <f>'Estimativa  R$'!N45</f>
        <v>2017608.1992000025</v>
      </c>
      <c r="L46" s="444"/>
      <c r="M46" s="444"/>
      <c r="N46" s="59">
        <v>1310179.33</v>
      </c>
      <c r="O46" s="59">
        <v>1620000</v>
      </c>
      <c r="P46" s="59"/>
      <c r="Q46" s="59"/>
      <c r="R46" s="59"/>
      <c r="S46" s="59"/>
      <c r="T46" s="59"/>
      <c r="U46" s="52">
        <f>SUM(L46:T46)</f>
        <v>2930179.33</v>
      </c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303">
        <f t="shared" ref="AH46" si="50">SUM(V46:AG46)</f>
        <v>0</v>
      </c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2">
        <f t="shared" si="47"/>
        <v>0</v>
      </c>
      <c r="AV46" s="52">
        <f t="shared" si="48"/>
        <v>2930179.33</v>
      </c>
    </row>
    <row r="47" spans="3:48" ht="22.5" customHeight="1" x14ac:dyDescent="0.25">
      <c r="C47" s="251" t="s">
        <v>65</v>
      </c>
      <c r="D47" s="222"/>
      <c r="E47" s="222"/>
      <c r="F47" s="223"/>
      <c r="G47" s="280"/>
      <c r="H47" s="280"/>
      <c r="I47" s="292"/>
      <c r="J47" s="292"/>
      <c r="K47" s="57">
        <v>0</v>
      </c>
      <c r="L47" s="57"/>
      <c r="M47" s="57"/>
      <c r="N47" s="57"/>
      <c r="O47" s="57"/>
      <c r="P47" s="57"/>
      <c r="Q47" s="57"/>
      <c r="R47" s="57"/>
      <c r="S47" s="57"/>
      <c r="T47" s="57"/>
      <c r="U47" s="52">
        <f>SUM(L47:T47)</f>
        <v>0</v>
      </c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303">
        <f>SUM(Y47:AG47)</f>
        <v>0</v>
      </c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2">
        <f>SUM(AL47:AT47)</f>
        <v>0</v>
      </c>
      <c r="AV47" s="52">
        <f>SUM(AM47:AU47)</f>
        <v>0</v>
      </c>
    </row>
    <row r="48" spans="3:48" ht="24.95" customHeight="1" x14ac:dyDescent="0.25">
      <c r="C48" s="226" t="s">
        <v>90</v>
      </c>
      <c r="D48" s="209"/>
      <c r="E48" s="209"/>
      <c r="F48" s="210"/>
      <c r="G48" s="269"/>
      <c r="H48" s="269"/>
      <c r="I48" s="292"/>
      <c r="J48" s="292"/>
      <c r="K48" s="31">
        <f>K49+K53+K55</f>
        <v>19406470.920000002</v>
      </c>
      <c r="L48" s="31"/>
      <c r="M48" s="31"/>
      <c r="N48" s="31"/>
      <c r="O48" s="31"/>
      <c r="P48" s="31"/>
      <c r="Q48" s="31"/>
      <c r="R48" s="31"/>
      <c r="S48" s="31"/>
      <c r="T48" s="31"/>
      <c r="U48" s="31">
        <f>U49+U53+U55</f>
        <v>6259575.5773913022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>
        <f>AH49+AH53+AH55</f>
        <v>10512852.982713042</v>
      </c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>
        <f>AU49+AU53+AU55</f>
        <v>3226280.215279304</v>
      </c>
      <c r="AV48" s="31">
        <f>AV49+AV53+AV55</f>
        <v>19998708.775383648</v>
      </c>
    </row>
    <row r="49" spans="3:48" ht="24.75" customHeight="1" x14ac:dyDescent="0.25">
      <c r="C49" s="221" t="s">
        <v>66</v>
      </c>
      <c r="D49" s="222"/>
      <c r="E49" s="222"/>
      <c r="F49" s="223"/>
      <c r="G49" s="282"/>
      <c r="H49" s="282"/>
      <c r="I49" s="292"/>
      <c r="J49" s="292"/>
      <c r="K49" s="50">
        <f t="shared" ref="K49" si="51">SUM(K50:K52)</f>
        <v>19406470.920000002</v>
      </c>
      <c r="L49" s="50"/>
      <c r="M49" s="50"/>
      <c r="N49" s="50"/>
      <c r="O49" s="50"/>
      <c r="P49" s="50"/>
      <c r="Q49" s="50"/>
      <c r="R49" s="50"/>
      <c r="S49" s="50"/>
      <c r="T49" s="50"/>
      <c r="U49" s="50">
        <f t="shared" ref="U49" si="52">SUM(U50:U52)</f>
        <v>6259575.5773913022</v>
      </c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>
        <f t="shared" ref="AH49" si="53">SUM(AH50:AH52)</f>
        <v>10512852.982713042</v>
      </c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>
        <f t="shared" ref="AU49:AV49" si="54">SUM(AU50:AU52)</f>
        <v>3226280.215279304</v>
      </c>
      <c r="AV49" s="50">
        <f t="shared" si="54"/>
        <v>19998708.775383648</v>
      </c>
    </row>
    <row r="50" spans="3:48" ht="18" customHeight="1" x14ac:dyDescent="0.25">
      <c r="C50" s="216" t="s">
        <v>234</v>
      </c>
      <c r="D50" s="227" t="s">
        <v>67</v>
      </c>
      <c r="E50" s="228" t="s">
        <v>68</v>
      </c>
      <c r="F50" s="273" t="s">
        <v>240</v>
      </c>
      <c r="G50" s="276">
        <v>43142</v>
      </c>
      <c r="H50" s="276">
        <v>41974</v>
      </c>
      <c r="I50" s="292">
        <v>1.06</v>
      </c>
      <c r="J50" s="292"/>
      <c r="K50" s="55">
        <f>'Estimativa  R$'!N49</f>
        <v>9086470.9199999999</v>
      </c>
      <c r="L50" s="443"/>
      <c r="M50" s="443"/>
      <c r="N50" s="443">
        <f>395063.953043478+395063.953043478</f>
        <v>790127.90608695603</v>
      </c>
      <c r="O50" s="443">
        <f>395063.953043478+395063.953043478</f>
        <v>790127.90608695603</v>
      </c>
      <c r="P50" s="55">
        <v>395063.95304347825</v>
      </c>
      <c r="Q50" s="55">
        <v>395063.95304347825</v>
      </c>
      <c r="R50" s="55">
        <v>395063.95304347825</v>
      </c>
      <c r="S50" s="55">
        <v>395063.95304347825</v>
      </c>
      <c r="T50" s="55">
        <v>395063.95304347825</v>
      </c>
      <c r="U50" s="52">
        <f t="shared" ref="U50:U58" si="55">SUM(L50:T50)</f>
        <v>3555575.5773913027</v>
      </c>
      <c r="V50" s="55">
        <f>395063.953043478*1.06</f>
        <v>418767.79022608674</v>
      </c>
      <c r="W50" s="55">
        <f t="shared" ref="W50:AG50" si="56">395063.953043478*1.06</f>
        <v>418767.79022608674</v>
      </c>
      <c r="X50" s="55">
        <f t="shared" si="56"/>
        <v>418767.79022608674</v>
      </c>
      <c r="Y50" s="55">
        <f t="shared" si="56"/>
        <v>418767.79022608674</v>
      </c>
      <c r="Z50" s="55">
        <f t="shared" si="56"/>
        <v>418767.79022608674</v>
      </c>
      <c r="AA50" s="55">
        <f t="shared" si="56"/>
        <v>418767.79022608674</v>
      </c>
      <c r="AB50" s="55">
        <f t="shared" si="56"/>
        <v>418767.79022608674</v>
      </c>
      <c r="AC50" s="55">
        <f t="shared" si="56"/>
        <v>418767.79022608674</v>
      </c>
      <c r="AD50" s="55">
        <f t="shared" si="56"/>
        <v>418767.79022608674</v>
      </c>
      <c r="AE50" s="55">
        <f t="shared" si="56"/>
        <v>418767.79022608674</v>
      </c>
      <c r="AF50" s="55">
        <f t="shared" si="56"/>
        <v>418767.79022608674</v>
      </c>
      <c r="AG50" s="55">
        <f t="shared" si="56"/>
        <v>418767.79022608674</v>
      </c>
      <c r="AH50" s="303">
        <f t="shared" ref="AH50:AH64" si="57">SUM(V50:AG50)</f>
        <v>5025213.4827130418</v>
      </c>
      <c r="AI50" s="55">
        <f>(395063.953043478*1.06)*1.06</f>
        <v>443893.85763965198</v>
      </c>
      <c r="AJ50" s="55">
        <f>(395063.953043478*1.06)*1.06</f>
        <v>443893.85763965198</v>
      </c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2">
        <f t="shared" ref="AU50:AV64" si="58">SUM(AI50:AT50)</f>
        <v>887787.71527930396</v>
      </c>
      <c r="AV50" s="52">
        <f t="shared" ref="AV50:AV52" si="59">+U50+AH50+AU50</f>
        <v>9468576.7753836475</v>
      </c>
    </row>
    <row r="51" spans="3:48" ht="18" customHeight="1" x14ac:dyDescent="0.25">
      <c r="C51" s="255" t="s">
        <v>264</v>
      </c>
      <c r="D51" s="227" t="s">
        <v>265</v>
      </c>
      <c r="E51" s="228" t="s">
        <v>266</v>
      </c>
      <c r="F51" s="273" t="s">
        <v>241</v>
      </c>
      <c r="G51" s="276">
        <v>42871</v>
      </c>
      <c r="H51" s="276">
        <v>42309</v>
      </c>
      <c r="I51" s="292"/>
      <c r="J51" s="292"/>
      <c r="K51" s="55">
        <v>330000</v>
      </c>
      <c r="L51" s="55"/>
      <c r="M51" s="443"/>
      <c r="N51" s="443">
        <f>25000+30000</f>
        <v>55000</v>
      </c>
      <c r="O51" s="55">
        <v>25000</v>
      </c>
      <c r="P51" s="55">
        <v>25000</v>
      </c>
      <c r="Q51" s="55">
        <v>25000</v>
      </c>
      <c r="R51" s="55">
        <v>25000</v>
      </c>
      <c r="S51" s="55">
        <v>25000</v>
      </c>
      <c r="T51" s="55">
        <f>25000*1.06</f>
        <v>26500</v>
      </c>
      <c r="U51" s="52">
        <f t="shared" si="55"/>
        <v>206500</v>
      </c>
      <c r="V51" s="55">
        <f t="shared" ref="V51:Z51" si="60">25000*1.06</f>
        <v>26500</v>
      </c>
      <c r="W51" s="55">
        <f t="shared" si="60"/>
        <v>26500</v>
      </c>
      <c r="X51" s="55">
        <f t="shared" si="60"/>
        <v>26500</v>
      </c>
      <c r="Y51" s="55">
        <f t="shared" si="60"/>
        <v>26500</v>
      </c>
      <c r="Z51" s="55">
        <f t="shared" si="60"/>
        <v>26500</v>
      </c>
      <c r="AA51" s="55"/>
      <c r="AB51" s="55"/>
      <c r="AC51" s="55"/>
      <c r="AD51" s="55"/>
      <c r="AE51" s="55"/>
      <c r="AF51" s="55"/>
      <c r="AG51" s="55"/>
      <c r="AH51" s="303">
        <f t="shared" si="57"/>
        <v>132500</v>
      </c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2">
        <f t="shared" si="58"/>
        <v>0</v>
      </c>
      <c r="AV51" s="52">
        <f t="shared" si="59"/>
        <v>339000</v>
      </c>
    </row>
    <row r="52" spans="3:48" ht="18" customHeight="1" x14ac:dyDescent="0.25">
      <c r="C52" s="255" t="s">
        <v>267</v>
      </c>
      <c r="D52" s="227" t="s">
        <v>268</v>
      </c>
      <c r="E52" s="228" t="s">
        <v>269</v>
      </c>
      <c r="F52" s="273" t="s">
        <v>241</v>
      </c>
      <c r="G52" s="276">
        <v>43242</v>
      </c>
      <c r="H52" s="276">
        <v>41395</v>
      </c>
      <c r="I52" s="292"/>
      <c r="J52" s="55">
        <f>K52/24</f>
        <v>416250</v>
      </c>
      <c r="K52" s="55">
        <v>9990000</v>
      </c>
      <c r="L52" s="55"/>
      <c r="M52" s="55"/>
      <c r="N52" s="55"/>
      <c r="O52" s="55">
        <v>416250</v>
      </c>
      <c r="P52" s="55">
        <v>416250</v>
      </c>
      <c r="Q52" s="55">
        <v>416250</v>
      </c>
      <c r="R52" s="55">
        <v>416250</v>
      </c>
      <c r="S52" s="55">
        <v>416250</v>
      </c>
      <c r="T52" s="55">
        <v>416250</v>
      </c>
      <c r="U52" s="52">
        <f t="shared" si="55"/>
        <v>2497500</v>
      </c>
      <c r="V52" s="55">
        <v>416250</v>
      </c>
      <c r="W52" s="55">
        <v>416250</v>
      </c>
      <c r="X52" s="55">
        <v>416250</v>
      </c>
      <c r="Y52" s="55">
        <v>416250</v>
      </c>
      <c r="Z52" s="55">
        <v>416250</v>
      </c>
      <c r="AA52" s="55">
        <f>416250*1.06*1.06</f>
        <v>467698.5</v>
      </c>
      <c r="AB52" s="55">
        <v>467698.5</v>
      </c>
      <c r="AC52" s="55">
        <v>467698.5</v>
      </c>
      <c r="AD52" s="55">
        <v>467698.5</v>
      </c>
      <c r="AE52" s="55">
        <v>467698.5</v>
      </c>
      <c r="AF52" s="55">
        <v>467698.5</v>
      </c>
      <c r="AG52" s="55">
        <v>467698.5</v>
      </c>
      <c r="AH52" s="303">
        <f t="shared" si="57"/>
        <v>5355139.5</v>
      </c>
      <c r="AI52" s="55">
        <v>467698.5</v>
      </c>
      <c r="AJ52" s="55">
        <v>467698.5</v>
      </c>
      <c r="AK52" s="55">
        <v>467698.5</v>
      </c>
      <c r="AL52" s="55">
        <v>467698.5</v>
      </c>
      <c r="AM52" s="55">
        <v>467698.5</v>
      </c>
      <c r="AN52" s="55"/>
      <c r="AO52" s="55"/>
      <c r="AP52" s="55"/>
      <c r="AQ52" s="55"/>
      <c r="AR52" s="55"/>
      <c r="AS52" s="55"/>
      <c r="AT52" s="55"/>
      <c r="AU52" s="52">
        <f t="shared" si="58"/>
        <v>2338492.5</v>
      </c>
      <c r="AV52" s="52">
        <f t="shared" si="59"/>
        <v>10191132</v>
      </c>
    </row>
    <row r="53" spans="3:48" ht="24.95" customHeight="1" x14ac:dyDescent="0.25">
      <c r="C53" s="221" t="s">
        <v>69</v>
      </c>
      <c r="D53" s="222"/>
      <c r="E53" s="222"/>
      <c r="F53" s="223"/>
      <c r="G53" s="280"/>
      <c r="H53" s="280"/>
      <c r="I53" s="292"/>
      <c r="J53" s="292"/>
      <c r="K53" s="56">
        <f>'Estimativa  R$'!N50</f>
        <v>0</v>
      </c>
      <c r="L53" s="56"/>
      <c r="M53" s="56"/>
      <c r="N53" s="56"/>
      <c r="O53" s="56"/>
      <c r="P53" s="56"/>
      <c r="Q53" s="56"/>
      <c r="R53" s="56"/>
      <c r="S53" s="56"/>
      <c r="T53" s="56"/>
      <c r="U53" s="52">
        <f t="shared" si="55"/>
        <v>0</v>
      </c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303">
        <f t="shared" si="57"/>
        <v>0</v>
      </c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2">
        <f t="shared" si="58"/>
        <v>0</v>
      </c>
      <c r="AV53" s="52">
        <f t="shared" si="58"/>
        <v>0</v>
      </c>
    </row>
    <row r="54" spans="3:48" ht="18.75" customHeight="1" x14ac:dyDescent="0.25">
      <c r="C54" s="211" t="s">
        <v>206</v>
      </c>
      <c r="D54" s="212" t="s">
        <v>70</v>
      </c>
      <c r="E54" s="224" t="s">
        <v>71</v>
      </c>
      <c r="F54" s="214" t="s">
        <v>239</v>
      </c>
      <c r="G54" s="270" t="s">
        <v>108</v>
      </c>
      <c r="H54" s="270"/>
      <c r="I54" s="292"/>
      <c r="J54" s="292"/>
      <c r="K54" s="58">
        <f>'Estimativa  R$'!N51</f>
        <v>0</v>
      </c>
      <c r="L54" s="58"/>
      <c r="M54" s="58"/>
      <c r="N54" s="58"/>
      <c r="O54" s="58"/>
      <c r="P54" s="58"/>
      <c r="Q54" s="58"/>
      <c r="R54" s="58"/>
      <c r="S54" s="58"/>
      <c r="T54" s="58"/>
      <c r="U54" s="52">
        <f t="shared" si="55"/>
        <v>0</v>
      </c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303">
        <f t="shared" si="57"/>
        <v>0</v>
      </c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2">
        <f t="shared" si="58"/>
        <v>0</v>
      </c>
      <c r="AV54" s="52">
        <f>+U54+AH54+AU54</f>
        <v>0</v>
      </c>
    </row>
    <row r="55" spans="3:48" ht="24.95" customHeight="1" x14ac:dyDescent="0.25">
      <c r="C55" s="251" t="s">
        <v>72</v>
      </c>
      <c r="D55" s="222"/>
      <c r="E55" s="222"/>
      <c r="F55" s="223"/>
      <c r="G55" s="234"/>
      <c r="H55" s="234"/>
      <c r="I55" s="292"/>
      <c r="J55" s="292"/>
      <c r="K55" s="56">
        <f>'Estimativa  R$'!N52</f>
        <v>0</v>
      </c>
      <c r="L55" s="56"/>
      <c r="M55" s="56"/>
      <c r="N55" s="56"/>
      <c r="O55" s="56"/>
      <c r="P55" s="56"/>
      <c r="Q55" s="56"/>
      <c r="R55" s="56"/>
      <c r="S55" s="56"/>
      <c r="T55" s="56"/>
      <c r="U55" s="52">
        <f t="shared" si="55"/>
        <v>0</v>
      </c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303">
        <f t="shared" si="57"/>
        <v>0</v>
      </c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2">
        <f t="shared" si="58"/>
        <v>0</v>
      </c>
      <c r="AV55" s="52">
        <f t="shared" si="58"/>
        <v>0</v>
      </c>
    </row>
    <row r="56" spans="3:48" ht="27" customHeight="1" x14ac:dyDescent="0.25">
      <c r="C56" s="216" t="s">
        <v>235</v>
      </c>
      <c r="D56" s="13" t="s">
        <v>73</v>
      </c>
      <c r="E56" s="229" t="s">
        <v>74</v>
      </c>
      <c r="F56" s="217" t="s">
        <v>239</v>
      </c>
      <c r="G56" s="271" t="s">
        <v>108</v>
      </c>
      <c r="H56" s="271"/>
      <c r="I56" s="292"/>
      <c r="J56" s="292"/>
      <c r="K56" s="60">
        <f>'Estimativa  R$'!N53</f>
        <v>0</v>
      </c>
      <c r="L56" s="60"/>
      <c r="M56" s="60"/>
      <c r="N56" s="60"/>
      <c r="O56" s="60"/>
      <c r="P56" s="60"/>
      <c r="Q56" s="60"/>
      <c r="R56" s="60"/>
      <c r="S56" s="60"/>
      <c r="T56" s="60"/>
      <c r="U56" s="52">
        <f t="shared" si="55"/>
        <v>0</v>
      </c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303">
        <f t="shared" si="57"/>
        <v>0</v>
      </c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52">
        <f t="shared" si="58"/>
        <v>0</v>
      </c>
      <c r="AV56" s="52">
        <f t="shared" si="58"/>
        <v>0</v>
      </c>
    </row>
    <row r="57" spans="3:48" ht="27" customHeight="1" x14ac:dyDescent="0.25">
      <c r="C57" s="216" t="s">
        <v>236</v>
      </c>
      <c r="D57" s="13" t="s">
        <v>75</v>
      </c>
      <c r="E57" s="230" t="s">
        <v>76</v>
      </c>
      <c r="F57" s="217" t="s">
        <v>239</v>
      </c>
      <c r="G57" s="271" t="s">
        <v>108</v>
      </c>
      <c r="H57" s="271"/>
      <c r="I57" s="292"/>
      <c r="J57" s="292"/>
      <c r="K57" s="61">
        <f>'Estimativa  R$'!N54</f>
        <v>0</v>
      </c>
      <c r="L57" s="61"/>
      <c r="M57" s="61"/>
      <c r="N57" s="61"/>
      <c r="O57" s="61"/>
      <c r="P57" s="61"/>
      <c r="Q57" s="61"/>
      <c r="R57" s="61"/>
      <c r="S57" s="61"/>
      <c r="T57" s="61"/>
      <c r="U57" s="52">
        <f t="shared" si="55"/>
        <v>0</v>
      </c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303">
        <f t="shared" si="57"/>
        <v>0</v>
      </c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52">
        <f t="shared" si="58"/>
        <v>0</v>
      </c>
      <c r="AV57" s="52">
        <f t="shared" si="58"/>
        <v>0</v>
      </c>
    </row>
    <row r="58" spans="3:48" ht="27" customHeight="1" x14ac:dyDescent="0.25">
      <c r="C58" s="216" t="s">
        <v>237</v>
      </c>
      <c r="D58" s="13" t="s">
        <v>77</v>
      </c>
      <c r="E58" s="230" t="s">
        <v>76</v>
      </c>
      <c r="F58" s="217" t="s">
        <v>239</v>
      </c>
      <c r="G58" s="271" t="s">
        <v>108</v>
      </c>
      <c r="H58" s="271"/>
      <c r="I58" s="292"/>
      <c r="J58" s="292"/>
      <c r="K58" s="61">
        <f>'Estimativa  R$'!N55</f>
        <v>0</v>
      </c>
      <c r="L58" s="61"/>
      <c r="M58" s="61"/>
      <c r="N58" s="61"/>
      <c r="O58" s="61"/>
      <c r="P58" s="61"/>
      <c r="Q58" s="61"/>
      <c r="R58" s="61"/>
      <c r="S58" s="61"/>
      <c r="T58" s="61"/>
      <c r="U58" s="52">
        <f t="shared" si="55"/>
        <v>0</v>
      </c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303">
        <f t="shared" si="57"/>
        <v>0</v>
      </c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52">
        <f t="shared" si="58"/>
        <v>0</v>
      </c>
      <c r="AV58" s="52">
        <f t="shared" si="58"/>
        <v>0</v>
      </c>
    </row>
    <row r="59" spans="3:48" ht="24.95" customHeight="1" x14ac:dyDescent="0.25">
      <c r="C59" s="205" t="s">
        <v>91</v>
      </c>
      <c r="D59" s="206"/>
      <c r="E59" s="206"/>
      <c r="F59" s="207"/>
      <c r="G59" s="233"/>
      <c r="H59" s="233"/>
      <c r="I59" s="292"/>
      <c r="J59" s="292"/>
      <c r="K59" s="48">
        <f>K60+K61</f>
        <v>2286781</v>
      </c>
      <c r="L59" s="48"/>
      <c r="M59" s="48"/>
      <c r="N59" s="48">
        <f t="shared" ref="N59:AV59" si="61">N60+N61</f>
        <v>410000</v>
      </c>
      <c r="O59" s="48">
        <f t="shared" si="61"/>
        <v>0</v>
      </c>
      <c r="P59" s="48">
        <f t="shared" si="61"/>
        <v>0</v>
      </c>
      <c r="Q59" s="48">
        <f t="shared" si="61"/>
        <v>0</v>
      </c>
      <c r="R59" s="48">
        <f t="shared" si="61"/>
        <v>440000</v>
      </c>
      <c r="S59" s="48">
        <f t="shared" si="61"/>
        <v>0</v>
      </c>
      <c r="T59" s="48">
        <f t="shared" si="61"/>
        <v>0</v>
      </c>
      <c r="U59" s="48">
        <f t="shared" si="61"/>
        <v>850000</v>
      </c>
      <c r="V59" s="48">
        <f t="shared" si="61"/>
        <v>0</v>
      </c>
      <c r="W59" s="48">
        <f t="shared" si="61"/>
        <v>0</v>
      </c>
      <c r="X59" s="48">
        <f t="shared" si="61"/>
        <v>440000</v>
      </c>
      <c r="Y59" s="48">
        <f t="shared" si="61"/>
        <v>0</v>
      </c>
      <c r="Z59" s="48">
        <f t="shared" si="61"/>
        <v>0</v>
      </c>
      <c r="AA59" s="48">
        <f t="shared" si="61"/>
        <v>0</v>
      </c>
      <c r="AB59" s="48">
        <f t="shared" si="61"/>
        <v>440000</v>
      </c>
      <c r="AC59" s="48">
        <f t="shared" si="61"/>
        <v>0</v>
      </c>
      <c r="AD59" s="48">
        <f t="shared" si="61"/>
        <v>0</v>
      </c>
      <c r="AE59" s="48">
        <f t="shared" si="61"/>
        <v>0</v>
      </c>
      <c r="AF59" s="48">
        <f t="shared" si="61"/>
        <v>0</v>
      </c>
      <c r="AG59" s="48">
        <f t="shared" si="61"/>
        <v>0</v>
      </c>
      <c r="AH59" s="48">
        <f t="shared" si="61"/>
        <v>880000</v>
      </c>
      <c r="AI59" s="48">
        <f t="shared" si="61"/>
        <v>0</v>
      </c>
      <c r="AJ59" s="48">
        <f t="shared" si="61"/>
        <v>0</v>
      </c>
      <c r="AK59" s="48">
        <f t="shared" si="61"/>
        <v>440000</v>
      </c>
      <c r="AL59" s="48">
        <f t="shared" si="61"/>
        <v>0</v>
      </c>
      <c r="AM59" s="48">
        <f t="shared" si="61"/>
        <v>0</v>
      </c>
      <c r="AN59" s="48">
        <f t="shared" si="61"/>
        <v>116781</v>
      </c>
      <c r="AO59" s="48">
        <f t="shared" si="61"/>
        <v>0</v>
      </c>
      <c r="AP59" s="48">
        <f t="shared" si="61"/>
        <v>0</v>
      </c>
      <c r="AQ59" s="48">
        <f t="shared" si="61"/>
        <v>0</v>
      </c>
      <c r="AR59" s="48">
        <f t="shared" si="61"/>
        <v>0</v>
      </c>
      <c r="AS59" s="48">
        <f t="shared" si="61"/>
        <v>0</v>
      </c>
      <c r="AT59" s="48">
        <f t="shared" si="61"/>
        <v>0</v>
      </c>
      <c r="AU59" s="48">
        <f t="shared" si="61"/>
        <v>556781</v>
      </c>
      <c r="AV59" s="48">
        <f t="shared" si="61"/>
        <v>2286781</v>
      </c>
    </row>
    <row r="60" spans="3:48" ht="24.95" customHeight="1" x14ac:dyDescent="0.25">
      <c r="C60" s="226" t="s">
        <v>92</v>
      </c>
      <c r="D60" s="209"/>
      <c r="E60" s="209"/>
      <c r="F60" s="210"/>
      <c r="G60" s="269"/>
      <c r="H60" s="269"/>
      <c r="I60" s="292"/>
      <c r="J60" s="292"/>
      <c r="K60" s="57">
        <f>'Estimativa  R$'!N57</f>
        <v>0</v>
      </c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</row>
    <row r="61" spans="3:48" ht="24.95" customHeight="1" x14ac:dyDescent="0.25">
      <c r="C61" s="226" t="s">
        <v>93</v>
      </c>
      <c r="D61" s="209"/>
      <c r="E61" s="209"/>
      <c r="F61" s="210"/>
      <c r="G61" s="269"/>
      <c r="H61" s="269"/>
      <c r="I61" s="292"/>
      <c r="J61" s="292"/>
      <c r="K61" s="50">
        <f>'Estimativa  R$'!N58</f>
        <v>2286781</v>
      </c>
      <c r="L61" s="50"/>
      <c r="M61" s="50"/>
      <c r="N61" s="50">
        <f t="shared" ref="N61:AV62" si="62">N62</f>
        <v>410000</v>
      </c>
      <c r="O61" s="50">
        <f t="shared" si="62"/>
        <v>0</v>
      </c>
      <c r="P61" s="50">
        <f t="shared" si="62"/>
        <v>0</v>
      </c>
      <c r="Q61" s="50">
        <f t="shared" si="62"/>
        <v>0</v>
      </c>
      <c r="R61" s="50">
        <f t="shared" si="62"/>
        <v>440000</v>
      </c>
      <c r="S61" s="50">
        <f t="shared" si="62"/>
        <v>0</v>
      </c>
      <c r="T61" s="50">
        <f t="shared" si="62"/>
        <v>0</v>
      </c>
      <c r="U61" s="50">
        <f t="shared" si="62"/>
        <v>850000</v>
      </c>
      <c r="V61" s="50">
        <f t="shared" si="62"/>
        <v>0</v>
      </c>
      <c r="W61" s="50">
        <f t="shared" si="62"/>
        <v>0</v>
      </c>
      <c r="X61" s="50">
        <f t="shared" si="62"/>
        <v>440000</v>
      </c>
      <c r="Y61" s="50">
        <f t="shared" si="62"/>
        <v>0</v>
      </c>
      <c r="Z61" s="50">
        <f t="shared" si="62"/>
        <v>0</v>
      </c>
      <c r="AA61" s="50">
        <f t="shared" si="62"/>
        <v>0</v>
      </c>
      <c r="AB61" s="50">
        <f t="shared" si="62"/>
        <v>440000</v>
      </c>
      <c r="AC61" s="50">
        <f t="shared" si="62"/>
        <v>0</v>
      </c>
      <c r="AD61" s="50">
        <f t="shared" si="62"/>
        <v>0</v>
      </c>
      <c r="AE61" s="50">
        <f t="shared" si="62"/>
        <v>0</v>
      </c>
      <c r="AF61" s="50">
        <f t="shared" si="62"/>
        <v>0</v>
      </c>
      <c r="AG61" s="50">
        <f t="shared" si="62"/>
        <v>0</v>
      </c>
      <c r="AH61" s="50">
        <f t="shared" si="62"/>
        <v>880000</v>
      </c>
      <c r="AI61" s="50">
        <f t="shared" si="62"/>
        <v>0</v>
      </c>
      <c r="AJ61" s="50">
        <f t="shared" si="62"/>
        <v>0</v>
      </c>
      <c r="AK61" s="50">
        <f t="shared" si="62"/>
        <v>440000</v>
      </c>
      <c r="AL61" s="50">
        <f t="shared" si="62"/>
        <v>0</v>
      </c>
      <c r="AM61" s="50">
        <f t="shared" si="62"/>
        <v>0</v>
      </c>
      <c r="AN61" s="50">
        <f t="shared" si="62"/>
        <v>116781</v>
      </c>
      <c r="AO61" s="50">
        <f t="shared" si="62"/>
        <v>0</v>
      </c>
      <c r="AP61" s="50">
        <f t="shared" si="62"/>
        <v>0</v>
      </c>
      <c r="AQ61" s="50">
        <f t="shared" si="62"/>
        <v>0</v>
      </c>
      <c r="AR61" s="50">
        <f t="shared" si="62"/>
        <v>0</v>
      </c>
      <c r="AS61" s="50">
        <f t="shared" si="62"/>
        <v>0</v>
      </c>
      <c r="AT61" s="50">
        <f t="shared" si="62"/>
        <v>0</v>
      </c>
      <c r="AU61" s="50">
        <f t="shared" si="62"/>
        <v>556781</v>
      </c>
      <c r="AV61" s="50">
        <f t="shared" si="62"/>
        <v>2286781</v>
      </c>
    </row>
    <row r="62" spans="3:48" ht="24.95" customHeight="1" x14ac:dyDescent="0.25">
      <c r="C62" s="251" t="s">
        <v>78</v>
      </c>
      <c r="D62" s="222"/>
      <c r="E62" s="222"/>
      <c r="F62" s="223"/>
      <c r="G62" s="234"/>
      <c r="H62" s="234"/>
      <c r="I62" s="292"/>
      <c r="J62" s="292"/>
      <c r="K62" s="56">
        <f>'Estimativa  R$'!N59</f>
        <v>2286781</v>
      </c>
      <c r="L62" s="56"/>
      <c r="M62" s="56"/>
      <c r="N62" s="56">
        <f t="shared" si="62"/>
        <v>410000</v>
      </c>
      <c r="O62" s="56">
        <f t="shared" si="62"/>
        <v>0</v>
      </c>
      <c r="P62" s="56">
        <f t="shared" si="62"/>
        <v>0</v>
      </c>
      <c r="Q62" s="56">
        <f t="shared" si="62"/>
        <v>0</v>
      </c>
      <c r="R62" s="56">
        <f t="shared" si="62"/>
        <v>440000</v>
      </c>
      <c r="S62" s="56">
        <f t="shared" si="62"/>
        <v>0</v>
      </c>
      <c r="T62" s="56">
        <f t="shared" si="62"/>
        <v>0</v>
      </c>
      <c r="U62" s="56">
        <f t="shared" si="62"/>
        <v>850000</v>
      </c>
      <c r="V62" s="56">
        <f t="shared" si="62"/>
        <v>0</v>
      </c>
      <c r="W62" s="56">
        <f t="shared" si="62"/>
        <v>0</v>
      </c>
      <c r="X62" s="56">
        <f t="shared" si="62"/>
        <v>440000</v>
      </c>
      <c r="Y62" s="56">
        <f t="shared" si="62"/>
        <v>0</v>
      </c>
      <c r="Z62" s="56">
        <f t="shared" si="62"/>
        <v>0</v>
      </c>
      <c r="AA62" s="56">
        <f t="shared" si="62"/>
        <v>0</v>
      </c>
      <c r="AB62" s="56">
        <f t="shared" si="62"/>
        <v>440000</v>
      </c>
      <c r="AC62" s="56">
        <f t="shared" si="62"/>
        <v>0</v>
      </c>
      <c r="AD62" s="56">
        <f t="shared" si="62"/>
        <v>0</v>
      </c>
      <c r="AE62" s="56">
        <f t="shared" si="62"/>
        <v>0</v>
      </c>
      <c r="AF62" s="56">
        <f t="shared" si="62"/>
        <v>0</v>
      </c>
      <c r="AG62" s="56">
        <f t="shared" si="62"/>
        <v>0</v>
      </c>
      <c r="AH62" s="56">
        <f t="shared" si="62"/>
        <v>880000</v>
      </c>
      <c r="AI62" s="56">
        <f t="shared" si="62"/>
        <v>0</v>
      </c>
      <c r="AJ62" s="56">
        <f t="shared" si="62"/>
        <v>0</v>
      </c>
      <c r="AK62" s="56">
        <f t="shared" si="62"/>
        <v>440000</v>
      </c>
      <c r="AL62" s="56">
        <f t="shared" si="62"/>
        <v>0</v>
      </c>
      <c r="AM62" s="56">
        <f t="shared" si="62"/>
        <v>0</v>
      </c>
      <c r="AN62" s="56">
        <f t="shared" si="62"/>
        <v>116781</v>
      </c>
      <c r="AO62" s="56">
        <f t="shared" si="62"/>
        <v>0</v>
      </c>
      <c r="AP62" s="56">
        <f t="shared" si="62"/>
        <v>0</v>
      </c>
      <c r="AQ62" s="56">
        <f t="shared" si="62"/>
        <v>0</v>
      </c>
      <c r="AR62" s="56">
        <f t="shared" si="62"/>
        <v>0</v>
      </c>
      <c r="AS62" s="56">
        <f t="shared" si="62"/>
        <v>0</v>
      </c>
      <c r="AT62" s="56">
        <f t="shared" si="62"/>
        <v>0</v>
      </c>
      <c r="AU62" s="56">
        <f t="shared" si="62"/>
        <v>556781</v>
      </c>
      <c r="AV62" s="56">
        <f t="shared" si="62"/>
        <v>2286781</v>
      </c>
    </row>
    <row r="63" spans="3:48" ht="15" customHeight="1" x14ac:dyDescent="0.25">
      <c r="C63" s="216" t="s">
        <v>213</v>
      </c>
      <c r="D63" s="13" t="s">
        <v>79</v>
      </c>
      <c r="E63" s="230" t="s">
        <v>80</v>
      </c>
      <c r="F63" s="217" t="s">
        <v>240</v>
      </c>
      <c r="G63" s="302">
        <v>43155</v>
      </c>
      <c r="H63" s="302">
        <v>41030</v>
      </c>
      <c r="I63" s="292"/>
      <c r="J63" s="292"/>
      <c r="K63" s="61">
        <f>'Estimativa  US$3,64-Compr.'!M63</f>
        <v>2286781</v>
      </c>
      <c r="L63" s="61"/>
      <c r="M63" s="61"/>
      <c r="N63" s="61">
        <v>410000</v>
      </c>
      <c r="O63" s="61"/>
      <c r="P63" s="61"/>
      <c r="Q63" s="61"/>
      <c r="R63" s="61">
        <v>440000</v>
      </c>
      <c r="S63" s="61"/>
      <c r="T63" s="61"/>
      <c r="U63" s="52">
        <f t="shared" ref="U63:U64" si="63">SUM(L63:T63)</f>
        <v>850000</v>
      </c>
      <c r="V63" s="61"/>
      <c r="W63" s="61"/>
      <c r="X63" s="61">
        <v>440000</v>
      </c>
      <c r="Y63" s="61"/>
      <c r="Z63" s="61"/>
      <c r="AA63" s="61"/>
      <c r="AB63" s="61">
        <v>440000</v>
      </c>
      <c r="AC63" s="61"/>
      <c r="AD63" s="61"/>
      <c r="AE63" s="61"/>
      <c r="AF63" s="61"/>
      <c r="AG63" s="61"/>
      <c r="AH63" s="303">
        <f t="shared" si="57"/>
        <v>880000</v>
      </c>
      <c r="AI63" s="61"/>
      <c r="AJ63" s="61"/>
      <c r="AK63" s="61">
        <v>440000</v>
      </c>
      <c r="AL63" s="61"/>
      <c r="AM63" s="61"/>
      <c r="AN63" s="61">
        <v>116781</v>
      </c>
      <c r="AO63" s="61"/>
      <c r="AP63" s="61"/>
      <c r="AQ63" s="61"/>
      <c r="AR63" s="61"/>
      <c r="AS63" s="61"/>
      <c r="AT63" s="61"/>
      <c r="AU63" s="52">
        <f t="shared" si="58"/>
        <v>556781</v>
      </c>
      <c r="AV63" s="52">
        <f>+U63+AH63+AU63</f>
        <v>2286781</v>
      </c>
    </row>
    <row r="64" spans="3:48" ht="24.95" customHeight="1" x14ac:dyDescent="0.25">
      <c r="C64" s="205" t="s">
        <v>94</v>
      </c>
      <c r="D64" s="206"/>
      <c r="E64" s="206"/>
      <c r="F64" s="207"/>
      <c r="G64" s="233"/>
      <c r="H64" s="233"/>
      <c r="I64" s="285"/>
      <c r="J64" s="285"/>
      <c r="K64" s="62">
        <f>'Estimativa  R$'!N61</f>
        <v>0</v>
      </c>
      <c r="L64" s="62"/>
      <c r="M64" s="62"/>
      <c r="N64" s="62"/>
      <c r="O64" s="62"/>
      <c r="P64" s="62"/>
      <c r="Q64" s="62"/>
      <c r="R64" s="62"/>
      <c r="S64" s="62"/>
      <c r="T64" s="62"/>
      <c r="U64" s="52">
        <f t="shared" si="63"/>
        <v>0</v>
      </c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303">
        <f t="shared" si="57"/>
        <v>0</v>
      </c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52">
        <f t="shared" si="58"/>
        <v>0</v>
      </c>
      <c r="AV64" s="52">
        <f t="shared" si="58"/>
        <v>0</v>
      </c>
    </row>
    <row r="66" spans="12:13" ht="18.75" customHeight="1" x14ac:dyDescent="0.25">
      <c r="L66" s="202"/>
      <c r="M66" s="202"/>
    </row>
    <row r="67" spans="12:13" ht="18.75" customHeight="1" x14ac:dyDescent="0.25"/>
    <row r="68" spans="12:13" x14ac:dyDescent="0.25">
      <c r="L68" s="202"/>
      <c r="M68" s="202"/>
    </row>
  </sheetData>
  <mergeCells count="10">
    <mergeCell ref="C1:AV1"/>
    <mergeCell ref="C3:C4"/>
    <mergeCell ref="D3:D4"/>
    <mergeCell ref="E3:E4"/>
    <mergeCell ref="F3:F4"/>
    <mergeCell ref="K3:AV3"/>
    <mergeCell ref="G3:G4"/>
    <mergeCell ref="H3:H4"/>
    <mergeCell ref="I3:I4"/>
    <mergeCell ref="J3:J4"/>
  </mergeCells>
  <printOptions horizontalCentered="1"/>
  <pageMargins left="0.31496062992125984" right="0" top="0.78740157480314965" bottom="0.19685039370078741" header="0.31496062992125984" footer="0.31496062992125984"/>
  <pageSetup paperSize="8" scale="24" orientation="landscape" r:id="rId1"/>
  <headerFooter>
    <oddHeader>&amp;L&amp;G&amp;R&amp;9Diretoria de Tecnologia, Empreendimentos e Meio Ambiente - T
Superintendência de Gestão de Projetos Especiais - TG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">
    <pageSetUpPr fitToPage="1"/>
  </sheetPr>
  <dimension ref="B1:AC75"/>
  <sheetViews>
    <sheetView zoomScaleNormal="100" workbookViewId="0">
      <pane xSplit="5" ySplit="4" topLeftCell="R32" activePane="bottomRight" state="frozen"/>
      <selection pane="topRight" activeCell="F1" sqref="F1"/>
      <selection pane="bottomLeft" activeCell="A5" sqref="A5"/>
      <selection pane="bottomRight" activeCell="R29" sqref="R29"/>
    </sheetView>
  </sheetViews>
  <sheetFormatPr defaultRowHeight="15" x14ac:dyDescent="0.25"/>
  <cols>
    <col min="1" max="2" width="1.7109375" customWidth="1"/>
    <col min="3" max="3" width="14.5703125" customWidth="1"/>
    <col min="4" max="4" width="24.140625" customWidth="1"/>
    <col min="5" max="5" width="62.5703125" style="1" customWidth="1"/>
    <col min="6" max="6" width="15" customWidth="1"/>
    <col min="7" max="23" width="17.7109375" style="1" customWidth="1"/>
    <col min="24" max="24" width="9.42578125" style="1" customWidth="1"/>
    <col min="26" max="26" width="10.5703125" bestFit="1" customWidth="1"/>
    <col min="27" max="29" width="13.85546875" bestFit="1" customWidth="1"/>
  </cols>
  <sheetData>
    <row r="1" spans="2:29" ht="15.75" x14ac:dyDescent="0.25">
      <c r="C1" s="591" t="s">
        <v>260</v>
      </c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</row>
    <row r="2" spans="2:29" ht="18" customHeight="1" thickBot="1" x14ac:dyDescent="0.3">
      <c r="B2" t="s">
        <v>100</v>
      </c>
      <c r="K2" s="254"/>
      <c r="N2" s="202"/>
      <c r="O2" s="202"/>
      <c r="P2" s="202"/>
      <c r="Q2" s="202"/>
      <c r="T2" s="263"/>
      <c r="U2" s="263"/>
      <c r="V2" s="263"/>
      <c r="W2" s="263"/>
      <c r="X2" s="204"/>
      <c r="AA2" s="263"/>
      <c r="AB2" s="263"/>
      <c r="AC2" s="264"/>
    </row>
    <row r="3" spans="2:29" ht="20.100000000000001" customHeight="1" x14ac:dyDescent="0.25">
      <c r="C3" s="592" t="s">
        <v>106</v>
      </c>
      <c r="D3" s="594" t="s">
        <v>0</v>
      </c>
      <c r="E3" s="596" t="s">
        <v>1</v>
      </c>
      <c r="F3" s="598" t="s">
        <v>238</v>
      </c>
      <c r="G3" s="617" t="s">
        <v>246</v>
      </c>
      <c r="H3" s="618"/>
      <c r="I3" s="619"/>
      <c r="J3" s="620" t="s">
        <v>247</v>
      </c>
      <c r="K3" s="621"/>
      <c r="L3" s="622"/>
      <c r="M3" s="600" t="s">
        <v>118</v>
      </c>
      <c r="N3" s="611"/>
      <c r="O3" s="612"/>
      <c r="P3" s="612"/>
      <c r="Q3" s="612"/>
      <c r="R3" s="611"/>
      <c r="S3" s="611"/>
      <c r="T3" s="613"/>
      <c r="U3" s="614" t="s">
        <v>254</v>
      </c>
      <c r="V3" s="615"/>
      <c r="W3" s="616"/>
      <c r="X3" s="606" t="s">
        <v>104</v>
      </c>
      <c r="AA3" t="s">
        <v>249</v>
      </c>
      <c r="AB3">
        <v>3.64</v>
      </c>
      <c r="AC3" s="264" t="s">
        <v>321</v>
      </c>
    </row>
    <row r="4" spans="2:29" ht="30" customHeight="1" x14ac:dyDescent="0.25">
      <c r="C4" s="593"/>
      <c r="D4" s="595"/>
      <c r="E4" s="597"/>
      <c r="F4" s="599"/>
      <c r="G4" s="4" t="s">
        <v>105</v>
      </c>
      <c r="H4" s="5" t="s">
        <v>5</v>
      </c>
      <c r="I4" s="5" t="s">
        <v>6</v>
      </c>
      <c r="J4" s="2" t="s">
        <v>2</v>
      </c>
      <c r="K4" s="2" t="s">
        <v>3</v>
      </c>
      <c r="L4" s="3" t="s">
        <v>4</v>
      </c>
      <c r="M4" s="11" t="s">
        <v>250</v>
      </c>
      <c r="N4" s="11" t="s">
        <v>248</v>
      </c>
      <c r="O4" s="242" t="s">
        <v>292</v>
      </c>
      <c r="P4" s="242" t="s">
        <v>293</v>
      </c>
      <c r="Q4" s="242" t="s">
        <v>294</v>
      </c>
      <c r="R4" s="242" t="s">
        <v>251</v>
      </c>
      <c r="S4" s="10" t="s">
        <v>252</v>
      </c>
      <c r="T4" s="10" t="s">
        <v>253</v>
      </c>
      <c r="U4" s="246" t="s">
        <v>2</v>
      </c>
      <c r="V4" s="246" t="s">
        <v>3</v>
      </c>
      <c r="W4" s="245" t="s">
        <v>4</v>
      </c>
      <c r="X4" s="607"/>
      <c r="Y4" s="12" t="s">
        <v>96</v>
      </c>
    </row>
    <row r="5" spans="2:29" ht="24.95" customHeight="1" x14ac:dyDescent="0.25">
      <c r="C5" s="205" t="s">
        <v>85</v>
      </c>
      <c r="D5" s="206"/>
      <c r="E5" s="206"/>
      <c r="F5" s="207"/>
      <c r="G5" s="38">
        <f>G6+G9</f>
        <v>21038710.5</v>
      </c>
      <c r="H5" s="38">
        <f>H6+H9</f>
        <v>5549219.6699999999</v>
      </c>
      <c r="I5" s="38">
        <f>G5-H5</f>
        <v>15489490.83</v>
      </c>
      <c r="J5" s="29">
        <f>J6+J9</f>
        <v>47193763.466233246</v>
      </c>
      <c r="K5" s="29">
        <f>K6+K9</f>
        <v>22659261.423049543</v>
      </c>
      <c r="L5" s="30">
        <f t="shared" ref="L5:L36" si="0">J5+K5</f>
        <v>69853024.889282793</v>
      </c>
      <c r="M5" s="48">
        <f t="shared" ref="M5:V5" si="1">M6+M9</f>
        <v>18982734.1358</v>
      </c>
      <c r="N5" s="48">
        <f t="shared" si="1"/>
        <v>5215036.8504945058</v>
      </c>
      <c r="O5" s="48">
        <f t="shared" ref="O5:Q5" si="2">O6+O9</f>
        <v>1612910.1358</v>
      </c>
      <c r="P5" s="48">
        <f t="shared" si="2"/>
        <v>5290920.8</v>
      </c>
      <c r="Q5" s="48">
        <f t="shared" si="2"/>
        <v>12078903.199999999</v>
      </c>
      <c r="R5" s="48">
        <f t="shared" si="1"/>
        <v>0</v>
      </c>
      <c r="S5" s="48">
        <f>S6+S9</f>
        <v>5215036.8504945058</v>
      </c>
      <c r="T5" s="48">
        <f t="shared" si="1"/>
        <v>5215036.8504945058</v>
      </c>
      <c r="U5" s="48">
        <f t="shared" si="1"/>
        <v>47193763.466233246</v>
      </c>
      <c r="V5" s="48">
        <f t="shared" si="1"/>
        <v>27874298.273544043</v>
      </c>
      <c r="W5" s="49">
        <f t="shared" ref="W5:W47" si="3">U5+V5</f>
        <v>75068061.739777297</v>
      </c>
      <c r="X5" s="15"/>
      <c r="AC5" s="265"/>
    </row>
    <row r="6" spans="2:29" ht="24.95" customHeight="1" x14ac:dyDescent="0.25">
      <c r="C6" s="226" t="s">
        <v>86</v>
      </c>
      <c r="D6" s="209"/>
      <c r="E6" s="209"/>
      <c r="F6" s="210"/>
      <c r="G6" s="39">
        <f>SUM(G7:G8)</f>
        <v>1831242.56</v>
      </c>
      <c r="H6" s="39">
        <f>SUM(H7:H8)</f>
        <v>1284329.48</v>
      </c>
      <c r="I6" s="39">
        <f t="shared" ref="I6:I9" si="4">G6-H6</f>
        <v>546913.08000000007</v>
      </c>
      <c r="J6" s="31">
        <f>SUM(J7:J8)</f>
        <v>3993763.5262332531</v>
      </c>
      <c r="K6" s="31">
        <f>SUM(K7:K8)</f>
        <v>1194758.1460200264</v>
      </c>
      <c r="L6" s="32">
        <f t="shared" si="0"/>
        <v>5188521.672253279</v>
      </c>
      <c r="M6" s="50">
        <f t="shared" ref="M6:V6" si="5">SUM(M7:M8)</f>
        <v>35000</v>
      </c>
      <c r="N6" s="50">
        <f t="shared" si="5"/>
        <v>9615.3846153846152</v>
      </c>
      <c r="O6" s="50">
        <f t="shared" ref="O6:Q6" si="6">SUM(O7:O8)</f>
        <v>35000</v>
      </c>
      <c r="P6" s="50">
        <f t="shared" si="6"/>
        <v>0</v>
      </c>
      <c r="Q6" s="50">
        <f t="shared" si="6"/>
        <v>0</v>
      </c>
      <c r="R6" s="50">
        <f t="shared" si="5"/>
        <v>0</v>
      </c>
      <c r="S6" s="50">
        <f t="shared" si="5"/>
        <v>9615.3846153846152</v>
      </c>
      <c r="T6" s="50">
        <f t="shared" si="5"/>
        <v>9615.3846153846152</v>
      </c>
      <c r="U6" s="50">
        <f t="shared" si="5"/>
        <v>3993763.5262332531</v>
      </c>
      <c r="V6" s="50">
        <f t="shared" si="5"/>
        <v>1204373.5306354109</v>
      </c>
      <c r="W6" s="51">
        <f t="shared" si="3"/>
        <v>5198137.056868664</v>
      </c>
      <c r="X6" s="16"/>
      <c r="AC6" s="264"/>
    </row>
    <row r="7" spans="2:29" ht="15" customHeight="1" x14ac:dyDescent="0.25">
      <c r="C7" s="211" t="s">
        <v>153</v>
      </c>
      <c r="D7" s="212" t="s">
        <v>7</v>
      </c>
      <c r="E7" s="213" t="s">
        <v>8</v>
      </c>
      <c r="F7" s="214" t="s">
        <v>239</v>
      </c>
      <c r="G7" s="40">
        <v>0</v>
      </c>
      <c r="H7" s="40">
        <v>0</v>
      </c>
      <c r="I7" s="40">
        <f t="shared" si="4"/>
        <v>0</v>
      </c>
      <c r="J7" s="33">
        <v>3993763.5262332531</v>
      </c>
      <c r="K7" s="33">
        <v>552301.64000797633</v>
      </c>
      <c r="L7" s="34">
        <f t="shared" si="0"/>
        <v>4546065.1662412295</v>
      </c>
      <c r="M7" s="52">
        <f>'Estimativa  R$'!N7</f>
        <v>0</v>
      </c>
      <c r="N7" s="52">
        <v>0</v>
      </c>
      <c r="O7" s="52">
        <f>'Estimativa  R$ Anual'!U7</f>
        <v>0</v>
      </c>
      <c r="P7" s="52">
        <f>'Estimativa  R$ Anual'!AH6</f>
        <v>0</v>
      </c>
      <c r="Q7" s="52">
        <f>'Estimativa  R$ Anual'!AU7</f>
        <v>0</v>
      </c>
      <c r="R7" s="54">
        <v>0</v>
      </c>
      <c r="S7" s="54">
        <v>0</v>
      </c>
      <c r="T7" s="248">
        <f t="shared" ref="T7:T66" si="7">R7+S7</f>
        <v>0</v>
      </c>
      <c r="U7" s="247">
        <f>J7+R7</f>
        <v>3993763.5262332531</v>
      </c>
      <c r="V7" s="247">
        <f>K7+S7</f>
        <v>552301.64000797633</v>
      </c>
      <c r="W7" s="53">
        <f t="shared" si="3"/>
        <v>4546065.1662412295</v>
      </c>
      <c r="X7" s="17">
        <v>1</v>
      </c>
      <c r="AC7" s="264"/>
    </row>
    <row r="8" spans="2:29" ht="15" customHeight="1" x14ac:dyDescent="0.25">
      <c r="C8" s="211" t="s">
        <v>220</v>
      </c>
      <c r="D8" s="212" t="s">
        <v>9</v>
      </c>
      <c r="E8" s="215" t="s">
        <v>10</v>
      </c>
      <c r="F8" s="214" t="s">
        <v>240</v>
      </c>
      <c r="G8" s="40">
        <v>1831242.56</v>
      </c>
      <c r="H8" s="40">
        <v>1284329.48</v>
      </c>
      <c r="I8" s="40">
        <f t="shared" si="4"/>
        <v>546913.08000000007</v>
      </c>
      <c r="J8" s="33">
        <v>0</v>
      </c>
      <c r="K8" s="33">
        <v>642456.50601204997</v>
      </c>
      <c r="L8" s="34">
        <f t="shared" si="0"/>
        <v>642456.50601204997</v>
      </c>
      <c r="M8" s="54">
        <f>'Estimativa  R$ Anual'!AV8</f>
        <v>35000</v>
      </c>
      <c r="N8" s="54">
        <f>M8/$AB$3</f>
        <v>9615.3846153846152</v>
      </c>
      <c r="O8" s="52">
        <f>'Estimativa  R$ Anual'!U8</f>
        <v>35000</v>
      </c>
      <c r="P8" s="52">
        <f>'Estimativa  R$ Anual'!AH7</f>
        <v>0</v>
      </c>
      <c r="Q8" s="52">
        <f>'Estimativa  R$ Anual'!AU8</f>
        <v>0</v>
      </c>
      <c r="R8" s="54">
        <v>0</v>
      </c>
      <c r="S8" s="54">
        <f>N8</f>
        <v>9615.3846153846152</v>
      </c>
      <c r="T8" s="248">
        <f t="shared" si="7"/>
        <v>9615.3846153846152</v>
      </c>
      <c r="U8" s="247">
        <f>J8+R8</f>
        <v>0</v>
      </c>
      <c r="V8" s="247">
        <f>K8+S8</f>
        <v>652071.89062743459</v>
      </c>
      <c r="W8" s="53">
        <f t="shared" si="3"/>
        <v>652071.89062743459</v>
      </c>
      <c r="X8" s="18">
        <v>0.70099999999999996</v>
      </c>
      <c r="Y8" s="7">
        <v>40299</v>
      </c>
      <c r="AC8" s="264"/>
    </row>
    <row r="9" spans="2:29" ht="24.95" customHeight="1" x14ac:dyDescent="0.25">
      <c r="C9" s="226" t="s">
        <v>87</v>
      </c>
      <c r="D9" s="209"/>
      <c r="E9" s="209"/>
      <c r="F9" s="210"/>
      <c r="G9" s="39">
        <f>SUM(G10:G22)</f>
        <v>19207467.940000001</v>
      </c>
      <c r="H9" s="39">
        <f>SUM(H10:H22)</f>
        <v>4264890.1900000004</v>
      </c>
      <c r="I9" s="39">
        <f t="shared" si="4"/>
        <v>14942577.75</v>
      </c>
      <c r="J9" s="31">
        <f>SUM(J10:J22)</f>
        <v>43199999.93999999</v>
      </c>
      <c r="K9" s="31">
        <f>SUM(K10:K22)</f>
        <v>21464503.277029518</v>
      </c>
      <c r="L9" s="32">
        <f t="shared" si="0"/>
        <v>64664503.217029512</v>
      </c>
      <c r="M9" s="50">
        <f t="shared" ref="M9:V9" si="8">SUM(M10:M22)</f>
        <v>18947734.1358</v>
      </c>
      <c r="N9" s="50">
        <f t="shared" si="8"/>
        <v>5205421.4658791209</v>
      </c>
      <c r="O9" s="50">
        <f t="shared" ref="O9:Q9" si="9">SUM(O10:O22)</f>
        <v>1577910.1358</v>
      </c>
      <c r="P9" s="50">
        <f t="shared" si="9"/>
        <v>5290920.8</v>
      </c>
      <c r="Q9" s="50">
        <f t="shared" si="9"/>
        <v>12078903.199999999</v>
      </c>
      <c r="R9" s="50">
        <f t="shared" si="8"/>
        <v>0</v>
      </c>
      <c r="S9" s="50">
        <f t="shared" si="8"/>
        <v>5205421.4658791209</v>
      </c>
      <c r="T9" s="50">
        <f t="shared" si="8"/>
        <v>5205421.4658791209</v>
      </c>
      <c r="U9" s="50">
        <f t="shared" si="8"/>
        <v>43199999.93999999</v>
      </c>
      <c r="V9" s="50">
        <f t="shared" si="8"/>
        <v>26669924.742908634</v>
      </c>
      <c r="W9" s="51">
        <f t="shared" si="3"/>
        <v>69869924.682908624</v>
      </c>
      <c r="X9" s="19"/>
      <c r="AC9" s="264"/>
    </row>
    <row r="10" spans="2:29" ht="15" customHeight="1" x14ac:dyDescent="0.25">
      <c r="C10" s="211" t="s">
        <v>156</v>
      </c>
      <c r="D10" s="212" t="s">
        <v>11</v>
      </c>
      <c r="E10" s="213" t="s">
        <v>12</v>
      </c>
      <c r="F10" s="214" t="s">
        <v>255</v>
      </c>
      <c r="G10" s="40"/>
      <c r="H10" s="40"/>
      <c r="I10" s="40">
        <f>28570.37+671588.05</f>
        <v>700158.42</v>
      </c>
      <c r="J10" s="33">
        <v>43199999.93999999</v>
      </c>
      <c r="K10" s="33">
        <v>17091489.029999997</v>
      </c>
      <c r="L10" s="34">
        <f t="shared" si="0"/>
        <v>60291488.969999984</v>
      </c>
      <c r="M10" s="54">
        <f>'Estimativa  R$ Anual'!AV10</f>
        <v>0</v>
      </c>
      <c r="N10" s="52">
        <f t="shared" ref="N10:N22" si="10">M10/$AB$3</f>
        <v>0</v>
      </c>
      <c r="O10" s="52">
        <f>'Estimativa  R$ Anual'!U10</f>
        <v>0</v>
      </c>
      <c r="P10" s="52">
        <f>'Estimativa  R$ Anual'!AH10</f>
        <v>0</v>
      </c>
      <c r="Q10" s="52">
        <f>'Estimativa  R$ Anual'!AU10</f>
        <v>0</v>
      </c>
      <c r="R10" s="54">
        <v>0</v>
      </c>
      <c r="S10" s="54">
        <f>N10</f>
        <v>0</v>
      </c>
      <c r="T10" s="54">
        <f t="shared" si="7"/>
        <v>0</v>
      </c>
      <c r="U10" s="247">
        <f t="shared" ref="U10:U22" si="11">J10+R10</f>
        <v>43199999.93999999</v>
      </c>
      <c r="V10" s="247">
        <f t="shared" ref="V10:V22" si="12">K10+S10</f>
        <v>17091489.029999997</v>
      </c>
      <c r="W10" s="53">
        <f t="shared" si="3"/>
        <v>60291488.969999984</v>
      </c>
      <c r="X10" s="18">
        <v>0.97</v>
      </c>
      <c r="Y10" s="7">
        <v>39934</v>
      </c>
      <c r="AC10" s="264"/>
    </row>
    <row r="11" spans="2:29" ht="15" customHeight="1" x14ac:dyDescent="0.25">
      <c r="C11" s="211" t="s">
        <v>159</v>
      </c>
      <c r="D11" s="212" t="s">
        <v>13</v>
      </c>
      <c r="E11" s="213" t="s">
        <v>14</v>
      </c>
      <c r="F11" s="214" t="s">
        <v>239</v>
      </c>
      <c r="G11" s="40">
        <v>0</v>
      </c>
      <c r="H11" s="40">
        <v>0</v>
      </c>
      <c r="I11" s="40">
        <f t="shared" ref="I11:I66" si="13">G11-H11</f>
        <v>0</v>
      </c>
      <c r="J11" s="33">
        <v>0</v>
      </c>
      <c r="K11" s="33">
        <v>976791.51191067253</v>
      </c>
      <c r="L11" s="34">
        <f t="shared" si="0"/>
        <v>976791.51191067253</v>
      </c>
      <c r="M11" s="52">
        <f>'Estimativa  R$'!N11</f>
        <v>0</v>
      </c>
      <c r="N11" s="52">
        <f t="shared" si="10"/>
        <v>0</v>
      </c>
      <c r="O11" s="52">
        <f>'Estimativa  R$ Anual'!U11</f>
        <v>0</v>
      </c>
      <c r="P11" s="52">
        <f>'Estimativa  R$ Anual'!AH11</f>
        <v>0</v>
      </c>
      <c r="Q11" s="52">
        <f>'Estimativa  R$ Anual'!AU11</f>
        <v>0</v>
      </c>
      <c r="R11" s="54">
        <v>0</v>
      </c>
      <c r="S11" s="54">
        <v>0</v>
      </c>
      <c r="T11" s="54">
        <f t="shared" si="7"/>
        <v>0</v>
      </c>
      <c r="U11" s="247">
        <f t="shared" si="11"/>
        <v>0</v>
      </c>
      <c r="V11" s="247">
        <f t="shared" si="12"/>
        <v>976791.51191067253</v>
      </c>
      <c r="W11" s="53">
        <f t="shared" si="3"/>
        <v>976791.51191067253</v>
      </c>
      <c r="X11" s="17">
        <v>1</v>
      </c>
      <c r="AC11" s="264"/>
    </row>
    <row r="12" spans="2:29" ht="15" customHeight="1" x14ac:dyDescent="0.25">
      <c r="C12" s="211" t="s">
        <v>161</v>
      </c>
      <c r="D12" s="212" t="s">
        <v>15</v>
      </c>
      <c r="E12" s="213" t="s">
        <v>16</v>
      </c>
      <c r="F12" s="214" t="s">
        <v>239</v>
      </c>
      <c r="G12" s="40">
        <v>0</v>
      </c>
      <c r="H12" s="40">
        <v>0</v>
      </c>
      <c r="I12" s="40">
        <f t="shared" si="13"/>
        <v>0</v>
      </c>
      <c r="J12" s="33">
        <v>0</v>
      </c>
      <c r="K12" s="33">
        <v>303113.99</v>
      </c>
      <c r="L12" s="34">
        <f t="shared" si="0"/>
        <v>303113.99</v>
      </c>
      <c r="M12" s="52">
        <f>'Estimativa  R$'!N12</f>
        <v>0</v>
      </c>
      <c r="N12" s="52">
        <f t="shared" si="10"/>
        <v>0</v>
      </c>
      <c r="O12" s="52">
        <f>'Estimativa  R$ Anual'!U12</f>
        <v>0</v>
      </c>
      <c r="P12" s="52">
        <f>'Estimativa  R$ Anual'!AH12</f>
        <v>0</v>
      </c>
      <c r="Q12" s="52">
        <f>'Estimativa  R$ Anual'!AU12</f>
        <v>0</v>
      </c>
      <c r="R12" s="54">
        <v>0</v>
      </c>
      <c r="S12" s="54">
        <v>0</v>
      </c>
      <c r="T12" s="54">
        <f t="shared" si="7"/>
        <v>0</v>
      </c>
      <c r="U12" s="247">
        <f t="shared" si="11"/>
        <v>0</v>
      </c>
      <c r="V12" s="247">
        <f t="shared" si="12"/>
        <v>303113.99</v>
      </c>
      <c r="W12" s="53">
        <f t="shared" si="3"/>
        <v>303113.99</v>
      </c>
      <c r="X12" s="17">
        <v>1</v>
      </c>
      <c r="AC12" s="264"/>
    </row>
    <row r="13" spans="2:29" ht="15" customHeight="1" x14ac:dyDescent="0.25">
      <c r="C13" s="211" t="s">
        <v>158</v>
      </c>
      <c r="D13" s="212" t="s">
        <v>17</v>
      </c>
      <c r="E13" s="213" t="s">
        <v>18</v>
      </c>
      <c r="F13" s="214" t="s">
        <v>239</v>
      </c>
      <c r="G13" s="40">
        <v>0</v>
      </c>
      <c r="H13" s="40">
        <v>0</v>
      </c>
      <c r="I13" s="40">
        <f t="shared" si="13"/>
        <v>0</v>
      </c>
      <c r="J13" s="33">
        <v>0</v>
      </c>
      <c r="K13" s="33">
        <v>36294</v>
      </c>
      <c r="L13" s="34">
        <f t="shared" si="0"/>
        <v>36294</v>
      </c>
      <c r="M13" s="52">
        <f>'Estimativa  R$'!N13</f>
        <v>0</v>
      </c>
      <c r="N13" s="52">
        <f t="shared" si="10"/>
        <v>0</v>
      </c>
      <c r="O13" s="52">
        <f>'Estimativa  R$ Anual'!U13</f>
        <v>0</v>
      </c>
      <c r="P13" s="52">
        <f>'Estimativa  R$ Anual'!AH13</f>
        <v>0</v>
      </c>
      <c r="Q13" s="52">
        <f>'Estimativa  R$ Anual'!AU13</f>
        <v>0</v>
      </c>
      <c r="R13" s="54">
        <v>0</v>
      </c>
      <c r="S13" s="54">
        <v>0</v>
      </c>
      <c r="T13" s="54">
        <f t="shared" si="7"/>
        <v>0</v>
      </c>
      <c r="U13" s="247">
        <f t="shared" si="11"/>
        <v>0</v>
      </c>
      <c r="V13" s="247">
        <f t="shared" si="12"/>
        <v>36294</v>
      </c>
      <c r="W13" s="53">
        <f t="shared" si="3"/>
        <v>36294</v>
      </c>
      <c r="X13" s="17">
        <v>0.18099999999999999</v>
      </c>
      <c r="AC13" s="264"/>
    </row>
    <row r="14" spans="2:29" ht="15" customHeight="1" x14ac:dyDescent="0.25">
      <c r="C14" s="211" t="s">
        <v>171</v>
      </c>
      <c r="D14" s="212" t="s">
        <v>19</v>
      </c>
      <c r="E14" s="213" t="s">
        <v>20</v>
      </c>
      <c r="F14" s="214" t="s">
        <v>239</v>
      </c>
      <c r="G14" s="40">
        <v>0</v>
      </c>
      <c r="H14" s="40">
        <v>0</v>
      </c>
      <c r="I14" s="40">
        <f t="shared" si="13"/>
        <v>0</v>
      </c>
      <c r="J14" s="33">
        <v>0</v>
      </c>
      <c r="K14" s="33">
        <v>728982.96</v>
      </c>
      <c r="L14" s="34">
        <f t="shared" si="0"/>
        <v>728982.96</v>
      </c>
      <c r="M14" s="52">
        <f>'Estimativa  R$'!N14</f>
        <v>0</v>
      </c>
      <c r="N14" s="52">
        <f t="shared" si="10"/>
        <v>0</v>
      </c>
      <c r="O14" s="52">
        <f>'Estimativa  R$ Anual'!U14</f>
        <v>0</v>
      </c>
      <c r="P14" s="52">
        <f>'Estimativa  R$ Anual'!AH14</f>
        <v>0</v>
      </c>
      <c r="Q14" s="52">
        <f>'Estimativa  R$ Anual'!AU14</f>
        <v>0</v>
      </c>
      <c r="R14" s="54">
        <v>0</v>
      </c>
      <c r="S14" s="54">
        <v>0</v>
      </c>
      <c r="T14" s="54">
        <f t="shared" si="7"/>
        <v>0</v>
      </c>
      <c r="U14" s="247">
        <f t="shared" si="11"/>
        <v>0</v>
      </c>
      <c r="V14" s="247">
        <f t="shared" si="12"/>
        <v>728982.96</v>
      </c>
      <c r="W14" s="53">
        <f t="shared" si="3"/>
        <v>728982.96</v>
      </c>
      <c r="X14" s="17">
        <v>0.61</v>
      </c>
      <c r="AC14" s="264"/>
    </row>
    <row r="15" spans="2:29" ht="15" customHeight="1" x14ac:dyDescent="0.25">
      <c r="C15" s="211" t="s">
        <v>169</v>
      </c>
      <c r="D15" s="212" t="s">
        <v>99</v>
      </c>
      <c r="E15" s="213" t="s">
        <v>21</v>
      </c>
      <c r="F15" s="214" t="s">
        <v>239</v>
      </c>
      <c r="G15" s="40">
        <v>0</v>
      </c>
      <c r="H15" s="40">
        <v>0</v>
      </c>
      <c r="I15" s="40">
        <f t="shared" si="13"/>
        <v>0</v>
      </c>
      <c r="J15" s="33">
        <v>0</v>
      </c>
      <c r="K15" s="33">
        <v>334398.42999999993</v>
      </c>
      <c r="L15" s="34">
        <f t="shared" si="0"/>
        <v>334398.42999999993</v>
      </c>
      <c r="M15" s="52">
        <f>'Estimativa  R$'!N15</f>
        <v>0</v>
      </c>
      <c r="N15" s="52">
        <f t="shared" si="10"/>
        <v>0</v>
      </c>
      <c r="O15" s="52">
        <f>'Estimativa  R$ Anual'!U15</f>
        <v>0</v>
      </c>
      <c r="P15" s="52">
        <f>'Estimativa  R$ Anual'!AH15</f>
        <v>0</v>
      </c>
      <c r="Q15" s="52">
        <f>'Estimativa  R$ Anual'!AU15</f>
        <v>0</v>
      </c>
      <c r="R15" s="54">
        <v>0</v>
      </c>
      <c r="S15" s="54">
        <v>0</v>
      </c>
      <c r="T15" s="54">
        <f t="shared" si="7"/>
        <v>0</v>
      </c>
      <c r="U15" s="247">
        <f t="shared" si="11"/>
        <v>0</v>
      </c>
      <c r="V15" s="247">
        <f t="shared" si="12"/>
        <v>334398.42999999993</v>
      </c>
      <c r="W15" s="53">
        <f t="shared" si="3"/>
        <v>334398.42999999993</v>
      </c>
      <c r="X15" s="17">
        <v>0.38400000000000001</v>
      </c>
      <c r="AC15" s="264"/>
    </row>
    <row r="16" spans="2:29" ht="15" customHeight="1" x14ac:dyDescent="0.25">
      <c r="C16" s="211" t="s">
        <v>164</v>
      </c>
      <c r="D16" s="212" t="s">
        <v>22</v>
      </c>
      <c r="E16" s="213" t="s">
        <v>23</v>
      </c>
      <c r="F16" s="214" t="s">
        <v>272</v>
      </c>
      <c r="G16" s="40">
        <v>449997.07</v>
      </c>
      <c r="H16" s="40">
        <v>0</v>
      </c>
      <c r="I16" s="40">
        <f t="shared" si="13"/>
        <v>449997.07</v>
      </c>
      <c r="J16" s="33">
        <v>0</v>
      </c>
      <c r="K16" s="33">
        <v>0</v>
      </c>
      <c r="L16" s="34">
        <f t="shared" si="0"/>
        <v>0</v>
      </c>
      <c r="M16" s="54">
        <f>'Estimativa  R$'!N16</f>
        <v>0</v>
      </c>
      <c r="N16" s="54">
        <f t="shared" si="10"/>
        <v>0</v>
      </c>
      <c r="O16" s="52">
        <f>'Estimativa  R$ Anual'!U16</f>
        <v>0</v>
      </c>
      <c r="P16" s="52">
        <f>'Estimativa  R$ Anual'!AH16</f>
        <v>0</v>
      </c>
      <c r="Q16" s="52">
        <f>'Estimativa  R$ Anual'!AU16</f>
        <v>0</v>
      </c>
      <c r="R16" s="54">
        <v>0</v>
      </c>
      <c r="S16" s="54">
        <f>N16</f>
        <v>0</v>
      </c>
      <c r="T16" s="54">
        <f t="shared" si="7"/>
        <v>0</v>
      </c>
      <c r="U16" s="247">
        <f t="shared" si="11"/>
        <v>0</v>
      </c>
      <c r="V16" s="247">
        <f t="shared" si="12"/>
        <v>0</v>
      </c>
      <c r="W16" s="53">
        <f t="shared" si="3"/>
        <v>0</v>
      </c>
      <c r="X16" s="20" t="s">
        <v>108</v>
      </c>
      <c r="Y16" s="7">
        <v>40603</v>
      </c>
      <c r="AC16" s="264"/>
    </row>
    <row r="17" spans="3:29" ht="15" customHeight="1" x14ac:dyDescent="0.25">
      <c r="C17" s="211" t="s">
        <v>165</v>
      </c>
      <c r="D17" s="212" t="s">
        <v>24</v>
      </c>
      <c r="E17" s="213" t="s">
        <v>25</v>
      </c>
      <c r="F17" s="214" t="s">
        <v>241</v>
      </c>
      <c r="G17" s="40">
        <v>1949816.57</v>
      </c>
      <c r="H17" s="40">
        <v>787342.7</v>
      </c>
      <c r="I17" s="40">
        <f t="shared" si="13"/>
        <v>1162473.8700000001</v>
      </c>
      <c r="J17" s="33">
        <v>0</v>
      </c>
      <c r="K17" s="33">
        <v>377482.55341469892</v>
      </c>
      <c r="L17" s="34">
        <f t="shared" si="0"/>
        <v>377482.55341469892</v>
      </c>
      <c r="M17" s="54">
        <f>'Estimativa  R$ Anual'!AV17</f>
        <v>1599863.07</v>
      </c>
      <c r="N17" s="54">
        <f t="shared" si="10"/>
        <v>439522.82142857142</v>
      </c>
      <c r="O17" s="52">
        <f>'Estimativa  R$ Anual'!U17</f>
        <v>122863.07</v>
      </c>
      <c r="P17" s="52">
        <f>'Estimativa  R$ Anual'!AH17</f>
        <v>717000</v>
      </c>
      <c r="Q17" s="52">
        <f>'Estimativa  R$ Anual'!AU17</f>
        <v>760000</v>
      </c>
      <c r="R17" s="54">
        <v>0</v>
      </c>
      <c r="S17" s="54">
        <f>N17</f>
        <v>439522.82142857142</v>
      </c>
      <c r="T17" s="54">
        <f t="shared" si="7"/>
        <v>439522.82142857142</v>
      </c>
      <c r="U17" s="247">
        <f t="shared" si="11"/>
        <v>0</v>
      </c>
      <c r="V17" s="247">
        <f t="shared" si="12"/>
        <v>817005.37484327029</v>
      </c>
      <c r="W17" s="53">
        <f t="shared" si="3"/>
        <v>817005.37484327029</v>
      </c>
      <c r="X17" s="20">
        <v>0.40400000000000003</v>
      </c>
      <c r="Y17" s="7">
        <v>40299</v>
      </c>
      <c r="AC17" s="264"/>
    </row>
    <row r="18" spans="3:29" ht="15" customHeight="1" x14ac:dyDescent="0.25">
      <c r="C18" s="211" t="s">
        <v>162</v>
      </c>
      <c r="D18" s="212" t="s">
        <v>26</v>
      </c>
      <c r="E18" s="213" t="s">
        <v>27</v>
      </c>
      <c r="F18" s="214" t="s">
        <v>240</v>
      </c>
      <c r="G18" s="40">
        <v>2174720</v>
      </c>
      <c r="H18" s="40">
        <v>1841979</v>
      </c>
      <c r="I18" s="40">
        <f t="shared" si="13"/>
        <v>332741</v>
      </c>
      <c r="J18" s="33">
        <v>0</v>
      </c>
      <c r="K18" s="33">
        <v>898304.54444360128</v>
      </c>
      <c r="L18" s="34">
        <f t="shared" si="0"/>
        <v>898304.54444360128</v>
      </c>
      <c r="M18" s="54">
        <f>'Estimativa  R$ Anual'!AV18</f>
        <v>433827.71580000001</v>
      </c>
      <c r="N18" s="54">
        <f t="shared" si="10"/>
        <v>119183.4384065934</v>
      </c>
      <c r="O18" s="52">
        <f>'Estimativa  R$ Anual'!U18</f>
        <v>433827.71580000001</v>
      </c>
      <c r="P18" s="52">
        <f>'Estimativa  R$ Anual'!AH18</f>
        <v>0</v>
      </c>
      <c r="Q18" s="52">
        <f>'Estimativa  R$ Anual'!AU18</f>
        <v>0</v>
      </c>
      <c r="R18" s="54">
        <v>0</v>
      </c>
      <c r="S18" s="54">
        <f t="shared" ref="S18:S22" si="14">N18</f>
        <v>119183.4384065934</v>
      </c>
      <c r="T18" s="54">
        <f t="shared" si="7"/>
        <v>119183.4384065934</v>
      </c>
      <c r="U18" s="247">
        <f t="shared" si="11"/>
        <v>0</v>
      </c>
      <c r="V18" s="247">
        <f t="shared" si="12"/>
        <v>1017487.9828501947</v>
      </c>
      <c r="W18" s="53">
        <f t="shared" si="3"/>
        <v>1017487.9828501947</v>
      </c>
      <c r="X18" s="20">
        <v>0.84699999999999998</v>
      </c>
      <c r="Y18" s="7">
        <v>40299</v>
      </c>
      <c r="AC18" s="264"/>
    </row>
    <row r="19" spans="3:29" ht="15" customHeight="1" x14ac:dyDescent="0.25">
      <c r="C19" s="211" t="s">
        <v>166</v>
      </c>
      <c r="D19" s="212" t="s">
        <v>17</v>
      </c>
      <c r="E19" s="213" t="s">
        <v>28</v>
      </c>
      <c r="F19" s="214" t="s">
        <v>255</v>
      </c>
      <c r="G19" s="40">
        <v>1050000</v>
      </c>
      <c r="H19" s="40">
        <v>333859.09999999998</v>
      </c>
      <c r="I19" s="40">
        <f t="shared" si="13"/>
        <v>716140.9</v>
      </c>
      <c r="J19" s="33">
        <v>0</v>
      </c>
      <c r="K19" s="33">
        <v>161721.65500000003</v>
      </c>
      <c r="L19" s="34">
        <f t="shared" si="0"/>
        <v>161721.65500000003</v>
      </c>
      <c r="M19" s="54">
        <f>'Estimativa  R$ Anual'!AV19</f>
        <v>823562</v>
      </c>
      <c r="N19" s="54">
        <f t="shared" si="10"/>
        <v>226253.29670329668</v>
      </c>
      <c r="O19" s="52">
        <f>'Estimativa  R$ Anual'!U19</f>
        <v>823562</v>
      </c>
      <c r="P19" s="52">
        <f>'Estimativa  R$ Anual'!AH19</f>
        <v>0</v>
      </c>
      <c r="Q19" s="52">
        <f>'Estimativa  R$ Anual'!AU19</f>
        <v>0</v>
      </c>
      <c r="R19" s="54">
        <v>0</v>
      </c>
      <c r="S19" s="54">
        <f t="shared" si="14"/>
        <v>226253.29670329668</v>
      </c>
      <c r="T19" s="54">
        <f t="shared" si="7"/>
        <v>226253.29670329668</v>
      </c>
      <c r="U19" s="247">
        <f t="shared" si="11"/>
        <v>0</v>
      </c>
      <c r="V19" s="247">
        <f t="shared" si="12"/>
        <v>387974.95170329674</v>
      </c>
      <c r="W19" s="53">
        <f t="shared" si="3"/>
        <v>387974.95170329674</v>
      </c>
      <c r="X19" s="20">
        <v>0.318</v>
      </c>
      <c r="Y19" s="7">
        <v>40725</v>
      </c>
      <c r="AC19" s="264"/>
    </row>
    <row r="20" spans="3:29" ht="15" customHeight="1" x14ac:dyDescent="0.25">
      <c r="C20" s="211" t="s">
        <v>167</v>
      </c>
      <c r="D20" s="212" t="s">
        <v>29</v>
      </c>
      <c r="E20" s="213" t="s">
        <v>30</v>
      </c>
      <c r="F20" s="214" t="s">
        <v>240</v>
      </c>
      <c r="G20" s="40">
        <v>1892508.02</v>
      </c>
      <c r="H20" s="40">
        <v>516201.44</v>
      </c>
      <c r="I20" s="40">
        <f t="shared" si="13"/>
        <v>1376306.58</v>
      </c>
      <c r="J20" s="33">
        <v>0</v>
      </c>
      <c r="K20" s="33">
        <v>234387.67</v>
      </c>
      <c r="L20" s="34">
        <f t="shared" si="0"/>
        <v>234387.67</v>
      </c>
      <c r="M20" s="55">
        <f>'Estimativa  R$ Anual'!AV20</f>
        <v>1795229.44</v>
      </c>
      <c r="N20" s="55">
        <f t="shared" si="10"/>
        <v>493194.90109890106</v>
      </c>
      <c r="O20" s="52">
        <f>'Estimativa  R$ Anual'!U20</f>
        <v>106606.24</v>
      </c>
      <c r="P20" s="52">
        <f>'Estimativa  R$ Anual'!AH20</f>
        <v>819720</v>
      </c>
      <c r="Q20" s="52">
        <f>'Estimativa  R$ Anual'!AU20</f>
        <v>868903.19999999984</v>
      </c>
      <c r="R20" s="54">
        <v>0</v>
      </c>
      <c r="S20" s="54">
        <f t="shared" si="14"/>
        <v>493194.90109890106</v>
      </c>
      <c r="T20" s="54">
        <f t="shared" si="7"/>
        <v>493194.90109890106</v>
      </c>
      <c r="U20" s="247">
        <f t="shared" si="11"/>
        <v>0</v>
      </c>
      <c r="V20" s="247">
        <f t="shared" si="12"/>
        <v>727582.5710989011</v>
      </c>
      <c r="W20" s="53">
        <f t="shared" si="3"/>
        <v>727582.5710989011</v>
      </c>
      <c r="X20" s="20">
        <v>0.27300000000000002</v>
      </c>
      <c r="Y20" s="7">
        <v>40299</v>
      </c>
      <c r="AC20" s="264"/>
    </row>
    <row r="21" spans="3:29" ht="15" customHeight="1" x14ac:dyDescent="0.25">
      <c r="C21" s="216" t="s">
        <v>172</v>
      </c>
      <c r="D21" s="212" t="s">
        <v>24</v>
      </c>
      <c r="E21" s="213" t="s">
        <v>31</v>
      </c>
      <c r="F21" s="217" t="s">
        <v>240</v>
      </c>
      <c r="G21" s="40">
        <v>2155705.98</v>
      </c>
      <c r="H21" s="40">
        <f>596568.37-15237.89</f>
        <v>581330.48</v>
      </c>
      <c r="I21" s="40">
        <f t="shared" si="13"/>
        <v>1574375.5</v>
      </c>
      <c r="J21" s="33">
        <v>0</v>
      </c>
      <c r="K21" s="33">
        <v>238496.09226054657</v>
      </c>
      <c r="L21" s="34">
        <f t="shared" si="0"/>
        <v>238496.09226054657</v>
      </c>
      <c r="M21" s="55">
        <f>'Estimativa  R$ Anual'!AV21</f>
        <v>1841201.07</v>
      </c>
      <c r="N21" s="55">
        <f t="shared" si="10"/>
        <v>505824.46978021978</v>
      </c>
      <c r="O21" s="52">
        <f>'Estimativa  R$ Anual'!U21</f>
        <v>87000.27</v>
      </c>
      <c r="P21" s="52">
        <f>'Estimativa  R$ Anual'!AH21</f>
        <v>1754200.8</v>
      </c>
      <c r="Q21" s="52">
        <f>'Estimativa  R$ Anual'!AU21</f>
        <v>0</v>
      </c>
      <c r="R21" s="54">
        <v>0</v>
      </c>
      <c r="S21" s="54">
        <f t="shared" si="14"/>
        <v>505824.46978021978</v>
      </c>
      <c r="T21" s="54">
        <f t="shared" si="7"/>
        <v>505824.46978021978</v>
      </c>
      <c r="U21" s="247">
        <f t="shared" si="11"/>
        <v>0</v>
      </c>
      <c r="V21" s="247">
        <f t="shared" si="12"/>
        <v>744320.56204076635</v>
      </c>
      <c r="W21" s="53">
        <f t="shared" si="3"/>
        <v>744320.56204076635</v>
      </c>
      <c r="X21" s="20">
        <v>0.27</v>
      </c>
      <c r="Y21" s="7">
        <v>41030</v>
      </c>
      <c r="AC21" s="264"/>
    </row>
    <row r="22" spans="3:29" ht="15" customHeight="1" x14ac:dyDescent="0.25">
      <c r="C22" s="218" t="s">
        <v>173</v>
      </c>
      <c r="D22" s="212" t="s">
        <v>32</v>
      </c>
      <c r="E22" s="213" t="s">
        <v>33</v>
      </c>
      <c r="F22" s="219" t="s">
        <v>240</v>
      </c>
      <c r="G22" s="40">
        <v>9534720.3000000007</v>
      </c>
      <c r="H22" s="40">
        <v>204177.47</v>
      </c>
      <c r="I22" s="40">
        <f t="shared" si="13"/>
        <v>9330542.8300000001</v>
      </c>
      <c r="J22" s="33">
        <v>0</v>
      </c>
      <c r="K22" s="33">
        <v>83040.84</v>
      </c>
      <c r="L22" s="34">
        <f t="shared" si="0"/>
        <v>83040.84</v>
      </c>
      <c r="M22" s="55">
        <f>'Estimativa  R$ Anual'!AV22</f>
        <v>12454050.84</v>
      </c>
      <c r="N22" s="55">
        <f t="shared" si="10"/>
        <v>3421442.5384615385</v>
      </c>
      <c r="O22" s="52">
        <f>'Estimativa  R$ Anual'!U22</f>
        <v>4050.84</v>
      </c>
      <c r="P22" s="52">
        <f>'Estimativa  R$ Anual'!AH22</f>
        <v>2000000.0000000002</v>
      </c>
      <c r="Q22" s="52">
        <f>'Estimativa  R$ Anual'!AU22</f>
        <v>10450000</v>
      </c>
      <c r="R22" s="54">
        <v>0</v>
      </c>
      <c r="S22" s="54">
        <f t="shared" si="14"/>
        <v>3421442.5384615385</v>
      </c>
      <c r="T22" s="54">
        <f t="shared" si="7"/>
        <v>3421442.5384615385</v>
      </c>
      <c r="U22" s="247">
        <f t="shared" si="11"/>
        <v>0</v>
      </c>
      <c r="V22" s="247">
        <f t="shared" si="12"/>
        <v>3504483.3784615383</v>
      </c>
      <c r="W22" s="53">
        <f t="shared" si="3"/>
        <v>3504483.3784615383</v>
      </c>
      <c r="X22" s="20">
        <v>2.1000000000000001E-2</v>
      </c>
      <c r="Y22" s="7">
        <v>41395</v>
      </c>
      <c r="AC22" s="266"/>
    </row>
    <row r="23" spans="3:29" ht="24.95" customHeight="1" x14ac:dyDescent="0.25">
      <c r="C23" s="205" t="s">
        <v>88</v>
      </c>
      <c r="D23" s="206"/>
      <c r="E23" s="206"/>
      <c r="F23" s="207"/>
      <c r="G23" s="38">
        <f>G24+G48</f>
        <v>1360020564.3599999</v>
      </c>
      <c r="H23" s="38">
        <f>H24+H48</f>
        <v>985687196.34000015</v>
      </c>
      <c r="I23" s="38">
        <f t="shared" si="13"/>
        <v>374333368.01999974</v>
      </c>
      <c r="J23" s="29">
        <f t="shared" ref="J23:V23" si="15">J24+J48</f>
        <v>369966714.91931874</v>
      </c>
      <c r="K23" s="29">
        <f t="shared" si="15"/>
        <v>191270555.52781811</v>
      </c>
      <c r="L23" s="30">
        <f t="shared" si="15"/>
        <v>561237270.44713688</v>
      </c>
      <c r="M23" s="48">
        <f t="shared" si="15"/>
        <v>283960693.59788674</v>
      </c>
      <c r="N23" s="48">
        <f t="shared" si="15"/>
        <v>78011179.559859008</v>
      </c>
      <c r="O23" s="48">
        <f t="shared" ref="O23:Q23" si="16">O24+O48</f>
        <v>112479880.86123842</v>
      </c>
      <c r="P23" s="48">
        <f t="shared" si="16"/>
        <v>116885952.84271304</v>
      </c>
      <c r="Q23" s="48">
        <f t="shared" si="16"/>
        <v>54594859.893935315</v>
      </c>
      <c r="R23" s="48">
        <f t="shared" si="15"/>
        <v>59045172.032822393</v>
      </c>
      <c r="S23" s="48">
        <f>S24+S48</f>
        <v>18966007.527036607</v>
      </c>
      <c r="T23" s="48">
        <f t="shared" si="15"/>
        <v>78011179.559859008</v>
      </c>
      <c r="U23" s="48">
        <f t="shared" si="15"/>
        <v>429011886.95214117</v>
      </c>
      <c r="V23" s="48">
        <f t="shared" si="15"/>
        <v>210236563.05485469</v>
      </c>
      <c r="W23" s="49">
        <f>U23+V23</f>
        <v>639248450.00699592</v>
      </c>
      <c r="X23" s="21"/>
      <c r="AA23" s="250"/>
      <c r="AC23" s="266"/>
    </row>
    <row r="24" spans="3:29" ht="24.95" customHeight="1" x14ac:dyDescent="0.25">
      <c r="C24" s="208" t="s">
        <v>89</v>
      </c>
      <c r="D24" s="209"/>
      <c r="E24" s="209"/>
      <c r="F24" s="210"/>
      <c r="G24" s="39">
        <f>G25+G35+G43+G47</f>
        <v>1340200564.3599999</v>
      </c>
      <c r="H24" s="39">
        <f>H25+H35+H43+H47</f>
        <v>985273667.26000011</v>
      </c>
      <c r="I24" s="39">
        <f>G24-H24</f>
        <v>354926897.09999979</v>
      </c>
      <c r="J24" s="31">
        <f>J25+J35+J43+J47</f>
        <v>369966714.91931874</v>
      </c>
      <c r="K24" s="31">
        <f>K25+K35+K43+K47</f>
        <v>185707387.81288809</v>
      </c>
      <c r="L24" s="32">
        <f>J24+K24</f>
        <v>555674102.73220682</v>
      </c>
      <c r="M24" s="50">
        <f t="shared" ref="M24:V24" si="17">M25+M35+M43+M47</f>
        <v>263961984.82250312</v>
      </c>
      <c r="N24" s="50">
        <f t="shared" si="17"/>
        <v>72517028.797390968</v>
      </c>
      <c r="O24" s="50">
        <f t="shared" ref="O24:Q24" si="18">O25+O35+O43+O47</f>
        <v>106220305.28384712</v>
      </c>
      <c r="P24" s="50">
        <f t="shared" si="18"/>
        <v>106373099.86</v>
      </c>
      <c r="Q24" s="50">
        <f t="shared" si="18"/>
        <v>51368579.678656012</v>
      </c>
      <c r="R24" s="50">
        <f t="shared" si="17"/>
        <v>59045172.032822393</v>
      </c>
      <c r="S24" s="50">
        <f t="shared" si="17"/>
        <v>13471856.764568575</v>
      </c>
      <c r="T24" s="50">
        <f t="shared" si="17"/>
        <v>72517028.797390968</v>
      </c>
      <c r="U24" s="50">
        <f t="shared" si="17"/>
        <v>429011886.95214117</v>
      </c>
      <c r="V24" s="50">
        <f t="shared" si="17"/>
        <v>199179244.57745665</v>
      </c>
      <c r="W24" s="51">
        <f>U24+V24</f>
        <v>628191131.52959776</v>
      </c>
      <c r="X24" s="19"/>
      <c r="AC24" s="266"/>
    </row>
    <row r="25" spans="3:29" ht="24.95" customHeight="1" x14ac:dyDescent="0.25">
      <c r="C25" s="251" t="s">
        <v>34</v>
      </c>
      <c r="D25" s="222"/>
      <c r="E25" s="222"/>
      <c r="F25" s="223"/>
      <c r="G25" s="41">
        <f>SUM(G26:G34)</f>
        <v>890318081.97000003</v>
      </c>
      <c r="H25" s="41">
        <f>SUM(H26:H34)</f>
        <v>621688757.91000009</v>
      </c>
      <c r="I25" s="41">
        <f t="shared" si="13"/>
        <v>268629324.05999994</v>
      </c>
      <c r="J25" s="35">
        <f>SUM(J26:J34)</f>
        <v>226740958.35591298</v>
      </c>
      <c r="K25" s="35">
        <f>SUM(K26:K34)</f>
        <v>98644225.122479871</v>
      </c>
      <c r="L25" s="36">
        <f t="shared" si="0"/>
        <v>325385183.47839284</v>
      </c>
      <c r="M25" s="56">
        <f t="shared" ref="M25:V25" si="19">SUM(M26:M34)</f>
        <v>172880074.71250314</v>
      </c>
      <c r="N25" s="56">
        <f t="shared" si="19"/>
        <v>47494526.019918449</v>
      </c>
      <c r="O25" s="56">
        <f t="shared" ref="O25:Q25" si="20">SUM(O26:O34)</f>
        <v>46104155.033847138</v>
      </c>
      <c r="P25" s="56">
        <f t="shared" si="20"/>
        <v>75407340</v>
      </c>
      <c r="Q25" s="56">
        <f t="shared" si="20"/>
        <v>51368579.678656012</v>
      </c>
      <c r="R25" s="56">
        <f t="shared" si="19"/>
        <v>38579795.339690529</v>
      </c>
      <c r="S25" s="56">
        <f t="shared" si="19"/>
        <v>8914730.6802279167</v>
      </c>
      <c r="T25" s="56">
        <f t="shared" si="19"/>
        <v>47494526.019918449</v>
      </c>
      <c r="U25" s="56">
        <f t="shared" si="19"/>
        <v>265320753.69560352</v>
      </c>
      <c r="V25" s="56">
        <f t="shared" si="19"/>
        <v>107558955.80270778</v>
      </c>
      <c r="W25" s="57">
        <f t="shared" si="3"/>
        <v>372879709.49831128</v>
      </c>
      <c r="X25" s="19"/>
      <c r="AC25" s="267"/>
    </row>
    <row r="26" spans="3:29" ht="15" customHeight="1" x14ac:dyDescent="0.25">
      <c r="C26" s="211" t="s">
        <v>221</v>
      </c>
      <c r="D26" s="212" t="s">
        <v>35</v>
      </c>
      <c r="E26" s="213" t="s">
        <v>36</v>
      </c>
      <c r="F26" s="214" t="s">
        <v>242</v>
      </c>
      <c r="G26" s="40">
        <v>0</v>
      </c>
      <c r="H26" s="40">
        <v>0</v>
      </c>
      <c r="I26" s="40">
        <f t="shared" si="13"/>
        <v>0</v>
      </c>
      <c r="J26" s="33">
        <v>2069715.3226258601</v>
      </c>
      <c r="K26" s="33">
        <v>1054692.256948448</v>
      </c>
      <c r="L26" s="34">
        <f t="shared" si="0"/>
        <v>3124407.5795743084</v>
      </c>
      <c r="M26" s="58"/>
      <c r="N26" s="58">
        <f t="shared" ref="N26:N34" si="21">M26/$AB$3</f>
        <v>0</v>
      </c>
      <c r="O26" s="58">
        <f>'Estimativa  R$ Anual'!U26</f>
        <v>0</v>
      </c>
      <c r="P26" s="58">
        <f>'Estimativa  R$ Anual'!AH26</f>
        <v>0</v>
      </c>
      <c r="Q26" s="58">
        <f>'Estimativa  R$ Anual'!AU26</f>
        <v>0</v>
      </c>
      <c r="R26" s="54">
        <v>0</v>
      </c>
      <c r="S26" s="54">
        <v>0</v>
      </c>
      <c r="T26" s="54">
        <f t="shared" si="7"/>
        <v>0</v>
      </c>
      <c r="U26" s="247">
        <f t="shared" ref="U26:U34" si="22">J26+R26</f>
        <v>2069715.3226258601</v>
      </c>
      <c r="V26" s="247">
        <f t="shared" ref="V26:V34" si="23">K26+S26</f>
        <v>1054692.256948448</v>
      </c>
      <c r="W26" s="53">
        <f t="shared" si="3"/>
        <v>3124407.5795743084</v>
      </c>
      <c r="X26" s="18">
        <v>8.3000000000000004E-2</v>
      </c>
      <c r="AC26" s="264"/>
    </row>
    <row r="27" spans="3:29" ht="15" customHeight="1" x14ac:dyDescent="0.25">
      <c r="C27" s="211" t="s">
        <v>222</v>
      </c>
      <c r="D27" s="212" t="s">
        <v>35</v>
      </c>
      <c r="E27" s="213" t="s">
        <v>37</v>
      </c>
      <c r="F27" s="214" t="s">
        <v>243</v>
      </c>
      <c r="G27" s="40">
        <v>0</v>
      </c>
      <c r="H27" s="40">
        <v>0</v>
      </c>
      <c r="I27" s="40">
        <f t="shared" si="13"/>
        <v>0</v>
      </c>
      <c r="J27" s="33">
        <v>720434.24088215432</v>
      </c>
      <c r="K27" s="33">
        <v>226043.19561662519</v>
      </c>
      <c r="L27" s="34">
        <f t="shared" si="0"/>
        <v>946477.43649877957</v>
      </c>
      <c r="M27" s="58"/>
      <c r="N27" s="58">
        <f t="shared" si="21"/>
        <v>0</v>
      </c>
      <c r="O27" s="58">
        <f>'Estimativa  R$ Anual'!U27</f>
        <v>0</v>
      </c>
      <c r="P27" s="58">
        <f>'Estimativa  R$ Anual'!AH27</f>
        <v>0</v>
      </c>
      <c r="Q27" s="58">
        <f>'Estimativa  R$ Anual'!AU27</f>
        <v>0</v>
      </c>
      <c r="R27" s="54">
        <v>0</v>
      </c>
      <c r="S27" s="54">
        <v>0</v>
      </c>
      <c r="T27" s="54">
        <f t="shared" si="7"/>
        <v>0</v>
      </c>
      <c r="U27" s="247">
        <f t="shared" si="22"/>
        <v>720434.24088215432</v>
      </c>
      <c r="V27" s="247">
        <f t="shared" si="23"/>
        <v>226043.19561662519</v>
      </c>
      <c r="W27" s="53">
        <f t="shared" si="3"/>
        <v>946477.43649877957</v>
      </c>
      <c r="X27" s="18">
        <v>4.7E-2</v>
      </c>
      <c r="AC27" s="264"/>
    </row>
    <row r="28" spans="3:29" ht="15" customHeight="1" x14ac:dyDescent="0.25">
      <c r="C28" s="211" t="s">
        <v>223</v>
      </c>
      <c r="D28" s="212" t="s">
        <v>38</v>
      </c>
      <c r="E28" s="213" t="s">
        <v>39</v>
      </c>
      <c r="F28" s="214" t="s">
        <v>239</v>
      </c>
      <c r="G28" s="40">
        <v>0</v>
      </c>
      <c r="H28" s="40">
        <v>0</v>
      </c>
      <c r="I28" s="40">
        <f t="shared" si="13"/>
        <v>0</v>
      </c>
      <c r="J28" s="33">
        <v>0</v>
      </c>
      <c r="K28" s="33">
        <v>16062439.806968899</v>
      </c>
      <c r="L28" s="34">
        <f t="shared" si="0"/>
        <v>16062439.806968899</v>
      </c>
      <c r="M28" s="249">
        <f>'Estimativa  R$'!N28</f>
        <v>0</v>
      </c>
      <c r="N28" s="249">
        <f t="shared" si="21"/>
        <v>0</v>
      </c>
      <c r="O28" s="58">
        <f>'Estimativa  R$ Anual'!U28</f>
        <v>0</v>
      </c>
      <c r="P28" s="58">
        <f>'Estimativa  R$ Anual'!AH28</f>
        <v>0</v>
      </c>
      <c r="Q28" s="58">
        <f>'Estimativa  R$ Anual'!AU28</f>
        <v>0</v>
      </c>
      <c r="R28" s="54">
        <v>0</v>
      </c>
      <c r="S28" s="54">
        <v>0</v>
      </c>
      <c r="T28" s="54">
        <f t="shared" si="7"/>
        <v>0</v>
      </c>
      <c r="U28" s="247">
        <f t="shared" si="22"/>
        <v>0</v>
      </c>
      <c r="V28" s="247">
        <f t="shared" si="23"/>
        <v>16062439.806968899</v>
      </c>
      <c r="W28" s="53">
        <f t="shared" si="3"/>
        <v>16062439.806968899</v>
      </c>
      <c r="X28" s="18">
        <v>0.91400000000000003</v>
      </c>
      <c r="AC28" s="264"/>
    </row>
    <row r="29" spans="3:29" ht="15" customHeight="1" x14ac:dyDescent="0.25">
      <c r="C29" s="211" t="s">
        <v>224</v>
      </c>
      <c r="D29" s="212" t="s">
        <v>40</v>
      </c>
      <c r="E29" s="213" t="s">
        <v>41</v>
      </c>
      <c r="F29" s="214" t="s">
        <v>240</v>
      </c>
      <c r="G29" s="40">
        <v>163460446.02000001</v>
      </c>
      <c r="H29" s="40">
        <v>125973060.45</v>
      </c>
      <c r="I29" s="40">
        <f t="shared" si="13"/>
        <v>37487385.570000008</v>
      </c>
      <c r="J29" s="33">
        <v>48806588.46834287</v>
      </c>
      <c r="K29" s="33">
        <v>16187243.346399087</v>
      </c>
      <c r="L29" s="34">
        <f t="shared" si="0"/>
        <v>64993831.814741954</v>
      </c>
      <c r="M29" s="55">
        <v>6950000</v>
      </c>
      <c r="N29" s="55">
        <f>M29/$AB$3</f>
        <v>1909340.6593406594</v>
      </c>
      <c r="O29" s="58">
        <f>'Estimativa  R$ Anual'!U29</f>
        <v>6950000</v>
      </c>
      <c r="P29" s="58">
        <f>'Estimativa  R$ Anual'!AH29</f>
        <v>0</v>
      </c>
      <c r="Q29" s="58">
        <f>'Estimativa  R$ Anual'!AU29</f>
        <v>0</v>
      </c>
      <c r="R29" s="54">
        <f>(6950000/AB3)*0.55</f>
        <v>1050137.3626373627</v>
      </c>
      <c r="S29" s="54">
        <f>(6950000/AB3)*0.45</f>
        <v>859203.29670329671</v>
      </c>
      <c r="T29" s="54">
        <f t="shared" si="7"/>
        <v>1909340.6593406594</v>
      </c>
      <c r="U29" s="247">
        <f t="shared" si="22"/>
        <v>49856725.830980234</v>
      </c>
      <c r="V29" s="247">
        <f t="shared" si="23"/>
        <v>17046446.643102385</v>
      </c>
      <c r="W29" s="53">
        <f t="shared" si="3"/>
        <v>66903172.474082619</v>
      </c>
      <c r="X29" s="18">
        <v>0.63500000000000001</v>
      </c>
      <c r="Y29" s="7">
        <v>40238</v>
      </c>
      <c r="AC29" s="264"/>
    </row>
    <row r="30" spans="3:29" ht="15" customHeight="1" x14ac:dyDescent="0.25">
      <c r="C30" s="211" t="s">
        <v>225</v>
      </c>
      <c r="D30" s="212" t="s">
        <v>42</v>
      </c>
      <c r="E30" s="213" t="s">
        <v>43</v>
      </c>
      <c r="F30" s="214" t="s">
        <v>240</v>
      </c>
      <c r="G30" s="40">
        <v>185042993.09</v>
      </c>
      <c r="H30" s="40">
        <v>164060999.06</v>
      </c>
      <c r="I30" s="40">
        <f t="shared" si="13"/>
        <v>20981994.030000001</v>
      </c>
      <c r="J30" s="33">
        <v>64297783.112780713</v>
      </c>
      <c r="K30" s="33">
        <v>22225613.753957849</v>
      </c>
      <c r="L30" s="34">
        <f t="shared" si="0"/>
        <v>86523396.866738558</v>
      </c>
      <c r="M30" s="55">
        <f>'Estimativa  R$ Anual'!AV30</f>
        <v>11468248.48</v>
      </c>
      <c r="N30" s="55">
        <f t="shared" si="21"/>
        <v>3150617.7142857141</v>
      </c>
      <c r="O30" s="58">
        <f>'Estimativa  R$ Anual'!U30</f>
        <v>11468248.48</v>
      </c>
      <c r="P30" s="58">
        <f>'Estimativa  R$ Anual'!AH30</f>
        <v>0</v>
      </c>
      <c r="Q30" s="58">
        <f>'Estimativa  R$ Anual'!AU30</f>
        <v>0</v>
      </c>
      <c r="R30" s="54">
        <f>N30*0.55</f>
        <v>1732839.7428571428</v>
      </c>
      <c r="S30" s="54">
        <f>N30*0.45</f>
        <v>1417777.9714285713</v>
      </c>
      <c r="T30" s="54">
        <f t="shared" si="7"/>
        <v>3150617.7142857141</v>
      </c>
      <c r="U30" s="247">
        <f t="shared" si="22"/>
        <v>66030622.855637856</v>
      </c>
      <c r="V30" s="247">
        <f t="shared" si="23"/>
        <v>23643391.725386418</v>
      </c>
      <c r="W30" s="53">
        <f t="shared" si="3"/>
        <v>89674014.581024274</v>
      </c>
      <c r="X30" s="18">
        <v>0.86</v>
      </c>
      <c r="Y30" s="7">
        <v>40238</v>
      </c>
      <c r="AC30" s="264"/>
    </row>
    <row r="31" spans="3:29" ht="15" customHeight="1" x14ac:dyDescent="0.25">
      <c r="C31" s="211" t="s">
        <v>226</v>
      </c>
      <c r="D31" s="212" t="s">
        <v>44</v>
      </c>
      <c r="E31" s="213" t="s">
        <v>45</v>
      </c>
      <c r="F31" s="214" t="s">
        <v>240</v>
      </c>
      <c r="G31" s="40">
        <v>231196317.28999999</v>
      </c>
      <c r="H31" s="40">
        <v>152449098.56999999</v>
      </c>
      <c r="I31" s="40">
        <f t="shared" si="13"/>
        <v>78747218.719999999</v>
      </c>
      <c r="J31" s="33">
        <v>63004261.186899573</v>
      </c>
      <c r="K31" s="33">
        <v>19559528.411493003</v>
      </c>
      <c r="L31" s="34">
        <f t="shared" si="0"/>
        <v>82563789.598392576</v>
      </c>
      <c r="M31" s="55">
        <v>647000</v>
      </c>
      <c r="N31" s="55">
        <f t="shared" si="21"/>
        <v>177747.25274725273</v>
      </c>
      <c r="O31" s="58">
        <f>'Estimativa  R$ Anual'!U31</f>
        <v>647000</v>
      </c>
      <c r="P31" s="58">
        <f>'Estimativa  R$ Anual'!AH31</f>
        <v>0</v>
      </c>
      <c r="Q31" s="58">
        <f>'Estimativa  R$ Anual'!AU31</f>
        <v>0</v>
      </c>
      <c r="R31" s="54">
        <f>(647000/AB3)*0.55</f>
        <v>97760.989010989011</v>
      </c>
      <c r="S31" s="54">
        <f>(647000/AB3)*0.45</f>
        <v>79986.263736263732</v>
      </c>
      <c r="T31" s="54">
        <f t="shared" si="7"/>
        <v>177747.25274725276</v>
      </c>
      <c r="U31" s="247">
        <f t="shared" si="22"/>
        <v>63102022.175910562</v>
      </c>
      <c r="V31" s="247">
        <f t="shared" si="23"/>
        <v>19639514.675229266</v>
      </c>
      <c r="W31" s="53">
        <f t="shared" si="3"/>
        <v>82741536.851139829</v>
      </c>
      <c r="X31" s="18">
        <v>0.44800000000000001</v>
      </c>
      <c r="Y31" s="7">
        <v>40238</v>
      </c>
      <c r="AC31" s="264"/>
    </row>
    <row r="32" spans="3:29" ht="15" customHeight="1" x14ac:dyDescent="0.25">
      <c r="C32" s="211" t="s">
        <v>227</v>
      </c>
      <c r="D32" s="212" t="s">
        <v>46</v>
      </c>
      <c r="E32" s="213" t="s">
        <v>47</v>
      </c>
      <c r="F32" s="214" t="s">
        <v>240</v>
      </c>
      <c r="G32" s="40">
        <v>32457734.870000001</v>
      </c>
      <c r="H32" s="40">
        <v>28685257.350000001</v>
      </c>
      <c r="I32" s="40">
        <f t="shared" si="13"/>
        <v>3772477.5199999996</v>
      </c>
      <c r="J32" s="33">
        <v>8496726.3287550453</v>
      </c>
      <c r="K32" s="33">
        <v>4241765.4220498772</v>
      </c>
      <c r="L32" s="34">
        <f t="shared" si="0"/>
        <v>12738491.750804923</v>
      </c>
      <c r="M32" s="55">
        <f>'Estimativa  R$ Anual'!AV32</f>
        <v>2660113.08384714</v>
      </c>
      <c r="N32" s="55">
        <f t="shared" si="21"/>
        <v>730800.29776020325</v>
      </c>
      <c r="O32" s="58">
        <f>'Estimativa  R$ Anual'!U32</f>
        <v>2660113.08384714</v>
      </c>
      <c r="P32" s="58">
        <f>'Estimativa  R$ Anual'!AH32</f>
        <v>0</v>
      </c>
      <c r="Q32" s="58">
        <f>'Estimativa  R$ Anual'!AU32</f>
        <v>0</v>
      </c>
      <c r="R32" s="54">
        <f>N32*0.55</f>
        <v>401940.16376811184</v>
      </c>
      <c r="S32" s="54">
        <f>N32*0.45</f>
        <v>328860.13399209146</v>
      </c>
      <c r="T32" s="54">
        <f t="shared" si="7"/>
        <v>730800.29776020325</v>
      </c>
      <c r="U32" s="247">
        <f t="shared" si="22"/>
        <v>8898666.492523158</v>
      </c>
      <c r="V32" s="247">
        <f t="shared" si="23"/>
        <v>4570625.556041969</v>
      </c>
      <c r="W32" s="53">
        <f t="shared" si="3"/>
        <v>13469292.048565127</v>
      </c>
      <c r="X32" s="18">
        <v>0.83499999999999996</v>
      </c>
      <c r="Y32" s="7">
        <v>40483</v>
      </c>
      <c r="AC32" s="264"/>
    </row>
    <row r="33" spans="3:29" ht="15" customHeight="1" x14ac:dyDescent="0.25">
      <c r="C33" s="211" t="s">
        <v>228</v>
      </c>
      <c r="D33" s="212" t="s">
        <v>48</v>
      </c>
      <c r="E33" s="213" t="s">
        <v>49</v>
      </c>
      <c r="F33" s="214" t="s">
        <v>240</v>
      </c>
      <c r="G33" s="40">
        <v>67933612.75</v>
      </c>
      <c r="H33" s="40">
        <v>44313819.789999999</v>
      </c>
      <c r="I33" s="40">
        <f t="shared" si="13"/>
        <v>23619792.960000001</v>
      </c>
      <c r="J33" s="33">
        <v>11297556.72628998</v>
      </c>
      <c r="K33" s="33">
        <v>4911108.8737923792</v>
      </c>
      <c r="L33" s="34">
        <f t="shared" si="0"/>
        <v>16208665.60008236</v>
      </c>
      <c r="M33" s="55">
        <f>'Estimativa  R$ Anual'!AV33</f>
        <v>27990391.469999999</v>
      </c>
      <c r="N33" s="55">
        <f t="shared" si="21"/>
        <v>7689667.9862637352</v>
      </c>
      <c r="O33" s="58">
        <f>'Estimativa  R$ Anual'!U33</f>
        <v>9878793.4699999988</v>
      </c>
      <c r="P33" s="58">
        <f>'Estimativa  R$ Anual'!AH33</f>
        <v>15264000</v>
      </c>
      <c r="Q33" s="58">
        <f>'Estimativa  R$ Anual'!AU33</f>
        <v>2847598</v>
      </c>
      <c r="R33" s="54">
        <f>N33*0.85</f>
        <v>6536217.7883241745</v>
      </c>
      <c r="S33" s="54">
        <f>N33*0.15</f>
        <v>1153450.1979395603</v>
      </c>
      <c r="T33" s="54">
        <f t="shared" si="7"/>
        <v>7689667.9862637352</v>
      </c>
      <c r="U33" s="247">
        <f t="shared" si="22"/>
        <v>17833774.514614154</v>
      </c>
      <c r="V33" s="247">
        <f t="shared" si="23"/>
        <v>6064559.0717319399</v>
      </c>
      <c r="W33" s="53">
        <f t="shared" si="3"/>
        <v>23898333.586346094</v>
      </c>
      <c r="X33" s="18">
        <v>0.72499999999999998</v>
      </c>
      <c r="Y33" s="7">
        <v>41244</v>
      </c>
      <c r="AC33" s="264"/>
    </row>
    <row r="34" spans="3:29" ht="15" customHeight="1" x14ac:dyDescent="0.25">
      <c r="C34" s="211" t="s">
        <v>229</v>
      </c>
      <c r="D34" s="212" t="s">
        <v>50</v>
      </c>
      <c r="E34" s="213" t="s">
        <v>51</v>
      </c>
      <c r="F34" s="214" t="s">
        <v>240</v>
      </c>
      <c r="G34" s="40">
        <v>210226977.94999999</v>
      </c>
      <c r="H34" s="40">
        <v>106206522.69</v>
      </c>
      <c r="I34" s="40">
        <f t="shared" si="13"/>
        <v>104020455.25999999</v>
      </c>
      <c r="J34" s="33">
        <v>28047892.969336789</v>
      </c>
      <c r="K34" s="33">
        <v>14175790.055253694</v>
      </c>
      <c r="L34" s="34">
        <f t="shared" si="0"/>
        <v>42223683.024590485</v>
      </c>
      <c r="M34" s="55">
        <f>'Estimativa  R$ Anual'!AV34</f>
        <v>123164321.67865601</v>
      </c>
      <c r="N34" s="55">
        <f t="shared" si="21"/>
        <v>33836352.109520882</v>
      </c>
      <c r="O34" s="58">
        <f>'Estimativa  R$ Anual'!U34</f>
        <v>14500000</v>
      </c>
      <c r="P34" s="58">
        <f>'Estimativa  R$ Anual'!AH34</f>
        <v>60143340</v>
      </c>
      <c r="Q34" s="58">
        <f>'Estimativa  R$ Anual'!AU34</f>
        <v>48520981.678656012</v>
      </c>
      <c r="R34" s="54">
        <f>N34*0.85</f>
        <v>28760899.29309275</v>
      </c>
      <c r="S34" s="54">
        <f>N34*0.15</f>
        <v>5075452.8164281324</v>
      </c>
      <c r="T34" s="54">
        <f t="shared" si="7"/>
        <v>33836352.109520882</v>
      </c>
      <c r="U34" s="247">
        <f t="shared" si="22"/>
        <v>56808792.262429535</v>
      </c>
      <c r="V34" s="247">
        <f t="shared" si="23"/>
        <v>19251242.871681824</v>
      </c>
      <c r="W34" s="53">
        <f t="shared" si="3"/>
        <v>76060035.13411136</v>
      </c>
      <c r="X34" s="22">
        <v>0.50700000000000001</v>
      </c>
      <c r="Y34" s="7">
        <v>41244</v>
      </c>
      <c r="AC34" s="264"/>
    </row>
    <row r="35" spans="3:29" ht="24.95" customHeight="1" x14ac:dyDescent="0.25">
      <c r="C35" s="251" t="s">
        <v>52</v>
      </c>
      <c r="D35" s="222"/>
      <c r="E35" s="222"/>
      <c r="F35" s="223"/>
      <c r="G35" s="41">
        <f>SUM(G36:G42)</f>
        <v>79583878.069999993</v>
      </c>
      <c r="H35" s="41">
        <f>SUM(H36:H42)</f>
        <v>78750271.760000005</v>
      </c>
      <c r="I35" s="41">
        <f t="shared" si="13"/>
        <v>833606.30999998748</v>
      </c>
      <c r="J35" s="35">
        <f>SUM(J36:J42)</f>
        <v>79850168.89490068</v>
      </c>
      <c r="K35" s="35">
        <f>SUM(K36:K42)</f>
        <v>21563433.021691423</v>
      </c>
      <c r="L35" s="36">
        <f t="shared" si="0"/>
        <v>101413601.91659211</v>
      </c>
      <c r="M35" s="56">
        <f t="shared" ref="M35:V35" si="24">SUM(M36:M42)</f>
        <v>1450000</v>
      </c>
      <c r="N35" s="56">
        <f t="shared" si="24"/>
        <v>398351.64835164836</v>
      </c>
      <c r="O35" s="56">
        <f t="shared" ref="O35:Q35" si="25">SUM(O36:O42)</f>
        <v>1450000</v>
      </c>
      <c r="P35" s="56">
        <f t="shared" si="25"/>
        <v>0</v>
      </c>
      <c r="Q35" s="56">
        <f t="shared" si="25"/>
        <v>0</v>
      </c>
      <c r="R35" s="56">
        <f t="shared" si="24"/>
        <v>219093.4065934066</v>
      </c>
      <c r="S35" s="56">
        <f t="shared" si="24"/>
        <v>179258.24175824175</v>
      </c>
      <c r="T35" s="56">
        <f t="shared" si="24"/>
        <v>398351.64835164836</v>
      </c>
      <c r="U35" s="56">
        <f t="shared" si="24"/>
        <v>80069262.301494077</v>
      </c>
      <c r="V35" s="56">
        <f t="shared" si="24"/>
        <v>21742691.263449665</v>
      </c>
      <c r="W35" s="57">
        <f t="shared" si="3"/>
        <v>101811953.56494375</v>
      </c>
      <c r="X35" s="19"/>
      <c r="AC35" s="265"/>
    </row>
    <row r="36" spans="3:29" ht="15" customHeight="1" x14ac:dyDescent="0.25">
      <c r="C36" s="211" t="s">
        <v>198</v>
      </c>
      <c r="D36" s="212" t="s">
        <v>259</v>
      </c>
      <c r="E36" s="215"/>
      <c r="F36" s="214"/>
      <c r="G36" s="42">
        <v>0</v>
      </c>
      <c r="H36" s="42">
        <v>0</v>
      </c>
      <c r="I36" s="42">
        <f t="shared" si="13"/>
        <v>0</v>
      </c>
      <c r="J36" s="33">
        <v>0</v>
      </c>
      <c r="K36" s="33">
        <v>11448.82</v>
      </c>
      <c r="L36" s="34">
        <f t="shared" si="0"/>
        <v>11448.82</v>
      </c>
      <c r="M36" s="57"/>
      <c r="N36" s="57">
        <f t="shared" ref="N36:N42" si="26">M36/$AB$3</f>
        <v>0</v>
      </c>
      <c r="O36" s="57">
        <f>'Estimativa  R$ Anual'!U36</f>
        <v>0</v>
      </c>
      <c r="P36" s="57">
        <f>'Estimativa  R$ Anual'!AH36</f>
        <v>0</v>
      </c>
      <c r="Q36" s="57">
        <f>'Estimativa  R$ Anual'!AU36</f>
        <v>0</v>
      </c>
      <c r="R36" s="57">
        <v>0</v>
      </c>
      <c r="S36" s="57">
        <v>0</v>
      </c>
      <c r="T36" s="57">
        <f t="shared" si="7"/>
        <v>0</v>
      </c>
      <c r="U36" s="247">
        <f t="shared" ref="U36:U42" si="27">J36+R36</f>
        <v>0</v>
      </c>
      <c r="V36" s="247">
        <f t="shared" ref="V36:V42" si="28">K36+S36</f>
        <v>11448.82</v>
      </c>
      <c r="W36" s="53">
        <f t="shared" si="3"/>
        <v>11448.82</v>
      </c>
      <c r="X36" s="19" t="s">
        <v>108</v>
      </c>
      <c r="AC36" s="264"/>
    </row>
    <row r="37" spans="3:29" ht="15" customHeight="1" x14ac:dyDescent="0.25">
      <c r="C37" s="211" t="s">
        <v>223</v>
      </c>
      <c r="D37" s="212" t="s">
        <v>38</v>
      </c>
      <c r="E37" s="213" t="s">
        <v>39</v>
      </c>
      <c r="F37" s="214" t="s">
        <v>239</v>
      </c>
      <c r="G37" s="42">
        <v>0</v>
      </c>
      <c r="H37" s="42">
        <v>0</v>
      </c>
      <c r="I37" s="42">
        <f t="shared" ref="I37" si="29">G37-H37</f>
        <v>0</v>
      </c>
      <c r="J37" s="33">
        <v>0</v>
      </c>
      <c r="K37" s="33">
        <v>161399.96478341802</v>
      </c>
      <c r="L37" s="34">
        <f t="shared" ref="L37" si="30">J37+K37</f>
        <v>161399.96478341802</v>
      </c>
      <c r="M37" s="57"/>
      <c r="N37" s="57">
        <f t="shared" ref="N37" si="31">M37/$AB$3</f>
        <v>0</v>
      </c>
      <c r="O37" s="57">
        <f>'Estimativa  R$ Anual'!U37</f>
        <v>0</v>
      </c>
      <c r="P37" s="57">
        <f>'Estimativa  R$ Anual'!AH37</f>
        <v>0</v>
      </c>
      <c r="Q37" s="57">
        <f>'Estimativa  R$ Anual'!AU37</f>
        <v>0</v>
      </c>
      <c r="R37" s="57">
        <v>0</v>
      </c>
      <c r="S37" s="57">
        <v>0</v>
      </c>
      <c r="T37" s="57">
        <f t="shared" ref="T37" si="32">R37+S37</f>
        <v>0</v>
      </c>
      <c r="U37" s="247">
        <f t="shared" ref="U37" si="33">J37+R37</f>
        <v>0</v>
      </c>
      <c r="V37" s="247">
        <f t="shared" ref="V37" si="34">K37+S37</f>
        <v>161399.96478341802</v>
      </c>
      <c r="W37" s="53">
        <f t="shared" ref="W37" si="35">U37+V37</f>
        <v>161399.96478341802</v>
      </c>
      <c r="X37" s="19" t="s">
        <v>108</v>
      </c>
      <c r="AC37" s="264"/>
    </row>
    <row r="38" spans="3:29" ht="15" customHeight="1" x14ac:dyDescent="0.25">
      <c r="C38" s="211" t="s">
        <v>230</v>
      </c>
      <c r="D38" s="212" t="s">
        <v>53</v>
      </c>
      <c r="E38" s="213" t="s">
        <v>54</v>
      </c>
      <c r="F38" s="214" t="s">
        <v>239</v>
      </c>
      <c r="G38" s="40">
        <v>0</v>
      </c>
      <c r="H38" s="40">
        <v>0</v>
      </c>
      <c r="I38" s="40">
        <f t="shared" si="13"/>
        <v>0</v>
      </c>
      <c r="J38" s="33">
        <v>12412482.055695623</v>
      </c>
      <c r="K38" s="33">
        <v>2636329.648146234</v>
      </c>
      <c r="L38" s="34">
        <f t="shared" ref="L38:L66" si="36">J38+K38</f>
        <v>15048811.703841858</v>
      </c>
      <c r="M38" s="54">
        <f>'Estimativa  R$'!N37</f>
        <v>0</v>
      </c>
      <c r="N38" s="54">
        <f t="shared" si="26"/>
        <v>0</v>
      </c>
      <c r="O38" s="57">
        <f>'Estimativa  R$ Anual'!U38</f>
        <v>0</v>
      </c>
      <c r="P38" s="57">
        <f>'Estimativa  R$ Anual'!AH38</f>
        <v>0</v>
      </c>
      <c r="Q38" s="57">
        <f>'Estimativa  R$ Anual'!AU38</f>
        <v>0</v>
      </c>
      <c r="R38" s="54">
        <v>0</v>
      </c>
      <c r="S38" s="54">
        <v>0</v>
      </c>
      <c r="T38" s="54">
        <f t="shared" si="7"/>
        <v>0</v>
      </c>
      <c r="U38" s="247">
        <f t="shared" si="27"/>
        <v>12412482.055695623</v>
      </c>
      <c r="V38" s="247">
        <f t="shared" si="28"/>
        <v>2636329.648146234</v>
      </c>
      <c r="W38" s="53">
        <f t="shared" si="3"/>
        <v>15048811.703841858</v>
      </c>
      <c r="X38" s="18" t="s">
        <v>109</v>
      </c>
      <c r="AC38" s="264"/>
    </row>
    <row r="39" spans="3:29" ht="15" customHeight="1" x14ac:dyDescent="0.25">
      <c r="C39" s="211" t="s">
        <v>231</v>
      </c>
      <c r="D39" s="212" t="s">
        <v>53</v>
      </c>
      <c r="E39" s="213" t="s">
        <v>55</v>
      </c>
      <c r="F39" s="214" t="s">
        <v>242</v>
      </c>
      <c r="G39" s="40">
        <v>0</v>
      </c>
      <c r="H39" s="40">
        <v>0</v>
      </c>
      <c r="I39" s="40">
        <f t="shared" si="13"/>
        <v>0</v>
      </c>
      <c r="J39" s="33">
        <v>10177380.507104792</v>
      </c>
      <c r="K39" s="33">
        <v>2919172.6999830296</v>
      </c>
      <c r="L39" s="34">
        <f t="shared" si="36"/>
        <v>13096553.207087822</v>
      </c>
      <c r="M39" s="54">
        <f>'Estimativa  R$'!N38</f>
        <v>0</v>
      </c>
      <c r="N39" s="54">
        <f t="shared" si="26"/>
        <v>0</v>
      </c>
      <c r="O39" s="57">
        <f>'Estimativa  R$ Anual'!U39</f>
        <v>0</v>
      </c>
      <c r="P39" s="57">
        <f>'Estimativa  R$ Anual'!AH39</f>
        <v>0</v>
      </c>
      <c r="Q39" s="57">
        <f>'Estimativa  R$ Anual'!AU39</f>
        <v>0</v>
      </c>
      <c r="R39" s="54">
        <v>0</v>
      </c>
      <c r="S39" s="54">
        <v>0</v>
      </c>
      <c r="T39" s="54">
        <f t="shared" si="7"/>
        <v>0</v>
      </c>
      <c r="U39" s="247">
        <f t="shared" si="27"/>
        <v>10177380.507104792</v>
      </c>
      <c r="V39" s="247">
        <f t="shared" si="28"/>
        <v>2919172.6999830296</v>
      </c>
      <c r="W39" s="53">
        <f t="shared" si="3"/>
        <v>13096553.207087822</v>
      </c>
      <c r="X39" s="18">
        <v>0.624</v>
      </c>
      <c r="AC39" s="264"/>
    </row>
    <row r="40" spans="3:29" ht="15" customHeight="1" x14ac:dyDescent="0.25">
      <c r="C40" s="211" t="s">
        <v>232</v>
      </c>
      <c r="D40" s="212" t="s">
        <v>56</v>
      </c>
      <c r="E40" s="213" t="s">
        <v>57</v>
      </c>
      <c r="F40" s="214" t="s">
        <v>242</v>
      </c>
      <c r="G40" s="40">
        <v>0</v>
      </c>
      <c r="H40" s="40">
        <v>0</v>
      </c>
      <c r="I40" s="40">
        <f t="shared" si="13"/>
        <v>0</v>
      </c>
      <c r="J40" s="33">
        <v>7440067.5062401425</v>
      </c>
      <c r="K40" s="33">
        <v>2376587.495851167</v>
      </c>
      <c r="L40" s="34">
        <f t="shared" si="36"/>
        <v>9816655.0020913091</v>
      </c>
      <c r="M40" s="54">
        <f>'Estimativa  R$'!N39</f>
        <v>0</v>
      </c>
      <c r="N40" s="54">
        <f t="shared" si="26"/>
        <v>0</v>
      </c>
      <c r="O40" s="57">
        <f>'Estimativa  R$ Anual'!U40</f>
        <v>0</v>
      </c>
      <c r="P40" s="57">
        <f>'Estimativa  R$ Anual'!AH40</f>
        <v>0</v>
      </c>
      <c r="Q40" s="57">
        <f>'Estimativa  R$ Anual'!AU40</f>
        <v>0</v>
      </c>
      <c r="R40" s="54">
        <v>0</v>
      </c>
      <c r="S40" s="54">
        <v>0</v>
      </c>
      <c r="T40" s="54">
        <f t="shared" si="7"/>
        <v>0</v>
      </c>
      <c r="U40" s="247">
        <f t="shared" si="27"/>
        <v>7440067.5062401425</v>
      </c>
      <c r="V40" s="247">
        <f t="shared" si="28"/>
        <v>2376587.495851167</v>
      </c>
      <c r="W40" s="53">
        <f t="shared" si="3"/>
        <v>9816655.0020913091</v>
      </c>
      <c r="X40" s="18">
        <v>1</v>
      </c>
      <c r="AC40" s="264"/>
    </row>
    <row r="41" spans="3:29" ht="15" customHeight="1" x14ac:dyDescent="0.25">
      <c r="C41" s="211" t="s">
        <v>197</v>
      </c>
      <c r="D41" s="212" t="s">
        <v>58</v>
      </c>
      <c r="E41" s="213" t="s">
        <v>59</v>
      </c>
      <c r="F41" s="214" t="s">
        <v>239</v>
      </c>
      <c r="G41" s="40">
        <v>0</v>
      </c>
      <c r="H41" s="40">
        <v>0</v>
      </c>
      <c r="I41" s="40">
        <f t="shared" si="13"/>
        <v>0</v>
      </c>
      <c r="J41" s="33">
        <v>17390130.478594344</v>
      </c>
      <c r="K41" s="33">
        <v>4563636.1074241837</v>
      </c>
      <c r="L41" s="34">
        <f t="shared" si="36"/>
        <v>21953766.586018529</v>
      </c>
      <c r="M41" s="54">
        <f>'Estimativa  R$'!N40</f>
        <v>0</v>
      </c>
      <c r="N41" s="54">
        <f t="shared" si="26"/>
        <v>0</v>
      </c>
      <c r="O41" s="57">
        <f>'Estimativa  R$ Anual'!U41</f>
        <v>0</v>
      </c>
      <c r="P41" s="57">
        <f>'Estimativa  R$ Anual'!AH41</f>
        <v>0</v>
      </c>
      <c r="Q41" s="57">
        <f>'Estimativa  R$ Anual'!AU41</f>
        <v>0</v>
      </c>
      <c r="R41" s="54">
        <v>0</v>
      </c>
      <c r="S41" s="54">
        <v>0</v>
      </c>
      <c r="T41" s="54">
        <f t="shared" si="7"/>
        <v>0</v>
      </c>
      <c r="U41" s="247">
        <f t="shared" si="27"/>
        <v>17390130.478594344</v>
      </c>
      <c r="V41" s="247">
        <f t="shared" si="28"/>
        <v>4563636.1074241837</v>
      </c>
      <c r="W41" s="53">
        <f t="shared" si="3"/>
        <v>21953766.586018529</v>
      </c>
      <c r="X41" s="18">
        <v>0.56100000000000005</v>
      </c>
      <c r="AC41" s="264"/>
    </row>
    <row r="42" spans="3:29" ht="15" customHeight="1" x14ac:dyDescent="0.25">
      <c r="C42" s="211" t="s">
        <v>233</v>
      </c>
      <c r="D42" s="212" t="s">
        <v>60</v>
      </c>
      <c r="E42" s="213" t="s">
        <v>61</v>
      </c>
      <c r="F42" s="214" t="s">
        <v>240</v>
      </c>
      <c r="G42" s="43">
        <v>79583878.069999993</v>
      </c>
      <c r="H42" s="43">
        <v>78750271.760000005</v>
      </c>
      <c r="I42" s="43">
        <f t="shared" si="13"/>
        <v>833606.30999998748</v>
      </c>
      <c r="J42" s="33">
        <v>32430108.347265773</v>
      </c>
      <c r="K42" s="33">
        <v>8894858.2855033912</v>
      </c>
      <c r="L42" s="34">
        <f t="shared" si="36"/>
        <v>41324966.632769167</v>
      </c>
      <c r="M42" s="59">
        <f>'Estimativa  R$ Anual'!AV42</f>
        <v>1450000</v>
      </c>
      <c r="N42" s="59">
        <f t="shared" si="26"/>
        <v>398351.64835164836</v>
      </c>
      <c r="O42" s="57">
        <f>'Estimativa  R$ Anual'!U42</f>
        <v>1450000</v>
      </c>
      <c r="P42" s="57">
        <f>'Estimativa  R$ Anual'!AH42</f>
        <v>0</v>
      </c>
      <c r="Q42" s="57">
        <f>'Estimativa  R$ Anual'!AU42</f>
        <v>0</v>
      </c>
      <c r="R42" s="54">
        <f t="shared" ref="R42" si="37">N42*0.55</f>
        <v>219093.4065934066</v>
      </c>
      <c r="S42" s="54">
        <f t="shared" ref="S42" si="38">N42*0.45</f>
        <v>179258.24175824175</v>
      </c>
      <c r="T42" s="52">
        <f t="shared" si="7"/>
        <v>398351.64835164836</v>
      </c>
      <c r="U42" s="247">
        <f t="shared" si="27"/>
        <v>32649201.753859181</v>
      </c>
      <c r="V42" s="247">
        <f t="shared" si="28"/>
        <v>9074116.5272616334</v>
      </c>
      <c r="W42" s="53">
        <f t="shared" si="3"/>
        <v>41723318.281120814</v>
      </c>
      <c r="X42" s="23">
        <v>0.99099999999999999</v>
      </c>
      <c r="Y42" s="7">
        <v>40360</v>
      </c>
      <c r="AC42" s="264"/>
    </row>
    <row r="43" spans="3:29" ht="24.95" customHeight="1" x14ac:dyDescent="0.25">
      <c r="C43" s="221" t="s">
        <v>62</v>
      </c>
      <c r="D43" s="222"/>
      <c r="E43" s="222"/>
      <c r="F43" s="223"/>
      <c r="G43" s="41">
        <f>SUM(G44:G46)</f>
        <v>370298604.31999999</v>
      </c>
      <c r="H43" s="41">
        <f>SUM(H44:H46)</f>
        <v>284834637.59000003</v>
      </c>
      <c r="I43" s="41">
        <f t="shared" si="13"/>
        <v>85463966.729999959</v>
      </c>
      <c r="J43" s="35">
        <f>SUM(J44:J46)</f>
        <v>63375587.668505087</v>
      </c>
      <c r="K43" s="35">
        <f>SUM(K44:K46)</f>
        <v>65499729.668716773</v>
      </c>
      <c r="L43" s="36">
        <f t="shared" si="36"/>
        <v>128875317.33722186</v>
      </c>
      <c r="M43" s="56">
        <f t="shared" ref="M43:V43" si="39">SUM(M44:M46)</f>
        <v>89631910.109999985</v>
      </c>
      <c r="N43" s="56">
        <f t="shared" si="39"/>
        <v>24624151.129120875</v>
      </c>
      <c r="O43" s="56">
        <f t="shared" ref="O43:Q43" si="40">SUM(O44:O46)</f>
        <v>58666150.249999978</v>
      </c>
      <c r="P43" s="56">
        <f t="shared" si="40"/>
        <v>30965759.860000003</v>
      </c>
      <c r="Q43" s="56">
        <f t="shared" si="40"/>
        <v>0</v>
      </c>
      <c r="R43" s="56">
        <f t="shared" si="39"/>
        <v>20246283.286538459</v>
      </c>
      <c r="S43" s="56">
        <f t="shared" si="39"/>
        <v>4377867.8425824167</v>
      </c>
      <c r="T43" s="56">
        <f t="shared" si="39"/>
        <v>24624151.129120875</v>
      </c>
      <c r="U43" s="56">
        <f t="shared" si="39"/>
        <v>83621870.955043554</v>
      </c>
      <c r="V43" s="56">
        <f t="shared" si="39"/>
        <v>69877597.511299193</v>
      </c>
      <c r="W43" s="57">
        <f t="shared" si="3"/>
        <v>153499468.46634275</v>
      </c>
      <c r="X43" s="19"/>
      <c r="AC43" s="265"/>
    </row>
    <row r="44" spans="3:29" ht="15" customHeight="1" x14ac:dyDescent="0.25">
      <c r="C44" s="211" t="s">
        <v>200</v>
      </c>
      <c r="D44" s="212" t="s">
        <v>35</v>
      </c>
      <c r="E44" s="224" t="s">
        <v>97</v>
      </c>
      <c r="F44" s="214" t="s">
        <v>242</v>
      </c>
      <c r="G44" s="40">
        <v>0</v>
      </c>
      <c r="H44" s="40">
        <v>0</v>
      </c>
      <c r="I44" s="40">
        <f t="shared" si="13"/>
        <v>0</v>
      </c>
      <c r="J44" s="33">
        <v>10533629.41</v>
      </c>
      <c r="K44" s="33">
        <v>1343323.58</v>
      </c>
      <c r="L44" s="34">
        <f t="shared" si="36"/>
        <v>11876952.99</v>
      </c>
      <c r="M44" s="54">
        <f>'Estimativa  R$'!N43</f>
        <v>0</v>
      </c>
      <c r="N44" s="54">
        <f t="shared" ref="N44:N46" si="41">M44/$AB$3</f>
        <v>0</v>
      </c>
      <c r="O44" s="54">
        <f>'Estimativa  R$ Anual'!U44</f>
        <v>0</v>
      </c>
      <c r="P44" s="54">
        <f>'Estimativa  R$ Anual'!AH44</f>
        <v>0</v>
      </c>
      <c r="Q44" s="54">
        <f>'Estimativa  R$ Anual'!AU44</f>
        <v>0</v>
      </c>
      <c r="R44" s="54">
        <v>0</v>
      </c>
      <c r="S44" s="54">
        <v>0</v>
      </c>
      <c r="T44" s="54">
        <f t="shared" si="7"/>
        <v>0</v>
      </c>
      <c r="U44" s="247">
        <f t="shared" ref="U44:U47" si="42">J44+R44</f>
        <v>10533629.41</v>
      </c>
      <c r="V44" s="247">
        <f t="shared" ref="V44:V47" si="43">K44+S44</f>
        <v>1343323.58</v>
      </c>
      <c r="W44" s="53">
        <f t="shared" si="3"/>
        <v>11876952.99</v>
      </c>
      <c r="X44" s="18">
        <v>1</v>
      </c>
      <c r="AC44" s="264"/>
    </row>
    <row r="45" spans="3:29" ht="26.25" customHeight="1" x14ac:dyDescent="0.25">
      <c r="C45" s="211" t="s">
        <v>201</v>
      </c>
      <c r="D45" s="212" t="s">
        <v>63</v>
      </c>
      <c r="E45" s="225" t="s">
        <v>107</v>
      </c>
      <c r="F45" s="214" t="s">
        <v>240</v>
      </c>
      <c r="G45" s="43">
        <v>355567943.51999998</v>
      </c>
      <c r="H45" s="43">
        <f>270060912.04+2500000</f>
        <v>272560912.04000002</v>
      </c>
      <c r="I45" s="43">
        <f t="shared" si="13"/>
        <v>83007031.479999959</v>
      </c>
      <c r="J45" s="33">
        <v>52841958.258505091</v>
      </c>
      <c r="K45" s="33">
        <v>59507574.072716773</v>
      </c>
      <c r="L45" s="34">
        <f t="shared" si="36"/>
        <v>112349532.33122186</v>
      </c>
      <c r="M45" s="59">
        <f>'Estimativa  R$ Anual'!AV45</f>
        <v>86701730.779999986</v>
      </c>
      <c r="N45" s="59">
        <f t="shared" si="41"/>
        <v>23819156.807692304</v>
      </c>
      <c r="O45" s="54">
        <f>'Estimativa  R$ Anual'!U45</f>
        <v>55735970.919999979</v>
      </c>
      <c r="P45" s="54">
        <f>'Estimativa  R$ Anual'!AH45</f>
        <v>30965759.860000003</v>
      </c>
      <c r="Q45" s="54">
        <f>'Estimativa  R$ Anual'!AU45</f>
        <v>0</v>
      </c>
      <c r="R45" s="52">
        <f>N45*0.85</f>
        <v>20246283.286538459</v>
      </c>
      <c r="S45" s="52">
        <f>N45*0.15</f>
        <v>3572873.5211538454</v>
      </c>
      <c r="T45" s="52">
        <f t="shared" si="7"/>
        <v>23819156.807692304</v>
      </c>
      <c r="U45" s="247">
        <f t="shared" si="42"/>
        <v>73088241.545043558</v>
      </c>
      <c r="V45" s="247">
        <f t="shared" si="43"/>
        <v>63080447.593870617</v>
      </c>
      <c r="W45" s="53">
        <f t="shared" si="3"/>
        <v>136168689.13891417</v>
      </c>
      <c r="X45" s="23">
        <v>0.77500000000000002</v>
      </c>
      <c r="Y45" s="7">
        <v>41153</v>
      </c>
      <c r="AC45" s="264"/>
    </row>
    <row r="46" spans="3:29" ht="22.5" customHeight="1" x14ac:dyDescent="0.25">
      <c r="C46" s="211" t="s">
        <v>203</v>
      </c>
      <c r="D46" s="212" t="s">
        <v>64</v>
      </c>
      <c r="E46" s="213" t="s">
        <v>98</v>
      </c>
      <c r="F46" s="214" t="s">
        <v>240</v>
      </c>
      <c r="G46" s="43">
        <v>14730660.800000001</v>
      </c>
      <c r="H46" s="43">
        <v>12273725.549999997</v>
      </c>
      <c r="I46" s="43">
        <f t="shared" si="13"/>
        <v>2456935.2500000037</v>
      </c>
      <c r="J46" s="33">
        <v>0</v>
      </c>
      <c r="K46" s="33">
        <v>4648832.0159999998</v>
      </c>
      <c r="L46" s="34">
        <f t="shared" si="36"/>
        <v>4648832.0159999998</v>
      </c>
      <c r="M46" s="59">
        <f>'Estimativa  R$ Anual'!AV46</f>
        <v>2930179.33</v>
      </c>
      <c r="N46" s="59">
        <f t="shared" si="41"/>
        <v>804994.32142857148</v>
      </c>
      <c r="O46" s="54">
        <f>'Estimativa  R$ Anual'!U46</f>
        <v>2930179.33</v>
      </c>
      <c r="P46" s="54">
        <f>'Estimativa  R$ Anual'!AH46</f>
        <v>0</v>
      </c>
      <c r="Q46" s="54">
        <f>'Estimativa  R$ Anual'!AU46</f>
        <v>0</v>
      </c>
      <c r="R46" s="52">
        <v>0</v>
      </c>
      <c r="S46" s="52">
        <f>N46</f>
        <v>804994.32142857148</v>
      </c>
      <c r="T46" s="52">
        <f t="shared" si="7"/>
        <v>804994.32142857148</v>
      </c>
      <c r="U46" s="247">
        <f t="shared" si="42"/>
        <v>0</v>
      </c>
      <c r="V46" s="247">
        <f t="shared" si="43"/>
        <v>5453826.3374285717</v>
      </c>
      <c r="W46" s="53">
        <f t="shared" si="3"/>
        <v>5453826.3374285717</v>
      </c>
      <c r="X46" s="24">
        <v>0.84399999999999997</v>
      </c>
      <c r="Y46" s="7">
        <v>41426</v>
      </c>
      <c r="AC46" s="264"/>
    </row>
    <row r="47" spans="3:29" ht="22.5" customHeight="1" x14ac:dyDescent="0.25">
      <c r="C47" s="251" t="s">
        <v>65</v>
      </c>
      <c r="D47" s="222"/>
      <c r="E47" s="222"/>
      <c r="F47" s="223"/>
      <c r="G47" s="42"/>
      <c r="H47" s="42"/>
      <c r="I47" s="42">
        <f t="shared" si="13"/>
        <v>0</v>
      </c>
      <c r="J47" s="35">
        <v>0</v>
      </c>
      <c r="K47" s="35">
        <v>0</v>
      </c>
      <c r="L47" s="36">
        <f t="shared" si="36"/>
        <v>0</v>
      </c>
      <c r="M47" s="57">
        <v>0</v>
      </c>
      <c r="N47" s="57">
        <f>M47*$AB$3</f>
        <v>0</v>
      </c>
      <c r="O47" s="54"/>
      <c r="P47" s="54"/>
      <c r="Q47" s="54"/>
      <c r="R47" s="57"/>
      <c r="S47" s="57"/>
      <c r="T47" s="57">
        <f t="shared" si="7"/>
        <v>0</v>
      </c>
      <c r="U47" s="247">
        <f t="shared" si="42"/>
        <v>0</v>
      </c>
      <c r="V47" s="247">
        <f t="shared" si="43"/>
        <v>0</v>
      </c>
      <c r="W47" s="57">
        <f t="shared" si="3"/>
        <v>0</v>
      </c>
      <c r="X47" s="19"/>
      <c r="AC47" s="264"/>
    </row>
    <row r="48" spans="3:29" ht="24.95" customHeight="1" x14ac:dyDescent="0.25">
      <c r="C48" s="226" t="s">
        <v>90</v>
      </c>
      <c r="D48" s="209"/>
      <c r="E48" s="209"/>
      <c r="F48" s="210"/>
      <c r="G48" s="39">
        <f>G49+G53+G55</f>
        <v>19820000</v>
      </c>
      <c r="H48" s="39">
        <f>H49+H53+H55</f>
        <v>413529.08</v>
      </c>
      <c r="I48" s="39">
        <f t="shared" si="13"/>
        <v>19406470.920000002</v>
      </c>
      <c r="J48" s="31">
        <f>J49+J53+J55</f>
        <v>0</v>
      </c>
      <c r="K48" s="31">
        <f>K49+K53+K55</f>
        <v>5563167.7149300193</v>
      </c>
      <c r="L48" s="32">
        <f t="shared" si="36"/>
        <v>5563167.7149300193</v>
      </c>
      <c r="M48" s="31">
        <f>M49+M53+M55</f>
        <v>19998708.775383648</v>
      </c>
      <c r="N48" s="31">
        <f>N49+N53+N55</f>
        <v>5494150.7624680344</v>
      </c>
      <c r="O48" s="31">
        <f t="shared" ref="O48:Q48" si="44">O49+O53+O55</f>
        <v>6259575.5773913022</v>
      </c>
      <c r="P48" s="31">
        <f t="shared" si="44"/>
        <v>10512852.982713042</v>
      </c>
      <c r="Q48" s="31">
        <f t="shared" si="44"/>
        <v>3226280.215279304</v>
      </c>
      <c r="R48" s="50">
        <f>R49+R53+R55</f>
        <v>0</v>
      </c>
      <c r="S48" s="50">
        <f>S49+S53+S55</f>
        <v>5494150.7624680344</v>
      </c>
      <c r="T48" s="50">
        <f t="shared" si="7"/>
        <v>5494150.7624680344</v>
      </c>
      <c r="U48" s="31">
        <f>U49+U53+U55</f>
        <v>0</v>
      </c>
      <c r="V48" s="31">
        <f>V49+V53+V55</f>
        <v>11057318.477398053</v>
      </c>
      <c r="W48" s="31">
        <f>W49+W53+W55</f>
        <v>11057318.477398053</v>
      </c>
      <c r="X48" s="19"/>
      <c r="Z48" s="250" t="e">
        <f>+#REF!-V48</f>
        <v>#REF!</v>
      </c>
      <c r="AC48" s="264"/>
    </row>
    <row r="49" spans="3:29" ht="24.75" customHeight="1" x14ac:dyDescent="0.25">
      <c r="C49" s="221" t="s">
        <v>66</v>
      </c>
      <c r="D49" s="222"/>
      <c r="E49" s="222"/>
      <c r="F49" s="223"/>
      <c r="G49" s="41">
        <f>SUM(G50:G52)</f>
        <v>19820000</v>
      </c>
      <c r="H49" s="41">
        <f>SUM(H50:H52)</f>
        <v>413529.08</v>
      </c>
      <c r="I49" s="41">
        <f>G49-H49</f>
        <v>19406470.920000002</v>
      </c>
      <c r="J49" s="35">
        <f>SUM(J50:J52)</f>
        <v>0</v>
      </c>
      <c r="K49" s="35">
        <f>SUM(K50:K52)</f>
        <v>106827.84</v>
      </c>
      <c r="L49" s="36">
        <f>J49+K49</f>
        <v>106827.84</v>
      </c>
      <c r="M49" s="50">
        <f t="shared" ref="M49:W49" si="45">SUM(M50:M52)</f>
        <v>19998708.775383648</v>
      </c>
      <c r="N49" s="50">
        <f t="shared" si="45"/>
        <v>5494150.7624680344</v>
      </c>
      <c r="O49" s="50">
        <f t="shared" ref="O49:Q49" si="46">SUM(O50:O52)</f>
        <v>6259575.5773913022</v>
      </c>
      <c r="P49" s="50">
        <f t="shared" si="46"/>
        <v>10512852.982713042</v>
      </c>
      <c r="Q49" s="50">
        <f t="shared" si="46"/>
        <v>3226280.215279304</v>
      </c>
      <c r="R49" s="56">
        <f t="shared" si="45"/>
        <v>0</v>
      </c>
      <c r="S49" s="56">
        <f t="shared" si="45"/>
        <v>5494150.7624680344</v>
      </c>
      <c r="T49" s="56">
        <f t="shared" si="45"/>
        <v>5494150.7624680344</v>
      </c>
      <c r="U49" s="35">
        <f t="shared" si="45"/>
        <v>0</v>
      </c>
      <c r="V49" s="35">
        <f t="shared" si="45"/>
        <v>5600978.6024680343</v>
      </c>
      <c r="W49" s="36">
        <f t="shared" si="45"/>
        <v>5600978.6024680343</v>
      </c>
      <c r="X49" s="19"/>
      <c r="AC49" s="264"/>
    </row>
    <row r="50" spans="3:29" ht="18" customHeight="1" x14ac:dyDescent="0.25">
      <c r="C50" s="216" t="s">
        <v>234</v>
      </c>
      <c r="D50" s="227" t="s">
        <v>67</v>
      </c>
      <c r="E50" s="309" t="s">
        <v>299</v>
      </c>
      <c r="F50" s="214" t="s">
        <v>240</v>
      </c>
      <c r="G50" s="44">
        <v>9500000</v>
      </c>
      <c r="H50" s="44">
        <v>413529.08</v>
      </c>
      <c r="I50" s="44">
        <f t="shared" si="13"/>
        <v>9086470.9199999999</v>
      </c>
      <c r="J50" s="33">
        <v>0</v>
      </c>
      <c r="K50" s="33">
        <v>106827.84</v>
      </c>
      <c r="L50" s="34">
        <f t="shared" si="36"/>
        <v>106827.84</v>
      </c>
      <c r="M50" s="55">
        <f>'Estimativa  R$ Anual'!AV50</f>
        <v>9468576.7753836475</v>
      </c>
      <c r="N50" s="55">
        <f t="shared" ref="N50:N58" si="47">M50/$AB$3</f>
        <v>2601257.3558746283</v>
      </c>
      <c r="O50" s="55">
        <f>'Estimativa  R$ Anual'!U50</f>
        <v>3555575.5773913027</v>
      </c>
      <c r="P50" s="55">
        <f>'Estimativa  R$ Anual'!AH50</f>
        <v>5025213.4827130418</v>
      </c>
      <c r="Q50" s="55">
        <f>'Estimativa  R$ Anual'!AU50</f>
        <v>887787.71527930396</v>
      </c>
      <c r="R50" s="243">
        <v>0</v>
      </c>
      <c r="S50" s="243">
        <f>N50</f>
        <v>2601257.3558746283</v>
      </c>
      <c r="T50" s="243">
        <f t="shared" si="7"/>
        <v>2601257.3558746283</v>
      </c>
      <c r="U50" s="247">
        <f t="shared" ref="U50" si="48">J50+R50</f>
        <v>0</v>
      </c>
      <c r="V50" s="247">
        <f t="shared" ref="V50" si="49">K50+S50</f>
        <v>2708085.1958746281</v>
      </c>
      <c r="W50" s="53">
        <f t="shared" ref="W50:W66" si="50">U50+V50</f>
        <v>2708085.1958746281</v>
      </c>
      <c r="X50" s="20">
        <v>4.3999999999999997E-2</v>
      </c>
      <c r="Y50" s="7">
        <v>41974</v>
      </c>
      <c r="AC50" s="264"/>
    </row>
    <row r="51" spans="3:29" ht="18" customHeight="1" x14ac:dyDescent="0.25">
      <c r="C51" s="320" t="s">
        <v>264</v>
      </c>
      <c r="D51" s="227" t="s">
        <v>265</v>
      </c>
      <c r="E51" s="309" t="s">
        <v>323</v>
      </c>
      <c r="F51" s="214" t="s">
        <v>241</v>
      </c>
      <c r="G51" s="44">
        <v>330000</v>
      </c>
      <c r="H51" s="44">
        <v>0</v>
      </c>
      <c r="I51" s="44">
        <f t="shared" ref="I51" si="51">G51-H51</f>
        <v>330000</v>
      </c>
      <c r="J51" s="33">
        <v>0</v>
      </c>
      <c r="K51" s="33">
        <v>0</v>
      </c>
      <c r="L51" s="34">
        <f t="shared" ref="L51" si="52">J51+K51</f>
        <v>0</v>
      </c>
      <c r="M51" s="55">
        <f>'Estimativa  R$ Anual'!AV51</f>
        <v>339000</v>
      </c>
      <c r="N51" s="55">
        <f t="shared" ref="N51" si="53">M51/$AB$3</f>
        <v>93131.868131868134</v>
      </c>
      <c r="O51" s="55">
        <f>'Estimativa  R$ Anual'!U51</f>
        <v>206500</v>
      </c>
      <c r="P51" s="55">
        <f>'Estimativa  R$ Anual'!AH51</f>
        <v>132500</v>
      </c>
      <c r="Q51" s="55">
        <f>'Estimativa  R$ Anual'!AU51</f>
        <v>0</v>
      </c>
      <c r="R51" s="243">
        <v>0</v>
      </c>
      <c r="S51" s="243">
        <f>N51</f>
        <v>93131.868131868134</v>
      </c>
      <c r="T51" s="243">
        <f t="shared" ref="T51" si="54">R51+S51</f>
        <v>93131.868131868134</v>
      </c>
      <c r="U51" s="247">
        <f t="shared" ref="U51" si="55">J51+R51</f>
        <v>0</v>
      </c>
      <c r="V51" s="247">
        <f t="shared" ref="V51" si="56">K51+S51</f>
        <v>93131.868131868134</v>
      </c>
      <c r="W51" s="53">
        <f t="shared" ref="W51" si="57">U51+V51</f>
        <v>93131.868131868134</v>
      </c>
      <c r="X51" s="20" t="s">
        <v>108</v>
      </c>
      <c r="Y51" s="7"/>
      <c r="AC51" s="264"/>
    </row>
    <row r="52" spans="3:29" ht="18" customHeight="1" x14ac:dyDescent="0.25">
      <c r="C52" s="320" t="s">
        <v>267</v>
      </c>
      <c r="D52" s="227" t="s">
        <v>268</v>
      </c>
      <c r="E52" s="309" t="s">
        <v>300</v>
      </c>
      <c r="F52" s="214" t="s">
        <v>241</v>
      </c>
      <c r="G52" s="44">
        <v>9990000</v>
      </c>
      <c r="H52" s="44">
        <v>0</v>
      </c>
      <c r="I52" s="44">
        <f t="shared" ref="I52" si="58">G52-H52</f>
        <v>9990000</v>
      </c>
      <c r="J52" s="33">
        <v>0</v>
      </c>
      <c r="K52" s="33">
        <v>0</v>
      </c>
      <c r="L52" s="34">
        <f t="shared" ref="L52" si="59">J52+K52</f>
        <v>0</v>
      </c>
      <c r="M52" s="55">
        <f>'Estimativa  R$ Anual'!AV52</f>
        <v>10191132</v>
      </c>
      <c r="N52" s="55">
        <f t="shared" ref="N52" si="60">M52/$AB$3</f>
        <v>2799761.5384615385</v>
      </c>
      <c r="O52" s="55">
        <f>'Estimativa  R$ Anual'!U52</f>
        <v>2497500</v>
      </c>
      <c r="P52" s="55">
        <f>'Estimativa  R$ Anual'!AH52</f>
        <v>5355139.5</v>
      </c>
      <c r="Q52" s="55">
        <f>'Estimativa  R$ Anual'!AU52</f>
        <v>2338492.5</v>
      </c>
      <c r="R52" s="243">
        <v>0</v>
      </c>
      <c r="S52" s="243">
        <f>N52</f>
        <v>2799761.5384615385</v>
      </c>
      <c r="T52" s="243">
        <f t="shared" ref="T52" si="61">R52+S52</f>
        <v>2799761.5384615385</v>
      </c>
      <c r="U52" s="247">
        <f t="shared" ref="U52" si="62">J52+R52</f>
        <v>0</v>
      </c>
      <c r="V52" s="247">
        <f t="shared" ref="V52" si="63">K52+S52</f>
        <v>2799761.5384615385</v>
      </c>
      <c r="W52" s="53">
        <f t="shared" ref="W52" si="64">U52+V52</f>
        <v>2799761.5384615385</v>
      </c>
      <c r="X52" s="20" t="s">
        <v>108</v>
      </c>
      <c r="Y52" s="7"/>
      <c r="AC52" s="264"/>
    </row>
    <row r="53" spans="3:29" ht="24.95" customHeight="1" x14ac:dyDescent="0.25">
      <c r="C53" s="221" t="s">
        <v>69</v>
      </c>
      <c r="D53" s="222"/>
      <c r="E53" s="222"/>
      <c r="F53" s="223"/>
      <c r="G53" s="41">
        <f>G54</f>
        <v>0</v>
      </c>
      <c r="H53" s="41">
        <f>H54</f>
        <v>0</v>
      </c>
      <c r="I53" s="41">
        <f t="shared" si="13"/>
        <v>0</v>
      </c>
      <c r="J53" s="35">
        <f>J54</f>
        <v>0</v>
      </c>
      <c r="K53" s="35">
        <f>K54</f>
        <v>1694978.9095220082</v>
      </c>
      <c r="L53" s="36">
        <f t="shared" si="36"/>
        <v>1694978.9095220082</v>
      </c>
      <c r="M53" s="56">
        <f>'Estimativa  R$'!N50</f>
        <v>0</v>
      </c>
      <c r="N53" s="56">
        <f t="shared" si="47"/>
        <v>0</v>
      </c>
      <c r="O53" s="56">
        <f t="shared" ref="O53:O58" si="65">N53/$AB$3</f>
        <v>0</v>
      </c>
      <c r="P53" s="56">
        <f t="shared" ref="P53:P58" si="66">O53/$AB$3</f>
        <v>0</v>
      </c>
      <c r="Q53" s="56">
        <f t="shared" ref="Q53:Q58" si="67">P53/$AB$3</f>
        <v>0</v>
      </c>
      <c r="R53" s="56">
        <f>R54</f>
        <v>0</v>
      </c>
      <c r="S53" s="56">
        <f>S54</f>
        <v>0</v>
      </c>
      <c r="T53" s="56">
        <f t="shared" si="7"/>
        <v>0</v>
      </c>
      <c r="U53" s="35">
        <f>U54</f>
        <v>0</v>
      </c>
      <c r="V53" s="35">
        <f>V54</f>
        <v>1694978.9095220082</v>
      </c>
      <c r="W53" s="36">
        <f t="shared" si="50"/>
        <v>1694978.9095220082</v>
      </c>
      <c r="X53" s="19"/>
      <c r="AC53" s="264"/>
    </row>
    <row r="54" spans="3:29" ht="18.75" customHeight="1" x14ac:dyDescent="0.25">
      <c r="C54" s="211" t="s">
        <v>206</v>
      </c>
      <c r="D54" s="212" t="s">
        <v>70</v>
      </c>
      <c r="E54" s="308" t="s">
        <v>301</v>
      </c>
      <c r="F54" s="214" t="s">
        <v>239</v>
      </c>
      <c r="G54" s="40">
        <v>0</v>
      </c>
      <c r="H54" s="40">
        <v>0</v>
      </c>
      <c r="I54" s="40">
        <f t="shared" si="13"/>
        <v>0</v>
      </c>
      <c r="J54" s="33">
        <v>0</v>
      </c>
      <c r="K54" s="33">
        <v>1694978.9095220082</v>
      </c>
      <c r="L54" s="34">
        <f t="shared" si="36"/>
        <v>1694978.9095220082</v>
      </c>
      <c r="M54" s="58">
        <f>'Estimativa  R$'!N51</f>
        <v>0</v>
      </c>
      <c r="N54" s="58">
        <f t="shared" si="47"/>
        <v>0</v>
      </c>
      <c r="O54" s="58">
        <f t="shared" si="65"/>
        <v>0</v>
      </c>
      <c r="P54" s="58">
        <f t="shared" si="66"/>
        <v>0</v>
      </c>
      <c r="Q54" s="58">
        <f t="shared" si="67"/>
        <v>0</v>
      </c>
      <c r="R54" s="54">
        <v>0</v>
      </c>
      <c r="S54" s="54">
        <v>0</v>
      </c>
      <c r="T54" s="54">
        <f t="shared" si="7"/>
        <v>0</v>
      </c>
      <c r="U54" s="247">
        <f t="shared" ref="U54:U58" si="68">J54+R54</f>
        <v>0</v>
      </c>
      <c r="V54" s="247">
        <f t="shared" ref="V54:V58" si="69">K54+S54</f>
        <v>1694978.9095220082</v>
      </c>
      <c r="W54" s="53">
        <f t="shared" si="50"/>
        <v>1694978.9095220082</v>
      </c>
      <c r="X54" s="25">
        <v>1</v>
      </c>
      <c r="AC54" s="264"/>
    </row>
    <row r="55" spans="3:29" ht="24.95" customHeight="1" x14ac:dyDescent="0.25">
      <c r="C55" s="251" t="s">
        <v>72</v>
      </c>
      <c r="D55" s="222"/>
      <c r="E55" s="222"/>
      <c r="F55" s="223"/>
      <c r="G55" s="41">
        <f>SUM(G56:G58)</f>
        <v>0</v>
      </c>
      <c r="H55" s="41">
        <f>SUM(H56:H58)</f>
        <v>0</v>
      </c>
      <c r="I55" s="41">
        <f t="shared" si="13"/>
        <v>0</v>
      </c>
      <c r="J55" s="35">
        <f>SUM(J56:J58)</f>
        <v>0</v>
      </c>
      <c r="K55" s="35">
        <f>SUM(K56:K58)</f>
        <v>3761360.9654080109</v>
      </c>
      <c r="L55" s="36">
        <f t="shared" si="36"/>
        <v>3761360.9654080109</v>
      </c>
      <c r="M55" s="56">
        <f>'Estimativa  R$'!N52</f>
        <v>0</v>
      </c>
      <c r="N55" s="56">
        <f t="shared" si="47"/>
        <v>0</v>
      </c>
      <c r="O55" s="56">
        <f t="shared" si="65"/>
        <v>0</v>
      </c>
      <c r="P55" s="56">
        <f t="shared" si="66"/>
        <v>0</v>
      </c>
      <c r="Q55" s="56">
        <f t="shared" si="67"/>
        <v>0</v>
      </c>
      <c r="R55" s="56">
        <f>SUM(R56:R58)</f>
        <v>0</v>
      </c>
      <c r="S55" s="56">
        <f>SUM(S56:S58)</f>
        <v>0</v>
      </c>
      <c r="T55" s="56">
        <f t="shared" si="7"/>
        <v>0</v>
      </c>
      <c r="U55" s="247">
        <f t="shared" si="68"/>
        <v>0</v>
      </c>
      <c r="V55" s="247">
        <f t="shared" si="69"/>
        <v>3761360.9654080109</v>
      </c>
      <c r="W55" s="57">
        <f t="shared" si="50"/>
        <v>3761360.9654080109</v>
      </c>
      <c r="X55" s="26"/>
      <c r="AC55" s="264"/>
    </row>
    <row r="56" spans="3:29" ht="27" customHeight="1" x14ac:dyDescent="0.25">
      <c r="C56" s="216" t="s">
        <v>235</v>
      </c>
      <c r="D56" s="13" t="s">
        <v>73</v>
      </c>
      <c r="E56" s="310" t="s">
        <v>302</v>
      </c>
      <c r="F56" s="217" t="s">
        <v>239</v>
      </c>
      <c r="G56" s="45">
        <v>0</v>
      </c>
      <c r="H56" s="45">
        <v>0</v>
      </c>
      <c r="I56" s="45">
        <f t="shared" si="13"/>
        <v>0</v>
      </c>
      <c r="J56" s="33">
        <v>0</v>
      </c>
      <c r="K56" s="33">
        <v>1828021.865408011</v>
      </c>
      <c r="L56" s="34">
        <f t="shared" si="36"/>
        <v>1828021.865408011</v>
      </c>
      <c r="M56" s="60">
        <f>'Estimativa  R$'!N53</f>
        <v>0</v>
      </c>
      <c r="N56" s="60">
        <f t="shared" si="47"/>
        <v>0</v>
      </c>
      <c r="O56" s="60">
        <f t="shared" si="65"/>
        <v>0</v>
      </c>
      <c r="P56" s="60">
        <f t="shared" si="66"/>
        <v>0</v>
      </c>
      <c r="Q56" s="60">
        <f t="shared" si="67"/>
        <v>0</v>
      </c>
      <c r="R56" s="60">
        <v>0</v>
      </c>
      <c r="S56" s="60">
        <v>0</v>
      </c>
      <c r="T56" s="60">
        <f t="shared" si="7"/>
        <v>0</v>
      </c>
      <c r="U56" s="247">
        <f t="shared" si="68"/>
        <v>0</v>
      </c>
      <c r="V56" s="247">
        <f t="shared" si="69"/>
        <v>1828021.865408011</v>
      </c>
      <c r="W56" s="53">
        <f t="shared" si="50"/>
        <v>1828021.865408011</v>
      </c>
      <c r="X56" s="17">
        <v>1</v>
      </c>
      <c r="AC56" s="264"/>
    </row>
    <row r="57" spans="3:29" ht="27" customHeight="1" x14ac:dyDescent="0.25">
      <c r="C57" s="216" t="s">
        <v>236</v>
      </c>
      <c r="D57" s="13" t="s">
        <v>75</v>
      </c>
      <c r="E57" s="311" t="s">
        <v>303</v>
      </c>
      <c r="F57" s="217" t="s">
        <v>239</v>
      </c>
      <c r="G57" s="45">
        <v>0</v>
      </c>
      <c r="H57" s="45">
        <v>0</v>
      </c>
      <c r="I57" s="45">
        <f t="shared" si="13"/>
        <v>0</v>
      </c>
      <c r="J57" s="33">
        <v>0</v>
      </c>
      <c r="K57" s="33">
        <v>1933339.0999999999</v>
      </c>
      <c r="L57" s="34">
        <f t="shared" si="36"/>
        <v>1933339.0999999999</v>
      </c>
      <c r="M57" s="61">
        <f>'Estimativa  R$'!N54</f>
        <v>0</v>
      </c>
      <c r="N57" s="61">
        <f t="shared" si="47"/>
        <v>0</v>
      </c>
      <c r="O57" s="61">
        <f t="shared" si="65"/>
        <v>0</v>
      </c>
      <c r="P57" s="61">
        <f t="shared" si="66"/>
        <v>0</v>
      </c>
      <c r="Q57" s="61">
        <f t="shared" si="67"/>
        <v>0</v>
      </c>
      <c r="R57" s="60">
        <v>0</v>
      </c>
      <c r="S57" s="60">
        <v>0</v>
      </c>
      <c r="T57" s="60">
        <f t="shared" si="7"/>
        <v>0</v>
      </c>
      <c r="U57" s="247">
        <f t="shared" si="68"/>
        <v>0</v>
      </c>
      <c r="V57" s="247">
        <f t="shared" si="69"/>
        <v>1933339.0999999999</v>
      </c>
      <c r="W57" s="53">
        <f t="shared" si="50"/>
        <v>1933339.0999999999</v>
      </c>
      <c r="X57" s="27">
        <v>1</v>
      </c>
      <c r="AC57" s="264"/>
    </row>
    <row r="58" spans="3:29" ht="27" customHeight="1" x14ac:dyDescent="0.25">
      <c r="C58" s="216" t="s">
        <v>237</v>
      </c>
      <c r="D58" s="13" t="s">
        <v>77</v>
      </c>
      <c r="E58" s="311" t="s">
        <v>303</v>
      </c>
      <c r="F58" s="217" t="s">
        <v>239</v>
      </c>
      <c r="G58" s="45">
        <v>0</v>
      </c>
      <c r="H58" s="45">
        <v>0</v>
      </c>
      <c r="I58" s="45">
        <f t="shared" si="13"/>
        <v>0</v>
      </c>
      <c r="J58" s="33">
        <v>0</v>
      </c>
      <c r="K58" s="33">
        <v>0</v>
      </c>
      <c r="L58" s="34">
        <f t="shared" si="36"/>
        <v>0</v>
      </c>
      <c r="M58" s="61">
        <f>'Estimativa  R$'!N55</f>
        <v>0</v>
      </c>
      <c r="N58" s="61">
        <f t="shared" si="47"/>
        <v>0</v>
      </c>
      <c r="O58" s="61">
        <f t="shared" si="65"/>
        <v>0</v>
      </c>
      <c r="P58" s="61">
        <f t="shared" si="66"/>
        <v>0</v>
      </c>
      <c r="Q58" s="61">
        <f t="shared" si="67"/>
        <v>0</v>
      </c>
      <c r="R58" s="60">
        <v>0</v>
      </c>
      <c r="S58" s="60">
        <v>0</v>
      </c>
      <c r="T58" s="60">
        <f t="shared" si="7"/>
        <v>0</v>
      </c>
      <c r="U58" s="247">
        <f t="shared" si="68"/>
        <v>0</v>
      </c>
      <c r="V58" s="247">
        <f t="shared" si="69"/>
        <v>0</v>
      </c>
      <c r="W58" s="53">
        <f t="shared" si="50"/>
        <v>0</v>
      </c>
      <c r="X58" s="27">
        <v>1</v>
      </c>
      <c r="AC58" s="264"/>
    </row>
    <row r="59" spans="3:29" ht="24.95" customHeight="1" x14ac:dyDescent="0.25">
      <c r="C59" s="205" t="s">
        <v>91</v>
      </c>
      <c r="D59" s="206"/>
      <c r="E59" s="206"/>
      <c r="F59" s="207"/>
      <c r="G59" s="38">
        <f>G60+G61</f>
        <v>0</v>
      </c>
      <c r="H59" s="38">
        <f>H60+H61</f>
        <v>0</v>
      </c>
      <c r="I59" s="38">
        <f t="shared" si="13"/>
        <v>0</v>
      </c>
      <c r="J59" s="29">
        <f>J60+J61</f>
        <v>0</v>
      </c>
      <c r="K59" s="29">
        <f>K60+K61</f>
        <v>703008.63977861195</v>
      </c>
      <c r="L59" s="30">
        <f t="shared" si="36"/>
        <v>703008.63977861195</v>
      </c>
      <c r="M59" s="48">
        <f t="shared" ref="M59:S59" si="70">M60+M61</f>
        <v>2286781</v>
      </c>
      <c r="N59" s="48">
        <f t="shared" si="70"/>
        <v>628236.5384615385</v>
      </c>
      <c r="O59" s="48">
        <f t="shared" si="70"/>
        <v>850000</v>
      </c>
      <c r="P59" s="48">
        <f t="shared" si="70"/>
        <v>880000</v>
      </c>
      <c r="Q59" s="48">
        <f t="shared" si="70"/>
        <v>556781</v>
      </c>
      <c r="R59" s="48">
        <f t="shared" si="70"/>
        <v>0</v>
      </c>
      <c r="S59" s="48">
        <f t="shared" si="70"/>
        <v>628236.5384615385</v>
      </c>
      <c r="T59" s="48">
        <f t="shared" si="7"/>
        <v>628236.5384615385</v>
      </c>
      <c r="U59" s="48">
        <f>U60+U61</f>
        <v>0</v>
      </c>
      <c r="V59" s="48">
        <f>V60+V61</f>
        <v>1331245.1782401504</v>
      </c>
      <c r="W59" s="49">
        <f t="shared" si="50"/>
        <v>1331245.1782401504</v>
      </c>
      <c r="X59" s="21"/>
      <c r="AC59" s="264"/>
    </row>
    <row r="60" spans="3:29" ht="24.95" customHeight="1" x14ac:dyDescent="0.25">
      <c r="C60" s="226" t="s">
        <v>92</v>
      </c>
      <c r="D60" s="209"/>
      <c r="E60" s="209"/>
      <c r="F60" s="210"/>
      <c r="G60" s="39">
        <v>0</v>
      </c>
      <c r="H60" s="39">
        <v>0</v>
      </c>
      <c r="I60" s="39">
        <f t="shared" si="13"/>
        <v>0</v>
      </c>
      <c r="J60" s="31">
        <v>0</v>
      </c>
      <c r="K60" s="31">
        <v>0</v>
      </c>
      <c r="L60" s="32">
        <f t="shared" si="36"/>
        <v>0</v>
      </c>
      <c r="M60" s="57">
        <f>'Estimativa  R$'!N57</f>
        <v>0</v>
      </c>
      <c r="N60" s="57">
        <f t="shared" ref="N60:N64" si="71">M60/$AB$3</f>
        <v>0</v>
      </c>
      <c r="O60" s="57">
        <f>'Estimativa  R$ Anual'!U60</f>
        <v>0</v>
      </c>
      <c r="P60" s="57">
        <f>'Estimativa  R$ Anual'!AH60</f>
        <v>0</v>
      </c>
      <c r="Q60" s="57">
        <f>'Estimativa  R$ Anual'!AU60</f>
        <v>0</v>
      </c>
      <c r="R60" s="50">
        <v>0</v>
      </c>
      <c r="S60" s="50">
        <v>0</v>
      </c>
      <c r="T60" s="50">
        <f t="shared" si="7"/>
        <v>0</v>
      </c>
      <c r="U60" s="50"/>
      <c r="V60" s="31">
        <v>0</v>
      </c>
      <c r="W60" s="32">
        <f t="shared" si="50"/>
        <v>0</v>
      </c>
      <c r="X60" s="19"/>
      <c r="AC60" s="264"/>
    </row>
    <row r="61" spans="3:29" ht="24.95" customHeight="1" x14ac:dyDescent="0.25">
      <c r="C61" s="226" t="s">
        <v>93</v>
      </c>
      <c r="D61" s="209"/>
      <c r="E61" s="209"/>
      <c r="F61" s="210"/>
      <c r="G61" s="39">
        <f>G62</f>
        <v>0</v>
      </c>
      <c r="H61" s="39">
        <f>H62</f>
        <v>0</v>
      </c>
      <c r="I61" s="39">
        <f t="shared" si="13"/>
        <v>0</v>
      </c>
      <c r="J61" s="31">
        <f>J62</f>
        <v>0</v>
      </c>
      <c r="K61" s="31">
        <f>K62</f>
        <v>703008.63977861195</v>
      </c>
      <c r="L61" s="32">
        <f t="shared" si="36"/>
        <v>703008.63977861195</v>
      </c>
      <c r="M61" s="50">
        <f>'Estimativa  R$'!N58</f>
        <v>2286781</v>
      </c>
      <c r="N61" s="50">
        <f t="shared" si="71"/>
        <v>628236.5384615385</v>
      </c>
      <c r="O61" s="57">
        <f t="shared" ref="O61:S62" si="72">O62</f>
        <v>850000</v>
      </c>
      <c r="P61" s="57">
        <f t="shared" si="72"/>
        <v>880000</v>
      </c>
      <c r="Q61" s="57">
        <f t="shared" si="72"/>
        <v>556781</v>
      </c>
      <c r="R61" s="50">
        <f t="shared" si="72"/>
        <v>0</v>
      </c>
      <c r="S61" s="50">
        <f t="shared" si="72"/>
        <v>628236.5384615385</v>
      </c>
      <c r="T61" s="50">
        <f t="shared" si="7"/>
        <v>628236.5384615385</v>
      </c>
      <c r="U61" s="50">
        <f>U62</f>
        <v>0</v>
      </c>
      <c r="V61" s="50">
        <f>V62</f>
        <v>1331245.1782401504</v>
      </c>
      <c r="W61" s="51">
        <f t="shared" si="50"/>
        <v>1331245.1782401504</v>
      </c>
      <c r="X61" s="19"/>
      <c r="AC61" s="264"/>
    </row>
    <row r="62" spans="3:29" ht="24.95" customHeight="1" x14ac:dyDescent="0.25">
      <c r="C62" s="251" t="s">
        <v>78</v>
      </c>
      <c r="D62" s="222"/>
      <c r="E62" s="222"/>
      <c r="F62" s="223"/>
      <c r="G62" s="41">
        <f>G63</f>
        <v>0</v>
      </c>
      <c r="H62" s="41">
        <f>H63</f>
        <v>0</v>
      </c>
      <c r="I62" s="41">
        <f t="shared" si="13"/>
        <v>0</v>
      </c>
      <c r="J62" s="35">
        <f>J63</f>
        <v>0</v>
      </c>
      <c r="K62" s="35">
        <f>K63</f>
        <v>703008.63977861195</v>
      </c>
      <c r="L62" s="36">
        <f t="shared" si="36"/>
        <v>703008.63977861195</v>
      </c>
      <c r="M62" s="56">
        <f>'Estimativa  R$'!N59</f>
        <v>2286781</v>
      </c>
      <c r="N62" s="56">
        <f t="shared" si="71"/>
        <v>628236.5384615385</v>
      </c>
      <c r="O62" s="56">
        <f t="shared" si="72"/>
        <v>850000</v>
      </c>
      <c r="P62" s="56">
        <f t="shared" si="72"/>
        <v>880000</v>
      </c>
      <c r="Q62" s="56">
        <f t="shared" si="72"/>
        <v>556781</v>
      </c>
      <c r="R62" s="56">
        <f t="shared" si="72"/>
        <v>0</v>
      </c>
      <c r="S62" s="56">
        <f t="shared" si="72"/>
        <v>628236.5384615385</v>
      </c>
      <c r="T62" s="56">
        <f t="shared" si="7"/>
        <v>628236.5384615385</v>
      </c>
      <c r="U62" s="56">
        <f>U63</f>
        <v>0</v>
      </c>
      <c r="V62" s="56">
        <f>V63</f>
        <v>1331245.1782401504</v>
      </c>
      <c r="W62" s="57">
        <f t="shared" si="50"/>
        <v>1331245.1782401504</v>
      </c>
      <c r="X62" s="19"/>
      <c r="AC62" s="264"/>
    </row>
    <row r="63" spans="3:29" ht="15" customHeight="1" x14ac:dyDescent="0.25">
      <c r="C63" s="216" t="s">
        <v>213</v>
      </c>
      <c r="D63" s="13" t="s">
        <v>79</v>
      </c>
      <c r="E63" s="230" t="s">
        <v>80</v>
      </c>
      <c r="F63" s="217" t="s">
        <v>240</v>
      </c>
      <c r="G63" s="46"/>
      <c r="H63" s="46"/>
      <c r="I63" s="46">
        <f t="shared" si="13"/>
        <v>0</v>
      </c>
      <c r="J63" s="33">
        <v>0</v>
      </c>
      <c r="K63" s="33">
        <v>703008.63977861195</v>
      </c>
      <c r="L63" s="34">
        <f t="shared" si="36"/>
        <v>703008.63977861195</v>
      </c>
      <c r="M63" s="61">
        <f>'Estimativa  R$ Anual'!AV63</f>
        <v>2286781</v>
      </c>
      <c r="N63" s="61">
        <f>M63/$AB$3</f>
        <v>628236.5384615385</v>
      </c>
      <c r="O63" s="61">
        <f>'Estimativa  R$ Anual'!U63</f>
        <v>850000</v>
      </c>
      <c r="P63" s="61">
        <f>'Estimativa  R$ Anual'!AH63</f>
        <v>880000</v>
      </c>
      <c r="Q63" s="61">
        <f>'Estimativa  R$ Anual'!AU63</f>
        <v>556781</v>
      </c>
      <c r="R63" s="61"/>
      <c r="S63" s="61">
        <f>N63</f>
        <v>628236.5384615385</v>
      </c>
      <c r="T63" s="61">
        <f t="shared" si="7"/>
        <v>628236.5384615385</v>
      </c>
      <c r="U63" s="247">
        <f>J63+R63</f>
        <v>0</v>
      </c>
      <c r="V63" s="247">
        <f>K63+S63</f>
        <v>1331245.1782401504</v>
      </c>
      <c r="W63" s="53">
        <f t="shared" si="50"/>
        <v>1331245.1782401504</v>
      </c>
      <c r="X63" s="27">
        <v>0.503</v>
      </c>
      <c r="AC63" s="264"/>
    </row>
    <row r="64" spans="3:29" ht="24.95" customHeight="1" x14ac:dyDescent="0.25">
      <c r="C64" s="205" t="s">
        <v>94</v>
      </c>
      <c r="D64" s="206"/>
      <c r="E64" s="206"/>
      <c r="F64" s="207"/>
      <c r="G64" s="38">
        <v>0</v>
      </c>
      <c r="H64" s="38">
        <v>0</v>
      </c>
      <c r="I64" s="38">
        <f t="shared" si="13"/>
        <v>0</v>
      </c>
      <c r="J64" s="29">
        <v>0</v>
      </c>
      <c r="K64" s="29">
        <v>0</v>
      </c>
      <c r="L64" s="30">
        <f t="shared" si="36"/>
        <v>0</v>
      </c>
      <c r="M64" s="62">
        <f>'Estimativa  R$'!N61</f>
        <v>0</v>
      </c>
      <c r="N64" s="62">
        <f t="shared" si="71"/>
        <v>0</v>
      </c>
      <c r="O64" s="62">
        <f t="shared" ref="O64" si="73">N64/$AB$3</f>
        <v>0</v>
      </c>
      <c r="P64" s="62">
        <f t="shared" ref="P64" si="74">O64/$AB$3</f>
        <v>0</v>
      </c>
      <c r="Q64" s="62">
        <f t="shared" ref="Q64" si="75">P64/$AB$3</f>
        <v>0</v>
      </c>
      <c r="R64" s="48">
        <v>0</v>
      </c>
      <c r="S64" s="48">
        <v>0</v>
      </c>
      <c r="T64" s="48">
        <f t="shared" si="7"/>
        <v>0</v>
      </c>
      <c r="U64" s="48"/>
      <c r="V64" s="48"/>
      <c r="W64" s="49">
        <f t="shared" si="50"/>
        <v>0</v>
      </c>
      <c r="X64" s="21"/>
      <c r="AC64" s="264"/>
    </row>
    <row r="65" spans="3:29" ht="24.95" customHeight="1" thickBot="1" x14ac:dyDescent="0.3">
      <c r="C65" s="205" t="s">
        <v>95</v>
      </c>
      <c r="D65" s="206"/>
      <c r="E65" s="206"/>
      <c r="F65" s="231"/>
      <c r="G65" s="38">
        <v>0</v>
      </c>
      <c r="H65" s="38">
        <v>0</v>
      </c>
      <c r="I65" s="38">
        <f t="shared" si="13"/>
        <v>0</v>
      </c>
      <c r="J65" s="29">
        <v>0</v>
      </c>
      <c r="K65" s="29">
        <f>18748800.94</f>
        <v>18748800.940000001</v>
      </c>
      <c r="L65" s="30">
        <f t="shared" si="36"/>
        <v>18748800.940000001</v>
      </c>
      <c r="M65" s="62" t="e">
        <f>O65+P65+Q65</f>
        <v>#REF!</v>
      </c>
      <c r="N65" s="49" t="e">
        <f>M65/$AB$3</f>
        <v>#REF!</v>
      </c>
      <c r="O65" s="49" t="e">
        <f>'Estimativa  R$ Anual'!#REF!</f>
        <v>#REF!</v>
      </c>
      <c r="P65" s="49" t="e">
        <f>'Estimativa  R$ Anual'!#REF!</f>
        <v>#REF!</v>
      </c>
      <c r="Q65" s="49" t="e">
        <f>'Estimativa  R$ Anual'!#REF!</f>
        <v>#REF!</v>
      </c>
      <c r="R65" s="48">
        <v>0</v>
      </c>
      <c r="S65" s="48" t="e">
        <f>N65</f>
        <v>#REF!</v>
      </c>
      <c r="T65" s="48" t="e">
        <f>R65+S65</f>
        <v>#REF!</v>
      </c>
      <c r="U65" s="48">
        <f>J65+R65</f>
        <v>0</v>
      </c>
      <c r="V65" s="48" t="e">
        <f>K65+S65</f>
        <v>#REF!</v>
      </c>
      <c r="W65" s="49" t="e">
        <f t="shared" si="50"/>
        <v>#REF!</v>
      </c>
      <c r="X65" s="21"/>
      <c r="AC65" s="264"/>
    </row>
    <row r="66" spans="3:29" ht="30" customHeight="1" thickBot="1" x14ac:dyDescent="0.3">
      <c r="C66" s="608" t="s">
        <v>84</v>
      </c>
      <c r="D66" s="609"/>
      <c r="E66" s="610"/>
      <c r="F66" s="232"/>
      <c r="G66" s="47">
        <f>G5+G23+G59+G64+G65</f>
        <v>1381059274.8599999</v>
      </c>
      <c r="H66" s="47">
        <f>H5+H23+H59+H64+H65</f>
        <v>991236416.01000011</v>
      </c>
      <c r="I66" s="47">
        <f t="shared" si="13"/>
        <v>389822858.84999979</v>
      </c>
      <c r="J66" s="37">
        <f>J5+J23+J59+J64+J65</f>
        <v>417160478.38555199</v>
      </c>
      <c r="K66" s="37">
        <f>K5+K23+K59+K64+K65</f>
        <v>233381626.53064626</v>
      </c>
      <c r="L66" s="37">
        <f t="shared" si="36"/>
        <v>650542104.91619825</v>
      </c>
      <c r="M66" s="63" t="e">
        <f>M5+M23+M59+M64+M65</f>
        <v>#REF!</v>
      </c>
      <c r="N66" s="63" t="e">
        <f>N5+N23+N59+N64+N65</f>
        <v>#REF!</v>
      </c>
      <c r="O66" s="63" t="e">
        <f t="shared" ref="O66:Q66" si="76">O5+O23+O59+O64+O65</f>
        <v>#REF!</v>
      </c>
      <c r="P66" s="63" t="e">
        <f t="shared" si="76"/>
        <v>#REF!</v>
      </c>
      <c r="Q66" s="63" t="e">
        <f t="shared" si="76"/>
        <v>#REF!</v>
      </c>
      <c r="R66" s="244">
        <f>R5+R23+R59+R64+R65</f>
        <v>59045172.032822393</v>
      </c>
      <c r="S66" s="244" t="e">
        <f>S5+S23+S59+S64+S65</f>
        <v>#REF!</v>
      </c>
      <c r="T66" s="244" t="e">
        <f t="shared" si="7"/>
        <v>#REF!</v>
      </c>
      <c r="U66" s="63">
        <f>U5+U23+U59+U64+U65</f>
        <v>476205650.41837442</v>
      </c>
      <c r="V66" s="63" t="e">
        <f>V5+V23+V59+V64+V65</f>
        <v>#REF!</v>
      </c>
      <c r="W66" s="63" t="e">
        <f t="shared" si="50"/>
        <v>#REF!</v>
      </c>
      <c r="X66" s="28" t="s">
        <v>108</v>
      </c>
      <c r="AC66" s="264"/>
    </row>
    <row r="67" spans="3:29" ht="15.75" thickBot="1" x14ac:dyDescent="0.3">
      <c r="R67" s="9"/>
      <c r="S67" s="9"/>
      <c r="T67" s="9"/>
      <c r="U67" s="9"/>
      <c r="V67" s="9"/>
    </row>
    <row r="68" spans="3:29" ht="18.75" customHeight="1" x14ac:dyDescent="0.25">
      <c r="C68" s="306" t="s">
        <v>322</v>
      </c>
      <c r="J68" s="604" t="s">
        <v>256</v>
      </c>
      <c r="K68" s="605"/>
      <c r="R68" s="604" t="s">
        <v>257</v>
      </c>
      <c r="S68" s="605"/>
      <c r="T68" s="9"/>
      <c r="U68" s="604" t="s">
        <v>258</v>
      </c>
      <c r="V68" s="605"/>
    </row>
    <row r="69" spans="3:29" ht="18.75" customHeight="1" thickBot="1" x14ac:dyDescent="0.3">
      <c r="C69" s="305"/>
      <c r="J69" s="256">
        <f>J66/L66</f>
        <v>0.64125054355903666</v>
      </c>
      <c r="K69" s="257">
        <f>K66/L66</f>
        <v>0.35874945644096334</v>
      </c>
      <c r="O69" s="202"/>
      <c r="P69" s="202"/>
      <c r="R69" s="256" t="e">
        <f>R66/T66</f>
        <v>#REF!</v>
      </c>
      <c r="S69" s="257" t="e">
        <f>S66/T66</f>
        <v>#REF!</v>
      </c>
      <c r="T69" s="6"/>
      <c r="U69" s="256" t="e">
        <f>U66/W66</f>
        <v>#REF!</v>
      </c>
      <c r="V69" s="257" t="e">
        <f>V66/W66</f>
        <v>#REF!</v>
      </c>
      <c r="W69" s="252" t="s">
        <v>144</v>
      </c>
      <c r="X69" s="253">
        <v>42515</v>
      </c>
    </row>
    <row r="70" spans="3:29" x14ac:dyDescent="0.25">
      <c r="C70" s="306" t="s">
        <v>290</v>
      </c>
      <c r="O70" s="202"/>
      <c r="V70" s="202"/>
    </row>
    <row r="71" spans="3:29" x14ac:dyDescent="0.25">
      <c r="C71" s="305" t="s">
        <v>291</v>
      </c>
      <c r="O71" s="202"/>
      <c r="P71" s="202"/>
      <c r="Q71" s="202"/>
      <c r="R71" s="307"/>
      <c r="S71" s="307"/>
      <c r="T71" s="202"/>
      <c r="U71" s="202"/>
      <c r="V71" s="202"/>
      <c r="W71" s="202"/>
    </row>
    <row r="72" spans="3:29" x14ac:dyDescent="0.25">
      <c r="O72" s="202"/>
      <c r="P72" s="202"/>
      <c r="Q72" s="202"/>
      <c r="R72" s="202"/>
      <c r="S72" s="202"/>
      <c r="T72" s="263"/>
      <c r="U72" s="258"/>
      <c r="V72" s="258"/>
    </row>
    <row r="73" spans="3:29" x14ac:dyDescent="0.25">
      <c r="R73" s="202"/>
      <c r="S73" s="202"/>
    </row>
    <row r="74" spans="3:29" x14ac:dyDescent="0.25">
      <c r="R74" s="202"/>
      <c r="S74" s="202"/>
    </row>
    <row r="75" spans="3:29" x14ac:dyDescent="0.25">
      <c r="D75" s="264"/>
    </row>
  </sheetData>
  <mergeCells count="14">
    <mergeCell ref="J68:K68"/>
    <mergeCell ref="R68:S68"/>
    <mergeCell ref="U68:V68"/>
    <mergeCell ref="C1:X1"/>
    <mergeCell ref="X3:X4"/>
    <mergeCell ref="C66:E66"/>
    <mergeCell ref="M3:T3"/>
    <mergeCell ref="U3:W3"/>
    <mergeCell ref="C3:C4"/>
    <mergeCell ref="D3:D4"/>
    <mergeCell ref="E3:E4"/>
    <mergeCell ref="F3:F4"/>
    <mergeCell ref="G3:I3"/>
    <mergeCell ref="J3:L3"/>
  </mergeCells>
  <printOptions horizontalCentered="1"/>
  <pageMargins left="0.31496062992125984" right="0" top="0.78740157480314965" bottom="0.19685039370078741" header="0.31496062992125984" footer="0.31496062992125984"/>
  <pageSetup paperSize="8" scale="47" orientation="landscape" r:id="rId1"/>
  <headerFooter>
    <oddHeader>&amp;L&amp;G&amp;R&amp;9Diretoria de Tecnologia, Empreendimentos e Meio Ambiente - T
Superintendência de Gestão de Projetos Especiais - TG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B2:S99"/>
  <sheetViews>
    <sheetView zoomScale="80" zoomScaleNormal="80" workbookViewId="0">
      <selection activeCell="B5" sqref="B5:L5"/>
    </sheetView>
  </sheetViews>
  <sheetFormatPr defaultRowHeight="15" x14ac:dyDescent="0.25"/>
  <cols>
    <col min="1" max="1" width="1.140625" customWidth="1"/>
    <col min="2" max="2" width="55.28515625" customWidth="1"/>
    <col min="3" max="3" width="0.28515625" hidden="1" customWidth="1"/>
    <col min="4" max="4" width="3.140625" hidden="1" customWidth="1"/>
    <col min="5" max="5" width="20.42578125" customWidth="1"/>
    <col min="6" max="12" width="18.7109375" customWidth="1"/>
    <col min="13" max="13" width="15.28515625" customWidth="1"/>
    <col min="14" max="14" width="11.28515625" bestFit="1" customWidth="1"/>
  </cols>
  <sheetData>
    <row r="2" spans="2:19" ht="20.25" x14ac:dyDescent="0.3">
      <c r="B2" s="623" t="s">
        <v>110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</row>
    <row r="3" spans="2:19" ht="20.25" x14ac:dyDescent="0.3">
      <c r="B3" s="623" t="s">
        <v>111</v>
      </c>
      <c r="C3" s="623"/>
      <c r="D3" s="623"/>
      <c r="E3" s="623"/>
      <c r="F3" s="623"/>
      <c r="G3" s="623"/>
      <c r="H3" s="623"/>
      <c r="I3" s="623"/>
      <c r="J3" s="623"/>
      <c r="K3" s="623"/>
      <c r="L3" s="623"/>
    </row>
    <row r="4" spans="2:19" ht="20.25" x14ac:dyDescent="0.3">
      <c r="B4" s="623" t="s">
        <v>326</v>
      </c>
      <c r="C4" s="623"/>
      <c r="D4" s="623"/>
      <c r="E4" s="623"/>
      <c r="F4" s="623"/>
      <c r="G4" s="623"/>
      <c r="H4" s="623"/>
      <c r="I4" s="623"/>
      <c r="J4" s="623"/>
      <c r="K4" s="623"/>
      <c r="L4" s="623"/>
    </row>
    <row r="5" spans="2:19" ht="20.25" x14ac:dyDescent="0.3">
      <c r="B5" s="623" t="s">
        <v>337</v>
      </c>
      <c r="C5" s="623"/>
      <c r="D5" s="623"/>
      <c r="E5" s="623"/>
      <c r="F5" s="623"/>
      <c r="G5" s="623"/>
      <c r="H5" s="623"/>
      <c r="I5" s="623"/>
      <c r="J5" s="623"/>
      <c r="K5" s="623"/>
      <c r="L5" s="623"/>
      <c r="O5" s="661" t="s">
        <v>215</v>
      </c>
      <c r="P5" s="661"/>
      <c r="Q5" s="661"/>
      <c r="R5" s="661"/>
      <c r="S5" s="661"/>
    </row>
    <row r="6" spans="2:19" ht="28.5" customHeight="1" thickBot="1" x14ac:dyDescent="0.35">
      <c r="F6" s="111"/>
      <c r="G6" s="111"/>
      <c r="H6" s="111"/>
      <c r="I6" s="111"/>
      <c r="J6" s="111"/>
      <c r="L6" s="201" t="s">
        <v>145</v>
      </c>
      <c r="O6" s="351">
        <v>2016</v>
      </c>
      <c r="P6" s="351">
        <v>2017</v>
      </c>
      <c r="Q6" s="351">
        <v>2018</v>
      </c>
      <c r="R6" s="351">
        <v>2019</v>
      </c>
      <c r="S6" s="351">
        <v>2020</v>
      </c>
    </row>
    <row r="7" spans="2:19" ht="28.5" customHeight="1" thickBot="1" x14ac:dyDescent="0.3">
      <c r="B7" s="624" t="s">
        <v>146</v>
      </c>
      <c r="C7" s="625"/>
      <c r="D7" s="625"/>
      <c r="E7" s="630" t="s">
        <v>325</v>
      </c>
      <c r="F7" s="633" t="s">
        <v>263</v>
      </c>
      <c r="G7" s="634"/>
      <c r="H7" s="634"/>
      <c r="I7" s="634"/>
      <c r="J7" s="634"/>
      <c r="K7" s="635"/>
      <c r="L7" s="636" t="s">
        <v>327</v>
      </c>
      <c r="O7" s="350">
        <v>3.6393416666666667</v>
      </c>
      <c r="P7" s="350">
        <v>3.8027777777777776</v>
      </c>
      <c r="Q7" s="350">
        <v>3.9583333333333339</v>
      </c>
      <c r="R7" s="350">
        <v>4.0583333333333318</v>
      </c>
      <c r="S7" s="350">
        <v>4.0891666666666646</v>
      </c>
    </row>
    <row r="8" spans="2:19" ht="22.5" customHeight="1" x14ac:dyDescent="0.25">
      <c r="B8" s="626"/>
      <c r="C8" s="627"/>
      <c r="D8" s="627"/>
      <c r="E8" s="631"/>
      <c r="F8" s="639" t="s">
        <v>287</v>
      </c>
      <c r="G8" s="641">
        <v>2017</v>
      </c>
      <c r="H8" s="641">
        <v>2018</v>
      </c>
      <c r="I8" s="641">
        <v>2019</v>
      </c>
      <c r="J8" s="641">
        <v>2020</v>
      </c>
      <c r="K8" s="645" t="s">
        <v>4</v>
      </c>
      <c r="L8" s="637"/>
    </row>
    <row r="9" spans="2:19" ht="22.5" customHeight="1" thickBot="1" x14ac:dyDescent="0.3">
      <c r="B9" s="628"/>
      <c r="C9" s="629"/>
      <c r="D9" s="629"/>
      <c r="E9" s="632"/>
      <c r="F9" s="640"/>
      <c r="G9" s="642"/>
      <c r="H9" s="642"/>
      <c r="I9" s="642"/>
      <c r="J9" s="642"/>
      <c r="K9" s="646"/>
      <c r="L9" s="638"/>
    </row>
    <row r="10" spans="2:19" ht="39.950000000000003" customHeight="1" x14ac:dyDescent="0.25">
      <c r="B10" s="647" t="s">
        <v>85</v>
      </c>
      <c r="C10" s="648"/>
      <c r="D10" s="348"/>
      <c r="E10" s="116" t="e">
        <f t="shared" ref="E10" si="0">+E11+E12</f>
        <v>#REF!</v>
      </c>
      <c r="F10" s="118" t="e">
        <f>+F11+F12</f>
        <v>#REF!</v>
      </c>
      <c r="G10" s="119" t="e">
        <f t="shared" ref="G10:K10" si="1">+G11+G12</f>
        <v>#REF!</v>
      </c>
      <c r="H10" s="119" t="e">
        <f t="shared" si="1"/>
        <v>#REF!</v>
      </c>
      <c r="I10" s="119" t="e">
        <f t="shared" si="1"/>
        <v>#REF!</v>
      </c>
      <c r="J10" s="119" t="e">
        <f t="shared" si="1"/>
        <v>#REF!</v>
      </c>
      <c r="K10" s="327" t="e">
        <f t="shared" si="1"/>
        <v>#REF!</v>
      </c>
      <c r="L10" s="327" t="e">
        <f>+E10+K10</f>
        <v>#REF!</v>
      </c>
      <c r="M10" s="64"/>
    </row>
    <row r="11" spans="2:19" ht="27.95" customHeight="1" x14ac:dyDescent="0.25">
      <c r="B11" s="649" t="s">
        <v>288</v>
      </c>
      <c r="C11" s="650"/>
      <c r="D11" s="650"/>
      <c r="E11" s="339" t="e">
        <f>+E14+E17</f>
        <v>#REF!</v>
      </c>
      <c r="F11" s="328">
        <f>+F14+F17</f>
        <v>443.18733538345992</v>
      </c>
      <c r="G11" s="315">
        <f t="shared" ref="G11:J12" si="2">+G14+G17</f>
        <v>1391.3305244704163</v>
      </c>
      <c r="H11" s="315">
        <f t="shared" si="2"/>
        <v>3051.5123873684201</v>
      </c>
      <c r="I11" s="315">
        <f t="shared" si="2"/>
        <v>0</v>
      </c>
      <c r="J11" s="315">
        <f t="shared" si="2"/>
        <v>0</v>
      </c>
      <c r="K11" s="316">
        <f t="shared" ref="K11:K12" si="3">SUM(F11:J11)</f>
        <v>4886.0302472222966</v>
      </c>
      <c r="L11" s="316" t="e">
        <f t="shared" ref="L11:L47" si="4">+E11+K11</f>
        <v>#REF!</v>
      </c>
      <c r="M11" s="64"/>
    </row>
    <row r="12" spans="2:19" ht="27.95" customHeight="1" x14ac:dyDescent="0.25">
      <c r="B12" s="651" t="s">
        <v>271</v>
      </c>
      <c r="C12" s="652"/>
      <c r="D12" s="652"/>
      <c r="E12" s="340">
        <f>+E15+E18</f>
        <v>0</v>
      </c>
      <c r="F12" s="329" t="e">
        <f>+F15+F18</f>
        <v>#REF!</v>
      </c>
      <c r="G12" s="294" t="e">
        <f t="shared" si="2"/>
        <v>#REF!</v>
      </c>
      <c r="H12" s="294" t="e">
        <f t="shared" si="2"/>
        <v>#REF!</v>
      </c>
      <c r="I12" s="294" t="e">
        <f t="shared" si="2"/>
        <v>#REF!</v>
      </c>
      <c r="J12" s="294" t="e">
        <f t="shared" si="2"/>
        <v>#REF!</v>
      </c>
      <c r="K12" s="295" t="e">
        <f t="shared" si="3"/>
        <v>#REF!</v>
      </c>
      <c r="L12" s="295" t="e">
        <f t="shared" si="4"/>
        <v>#REF!</v>
      </c>
      <c r="M12" s="64"/>
    </row>
    <row r="13" spans="2:19" ht="27.95" customHeight="1" x14ac:dyDescent="0.25">
      <c r="B13" s="653" t="s">
        <v>86</v>
      </c>
      <c r="C13" s="654"/>
      <c r="D13" s="324"/>
      <c r="E13" s="341" t="e">
        <f t="shared" ref="E13:J13" si="5">+E14+E15</f>
        <v>#REF!</v>
      </c>
      <c r="F13" s="330" t="e">
        <f t="shared" si="5"/>
        <v>#REF!</v>
      </c>
      <c r="G13" s="331" t="e">
        <f t="shared" si="5"/>
        <v>#REF!</v>
      </c>
      <c r="H13" s="331" t="e">
        <f t="shared" si="5"/>
        <v>#REF!</v>
      </c>
      <c r="I13" s="331" t="e">
        <f t="shared" si="5"/>
        <v>#REF!</v>
      </c>
      <c r="J13" s="331" t="e">
        <f t="shared" si="5"/>
        <v>#REF!</v>
      </c>
      <c r="K13" s="317" t="e">
        <f>SUM(F13:J13)</f>
        <v>#REF!</v>
      </c>
      <c r="L13" s="317" t="e">
        <f t="shared" si="4"/>
        <v>#REF!</v>
      </c>
    </row>
    <row r="14" spans="2:19" ht="27.95" customHeight="1" x14ac:dyDescent="0.25">
      <c r="B14" s="649" t="s">
        <v>288</v>
      </c>
      <c r="C14" s="650"/>
      <c r="D14" s="650"/>
      <c r="E14" s="339" t="e">
        <f>#REF!/1000</f>
        <v>#REF!</v>
      </c>
      <c r="F14" s="328">
        <f>('Estimativa  R$ Anual'!U6/1000)/O7</f>
        <v>9.6171239761770106</v>
      </c>
      <c r="G14" s="318">
        <f>('Estimativa  R$ Anual'!AH8/1000)/P7</f>
        <v>0</v>
      </c>
      <c r="H14" s="318">
        <v>0</v>
      </c>
      <c r="I14" s="318">
        <v>0</v>
      </c>
      <c r="J14" s="318">
        <v>0</v>
      </c>
      <c r="K14" s="316">
        <f t="shared" ref="K14:K18" si="6">SUM(F14:J14)</f>
        <v>9.6171239761770106</v>
      </c>
      <c r="L14" s="316" t="e">
        <f t="shared" si="4"/>
        <v>#REF!</v>
      </c>
    </row>
    <row r="15" spans="2:19" ht="27.95" customHeight="1" x14ac:dyDescent="0.25">
      <c r="B15" s="651" t="s">
        <v>271</v>
      </c>
      <c r="C15" s="652"/>
      <c r="D15" s="652"/>
      <c r="E15" s="340">
        <v>0</v>
      </c>
      <c r="F15" s="329" t="e">
        <f>(#REF!/1000)/O7</f>
        <v>#REF!</v>
      </c>
      <c r="G15" s="293" t="e">
        <f>(#REF!/1000)/P7</f>
        <v>#REF!</v>
      </c>
      <c r="H15" s="293" t="e">
        <f>(#REF!/1000)/Q7</f>
        <v>#REF!</v>
      </c>
      <c r="I15" s="293" t="e">
        <f>(#REF!/1000)/R7</f>
        <v>#REF!</v>
      </c>
      <c r="J15" s="293" t="e">
        <f>(#REF!/1000)/S7</f>
        <v>#REF!</v>
      </c>
      <c r="K15" s="295" t="e">
        <f t="shared" si="6"/>
        <v>#REF!</v>
      </c>
      <c r="L15" s="295" t="e">
        <f t="shared" si="4"/>
        <v>#REF!</v>
      </c>
    </row>
    <row r="16" spans="2:19" ht="27.95" customHeight="1" x14ac:dyDescent="0.25">
      <c r="B16" s="653" t="s">
        <v>87</v>
      </c>
      <c r="C16" s="654"/>
      <c r="D16" s="324"/>
      <c r="E16" s="341" t="e">
        <f t="shared" ref="E16:J16" si="7">+E17+E18</f>
        <v>#REF!</v>
      </c>
      <c r="F16" s="330" t="e">
        <f t="shared" si="7"/>
        <v>#REF!</v>
      </c>
      <c r="G16" s="331" t="e">
        <f t="shared" si="7"/>
        <v>#REF!</v>
      </c>
      <c r="H16" s="331" t="e">
        <f t="shared" si="7"/>
        <v>#REF!</v>
      </c>
      <c r="I16" s="331" t="e">
        <f t="shared" si="7"/>
        <v>#REF!</v>
      </c>
      <c r="J16" s="331" t="e">
        <f t="shared" si="7"/>
        <v>#REF!</v>
      </c>
      <c r="K16" s="317" t="e">
        <f t="shared" si="6"/>
        <v>#REF!</v>
      </c>
      <c r="L16" s="317" t="e">
        <f t="shared" si="4"/>
        <v>#REF!</v>
      </c>
    </row>
    <row r="17" spans="2:13" ht="27.95" customHeight="1" x14ac:dyDescent="0.25">
      <c r="B17" s="649" t="s">
        <v>288</v>
      </c>
      <c r="C17" s="650"/>
      <c r="D17" s="650"/>
      <c r="E17" s="339" t="e">
        <f>#REF!/1000</f>
        <v>#REF!</v>
      </c>
      <c r="F17" s="328">
        <f>('Estimativa  R$ Anual'!U9/1000)/O7</f>
        <v>433.5702114072829</v>
      </c>
      <c r="G17" s="318">
        <f>('Estimativa  R$ Anual'!AH9/1000)/P7</f>
        <v>1391.3305244704163</v>
      </c>
      <c r="H17" s="318">
        <f>('Estimativa  R$ Anual'!AU9/1000)/Q7</f>
        <v>3051.5123873684201</v>
      </c>
      <c r="I17" s="318">
        <v>0</v>
      </c>
      <c r="J17" s="318">
        <v>0</v>
      </c>
      <c r="K17" s="316">
        <f t="shared" si="6"/>
        <v>4876.4131232461195</v>
      </c>
      <c r="L17" s="316" t="e">
        <f t="shared" si="4"/>
        <v>#REF!</v>
      </c>
    </row>
    <row r="18" spans="2:13" ht="27.95" customHeight="1" thickBot="1" x14ac:dyDescent="0.3">
      <c r="B18" s="643" t="s">
        <v>271</v>
      </c>
      <c r="C18" s="644"/>
      <c r="D18" s="644"/>
      <c r="E18" s="340">
        <v>0</v>
      </c>
      <c r="F18" s="329" t="e">
        <f>(#REF!/1000)/O7</f>
        <v>#REF!</v>
      </c>
      <c r="G18" s="293" t="e">
        <f>(#REF!/1000)/P7</f>
        <v>#REF!</v>
      </c>
      <c r="H18" s="293" t="e">
        <f>(#REF!/1000)/Q7</f>
        <v>#REF!</v>
      </c>
      <c r="I18" s="293" t="e">
        <f>(#REF!/1000)/R7</f>
        <v>#REF!</v>
      </c>
      <c r="J18" s="293" t="e">
        <f>(#REF!/1000)/S7</f>
        <v>#REF!</v>
      </c>
      <c r="K18" s="295" t="e">
        <f t="shared" si="6"/>
        <v>#REF!</v>
      </c>
      <c r="L18" s="295" t="e">
        <f t="shared" si="4"/>
        <v>#REF!</v>
      </c>
    </row>
    <row r="19" spans="2:13" ht="39.950000000000003" customHeight="1" x14ac:dyDescent="0.25">
      <c r="B19" s="647" t="s">
        <v>88</v>
      </c>
      <c r="C19" s="648"/>
      <c r="D19" s="348"/>
      <c r="E19" s="116" t="e">
        <f>+E20+E21</f>
        <v>#REF!</v>
      </c>
      <c r="F19" s="118" t="e">
        <f>+F20+F21</f>
        <v>#REF!</v>
      </c>
      <c r="G19" s="119" t="e">
        <f t="shared" ref="G19:J19" si="8">+G20+G21</f>
        <v>#REF!</v>
      </c>
      <c r="H19" s="119" t="e">
        <f t="shared" si="8"/>
        <v>#REF!</v>
      </c>
      <c r="I19" s="119" t="e">
        <f t="shared" si="8"/>
        <v>#REF!</v>
      </c>
      <c r="J19" s="119" t="e">
        <f t="shared" si="8"/>
        <v>#REF!</v>
      </c>
      <c r="K19" s="327" t="e">
        <f>SUM(F19:J19)</f>
        <v>#REF!</v>
      </c>
      <c r="L19" s="327" t="e">
        <f t="shared" si="4"/>
        <v>#REF!</v>
      </c>
      <c r="M19" s="64"/>
    </row>
    <row r="20" spans="2:13" ht="27.95" customHeight="1" x14ac:dyDescent="0.25">
      <c r="B20" s="649" t="s">
        <v>288</v>
      </c>
      <c r="C20" s="650"/>
      <c r="D20" s="650"/>
      <c r="E20" s="339" t="e">
        <f>+E23+E38</f>
        <v>#REF!</v>
      </c>
      <c r="F20" s="328">
        <f>+F23+F38</f>
        <v>30906.655973375699</v>
      </c>
      <c r="G20" s="315">
        <f t="shared" ref="G20:J21" si="9">+G23+G38</f>
        <v>30736.992712473846</v>
      </c>
      <c r="H20" s="315">
        <f t="shared" si="9"/>
        <v>13792.385657415236</v>
      </c>
      <c r="I20" s="315" t="e">
        <f t="shared" si="9"/>
        <v>#REF!</v>
      </c>
      <c r="J20" s="315" t="e">
        <f t="shared" si="9"/>
        <v>#REF!</v>
      </c>
      <c r="K20" s="316" t="e">
        <f t="shared" ref="K20:K21" si="10">SUM(F20:J20)</f>
        <v>#REF!</v>
      </c>
      <c r="L20" s="316" t="e">
        <f t="shared" si="4"/>
        <v>#REF!</v>
      </c>
      <c r="M20" s="64"/>
    </row>
    <row r="21" spans="2:13" ht="27.95" customHeight="1" x14ac:dyDescent="0.25">
      <c r="B21" s="651" t="s">
        <v>271</v>
      </c>
      <c r="C21" s="652"/>
      <c r="D21" s="652"/>
      <c r="E21" s="340">
        <f>+E24+E39</f>
        <v>0</v>
      </c>
      <c r="F21" s="329" t="e">
        <f>+F24+F39</f>
        <v>#REF!</v>
      </c>
      <c r="G21" s="294" t="e">
        <f t="shared" si="9"/>
        <v>#REF!</v>
      </c>
      <c r="H21" s="294" t="e">
        <f t="shared" si="9"/>
        <v>#REF!</v>
      </c>
      <c r="I21" s="294" t="e">
        <f t="shared" si="9"/>
        <v>#REF!</v>
      </c>
      <c r="J21" s="294" t="e">
        <f t="shared" si="9"/>
        <v>#REF!</v>
      </c>
      <c r="K21" s="295" t="e">
        <f t="shared" si="10"/>
        <v>#REF!</v>
      </c>
      <c r="L21" s="295" t="e">
        <f t="shared" si="4"/>
        <v>#REF!</v>
      </c>
      <c r="M21" s="64"/>
    </row>
    <row r="22" spans="2:13" s="114" customFormat="1" ht="27.95" customHeight="1" x14ac:dyDescent="0.25">
      <c r="B22" s="653" t="s">
        <v>89</v>
      </c>
      <c r="C22" s="654"/>
      <c r="D22" s="324"/>
      <c r="E22" s="342" t="e">
        <f>+E23+E24</f>
        <v>#REF!</v>
      </c>
      <c r="F22" s="330" t="e">
        <f>+F23+F24</f>
        <v>#REF!</v>
      </c>
      <c r="G22" s="331" t="e">
        <f t="shared" ref="G22:J22" si="11">+G23+G24</f>
        <v>#REF!</v>
      </c>
      <c r="H22" s="331" t="e">
        <f t="shared" si="11"/>
        <v>#REF!</v>
      </c>
      <c r="I22" s="331" t="e">
        <f t="shared" si="11"/>
        <v>#REF!</v>
      </c>
      <c r="J22" s="331" t="e">
        <f t="shared" si="11"/>
        <v>#REF!</v>
      </c>
      <c r="K22" s="319" t="e">
        <f>SUM(F22:J22)</f>
        <v>#REF!</v>
      </c>
      <c r="L22" s="319" t="e">
        <f t="shared" si="4"/>
        <v>#REF!</v>
      </c>
      <c r="M22" s="64"/>
    </row>
    <row r="23" spans="2:13" s="114" customFormat="1" ht="27.95" customHeight="1" x14ac:dyDescent="0.25">
      <c r="B23" s="649" t="s">
        <v>288</v>
      </c>
      <c r="C23" s="650"/>
      <c r="D23" s="650"/>
      <c r="E23" s="339" t="e">
        <f>+E26+E29+E32</f>
        <v>#REF!</v>
      </c>
      <c r="F23" s="328">
        <f>+F26+F29+F32+F35</f>
        <v>29186.681277203643</v>
      </c>
      <c r="G23" s="315">
        <f t="shared" ref="G23:J24" si="12">+G26+G29+G32+G35</f>
        <v>27972.473301387876</v>
      </c>
      <c r="H23" s="315">
        <f t="shared" si="12"/>
        <v>12977.325392502569</v>
      </c>
      <c r="I23" s="315">
        <f t="shared" si="12"/>
        <v>0</v>
      </c>
      <c r="J23" s="315">
        <f t="shared" si="12"/>
        <v>0</v>
      </c>
      <c r="K23" s="316">
        <f t="shared" ref="K23:K24" si="13">SUM(F23:J23)</f>
        <v>70136.479971094086</v>
      </c>
      <c r="L23" s="316" t="e">
        <f t="shared" si="4"/>
        <v>#REF!</v>
      </c>
      <c r="M23" s="64"/>
    </row>
    <row r="24" spans="2:13" s="114" customFormat="1" ht="27.95" customHeight="1" x14ac:dyDescent="0.25">
      <c r="B24" s="651" t="s">
        <v>271</v>
      </c>
      <c r="C24" s="652"/>
      <c r="D24" s="652"/>
      <c r="E24" s="340">
        <f>+E27+E30+E33</f>
        <v>0</v>
      </c>
      <c r="F24" s="329" t="e">
        <f>+F27+F30+F33+F36</f>
        <v>#REF!</v>
      </c>
      <c r="G24" s="294" t="e">
        <f t="shared" si="12"/>
        <v>#REF!</v>
      </c>
      <c r="H24" s="294" t="e">
        <f t="shared" si="12"/>
        <v>#REF!</v>
      </c>
      <c r="I24" s="294" t="e">
        <f t="shared" si="12"/>
        <v>#REF!</v>
      </c>
      <c r="J24" s="294" t="e">
        <f t="shared" si="12"/>
        <v>#REF!</v>
      </c>
      <c r="K24" s="295" t="e">
        <f t="shared" si="13"/>
        <v>#REF!</v>
      </c>
      <c r="L24" s="295" t="e">
        <f t="shared" si="4"/>
        <v>#REF!</v>
      </c>
      <c r="M24" s="64"/>
    </row>
    <row r="25" spans="2:13" ht="27.95" customHeight="1" x14ac:dyDescent="0.25">
      <c r="B25" s="141" t="s">
        <v>174</v>
      </c>
      <c r="C25" s="142"/>
      <c r="D25" s="325"/>
      <c r="E25" s="342" t="e">
        <f>+E26+E27</f>
        <v>#REF!</v>
      </c>
      <c r="F25" s="330" t="e">
        <f>+F26+F27</f>
        <v>#REF!</v>
      </c>
      <c r="G25" s="331" t="e">
        <f t="shared" ref="G25:J25" si="14">+G26+G27</f>
        <v>#REF!</v>
      </c>
      <c r="H25" s="331" t="e">
        <f t="shared" si="14"/>
        <v>#REF!</v>
      </c>
      <c r="I25" s="331" t="e">
        <f t="shared" si="14"/>
        <v>#REF!</v>
      </c>
      <c r="J25" s="331" t="e">
        <f t="shared" si="14"/>
        <v>#REF!</v>
      </c>
      <c r="K25" s="319" t="e">
        <f>SUM(F25:J25)</f>
        <v>#REF!</v>
      </c>
      <c r="L25" s="319" t="e">
        <f t="shared" si="4"/>
        <v>#REF!</v>
      </c>
      <c r="M25" s="64"/>
    </row>
    <row r="26" spans="2:13" ht="27.95" customHeight="1" x14ac:dyDescent="0.25">
      <c r="B26" s="655" t="s">
        <v>288</v>
      </c>
      <c r="C26" s="656"/>
      <c r="D26" s="656"/>
      <c r="E26" s="339" t="e">
        <f>#REF!/1000</f>
        <v>#REF!</v>
      </c>
      <c r="F26" s="328">
        <f>('Estimativa  R$ Anual'!U25/1000)/O7</f>
        <v>12668.267850782664</v>
      </c>
      <c r="G26" s="315">
        <f>('Estimativa  R$ Anual'!AH25/1000)/P7</f>
        <v>19829.541563184808</v>
      </c>
      <c r="H26" s="315">
        <f>('Estimativa  R$ Anual'!AU25/1000)/Q7</f>
        <v>12977.325392502569</v>
      </c>
      <c r="I26" s="315">
        <v>0</v>
      </c>
      <c r="J26" s="315">
        <v>0</v>
      </c>
      <c r="K26" s="316">
        <f t="shared" ref="K26:K27" si="15">SUM(F26:J26)</f>
        <v>45475.134806470043</v>
      </c>
      <c r="L26" s="316" t="e">
        <f t="shared" si="4"/>
        <v>#REF!</v>
      </c>
      <c r="M26" s="64"/>
    </row>
    <row r="27" spans="2:13" ht="27.95" customHeight="1" x14ac:dyDescent="0.25">
      <c r="B27" s="657" t="s">
        <v>271</v>
      </c>
      <c r="C27" s="658"/>
      <c r="D27" s="658"/>
      <c r="E27" s="340">
        <v>0</v>
      </c>
      <c r="F27" s="329" t="e">
        <f>(#REF!/1000)/O7</f>
        <v>#REF!</v>
      </c>
      <c r="G27" s="294" t="e">
        <f>(#REF!/1000)/P7</f>
        <v>#REF!</v>
      </c>
      <c r="H27" s="294" t="e">
        <f>(#REF!/1000)/Q7</f>
        <v>#REF!</v>
      </c>
      <c r="I27" s="294" t="e">
        <f>(#REF!/1000)/R7</f>
        <v>#REF!</v>
      </c>
      <c r="J27" s="294" t="e">
        <f>(#REF!/1000)/S7</f>
        <v>#REF!</v>
      </c>
      <c r="K27" s="295" t="e">
        <f t="shared" si="15"/>
        <v>#REF!</v>
      </c>
      <c r="L27" s="295" t="e">
        <f t="shared" si="4"/>
        <v>#REF!</v>
      </c>
      <c r="M27" s="64"/>
    </row>
    <row r="28" spans="2:13" ht="27.95" customHeight="1" x14ac:dyDescent="0.25">
      <c r="B28" s="141" t="s">
        <v>190</v>
      </c>
      <c r="C28" s="142"/>
      <c r="D28" s="325"/>
      <c r="E28" s="342" t="e">
        <f>+E29+E30</f>
        <v>#REF!</v>
      </c>
      <c r="F28" s="330" t="e">
        <f>+F29+F30</f>
        <v>#REF!</v>
      </c>
      <c r="G28" s="331" t="e">
        <f t="shared" ref="G28:J28" si="16">+G29+G30</f>
        <v>#REF!</v>
      </c>
      <c r="H28" s="331" t="e">
        <f t="shared" si="16"/>
        <v>#REF!</v>
      </c>
      <c r="I28" s="331" t="e">
        <f t="shared" si="16"/>
        <v>#REF!</v>
      </c>
      <c r="J28" s="331" t="e">
        <f t="shared" si="16"/>
        <v>#REF!</v>
      </c>
      <c r="K28" s="319" t="e">
        <f>SUM(F28:J28)</f>
        <v>#REF!</v>
      </c>
      <c r="L28" s="319" t="e">
        <f t="shared" si="4"/>
        <v>#REF!</v>
      </c>
      <c r="M28" s="64"/>
    </row>
    <row r="29" spans="2:13" ht="27.95" customHeight="1" x14ac:dyDescent="0.25">
      <c r="B29" s="655" t="s">
        <v>288</v>
      </c>
      <c r="C29" s="656"/>
      <c r="D29" s="656"/>
      <c r="E29" s="339" t="e">
        <f>#REF!/1000</f>
        <v>#REF!</v>
      </c>
      <c r="F29" s="328">
        <f>('Estimativa  R$ Anual'!U35/1000)/O7</f>
        <v>398.42370758447612</v>
      </c>
      <c r="G29" s="315">
        <v>0</v>
      </c>
      <c r="H29" s="315">
        <v>0</v>
      </c>
      <c r="I29" s="315">
        <v>0</v>
      </c>
      <c r="J29" s="315">
        <v>0</v>
      </c>
      <c r="K29" s="316">
        <f t="shared" ref="K29:K30" si="17">SUM(F29:J29)</f>
        <v>398.42370758447612</v>
      </c>
      <c r="L29" s="316" t="e">
        <f t="shared" si="4"/>
        <v>#REF!</v>
      </c>
      <c r="M29" s="64"/>
    </row>
    <row r="30" spans="2:13" ht="27.95" customHeight="1" x14ac:dyDescent="0.25">
      <c r="B30" s="657" t="s">
        <v>271</v>
      </c>
      <c r="C30" s="658"/>
      <c r="D30" s="658"/>
      <c r="E30" s="340">
        <v>0</v>
      </c>
      <c r="F30" s="329" t="e">
        <f>(#REF!/1000)/O7</f>
        <v>#REF!</v>
      </c>
      <c r="G30" s="294" t="e">
        <f>(#REF!/1000)/P7</f>
        <v>#REF!</v>
      </c>
      <c r="H30" s="294" t="e">
        <f>(#REF!/1000)/Q7</f>
        <v>#REF!</v>
      </c>
      <c r="I30" s="294" t="e">
        <f>(#REF!/1000)/R7</f>
        <v>#REF!</v>
      </c>
      <c r="J30" s="294" t="e">
        <f>(#REF!/1000)/S7</f>
        <v>#REF!</v>
      </c>
      <c r="K30" s="295" t="e">
        <f t="shared" si="17"/>
        <v>#REF!</v>
      </c>
      <c r="L30" s="295" t="e">
        <f t="shared" si="4"/>
        <v>#REF!</v>
      </c>
      <c r="M30" s="64"/>
    </row>
    <row r="31" spans="2:13" ht="27.95" customHeight="1" x14ac:dyDescent="0.25">
      <c r="B31" s="141" t="s">
        <v>199</v>
      </c>
      <c r="C31" s="142"/>
      <c r="D31" s="325"/>
      <c r="E31" s="342" t="e">
        <f>+E32+E33</f>
        <v>#REF!</v>
      </c>
      <c r="F31" s="330" t="e">
        <f>+F32+F33</f>
        <v>#REF!</v>
      </c>
      <c r="G31" s="331" t="e">
        <f t="shared" ref="G31:J31" si="18">+G32+G33</f>
        <v>#REF!</v>
      </c>
      <c r="H31" s="331" t="e">
        <f t="shared" si="18"/>
        <v>#REF!</v>
      </c>
      <c r="I31" s="331" t="e">
        <f t="shared" si="18"/>
        <v>#REF!</v>
      </c>
      <c r="J31" s="331" t="e">
        <f t="shared" si="18"/>
        <v>#REF!</v>
      </c>
      <c r="K31" s="319" t="e">
        <f>SUM(F31:J31)</f>
        <v>#REF!</v>
      </c>
      <c r="L31" s="319" t="e">
        <f t="shared" si="4"/>
        <v>#REF!</v>
      </c>
      <c r="M31" s="64"/>
    </row>
    <row r="32" spans="2:13" ht="27.95" customHeight="1" x14ac:dyDescent="0.25">
      <c r="B32" s="655" t="s">
        <v>288</v>
      </c>
      <c r="C32" s="656"/>
      <c r="D32" s="656"/>
      <c r="E32" s="339" t="e">
        <f>#REF!/1000</f>
        <v>#REF!</v>
      </c>
      <c r="F32" s="328">
        <f>('Estimativa  R$ Anual'!U43/1000)/O7</f>
        <v>16119.989718836505</v>
      </c>
      <c r="G32" s="315">
        <f>('Estimativa  R$ Anual'!AH43/1000)/P7</f>
        <v>8142.9317382030686</v>
      </c>
      <c r="H32" s="315">
        <v>0</v>
      </c>
      <c r="I32" s="315">
        <v>0</v>
      </c>
      <c r="J32" s="315">
        <v>0</v>
      </c>
      <c r="K32" s="316">
        <f t="shared" ref="K32:K39" si="19">SUM(F32:J32)</f>
        <v>24262.921457039574</v>
      </c>
      <c r="L32" s="316" t="e">
        <f t="shared" si="4"/>
        <v>#REF!</v>
      </c>
      <c r="M32" s="64"/>
    </row>
    <row r="33" spans="2:14" ht="27.95" customHeight="1" x14ac:dyDescent="0.25">
      <c r="B33" s="657" t="s">
        <v>271</v>
      </c>
      <c r="C33" s="658"/>
      <c r="D33" s="658"/>
      <c r="E33" s="340">
        <v>0</v>
      </c>
      <c r="F33" s="329" t="e">
        <f>(#REF!/1000)/O7</f>
        <v>#REF!</v>
      </c>
      <c r="G33" s="294" t="e">
        <f>(#REF!/1000)/P7</f>
        <v>#REF!</v>
      </c>
      <c r="H33" s="294" t="e">
        <f>(#REF!/1000)/Q7</f>
        <v>#REF!</v>
      </c>
      <c r="I33" s="294" t="e">
        <f>(#REF!/1000)/R7</f>
        <v>#REF!</v>
      </c>
      <c r="J33" s="294" t="e">
        <f>(#REF!/1000)/S7</f>
        <v>#REF!</v>
      </c>
      <c r="K33" s="295" t="e">
        <f t="shared" si="19"/>
        <v>#REF!</v>
      </c>
      <c r="L33" s="295" t="e">
        <f t="shared" si="4"/>
        <v>#REF!</v>
      </c>
      <c r="M33" s="64"/>
    </row>
    <row r="34" spans="2:14" ht="27.95" customHeight="1" x14ac:dyDescent="0.25">
      <c r="B34" s="141" t="s">
        <v>289</v>
      </c>
      <c r="C34" s="142"/>
      <c r="D34" s="325"/>
      <c r="E34" s="342" t="e">
        <f>+E35+E36</f>
        <v>#REF!</v>
      </c>
      <c r="F34" s="330" t="e">
        <f>+F35+F36</f>
        <v>#REF!</v>
      </c>
      <c r="G34" s="331" t="e">
        <f t="shared" ref="G34:J34" si="20">+G35+G36</f>
        <v>#REF!</v>
      </c>
      <c r="H34" s="331" t="e">
        <f t="shared" si="20"/>
        <v>#REF!</v>
      </c>
      <c r="I34" s="331" t="e">
        <f t="shared" si="20"/>
        <v>#REF!</v>
      </c>
      <c r="J34" s="331" t="e">
        <f t="shared" si="20"/>
        <v>#REF!</v>
      </c>
      <c r="K34" s="319" t="e">
        <f>SUM(F34:J34)</f>
        <v>#REF!</v>
      </c>
      <c r="L34" s="319" t="e">
        <f t="shared" si="4"/>
        <v>#REF!</v>
      </c>
      <c r="M34" s="64"/>
    </row>
    <row r="35" spans="2:14" ht="27.95" customHeight="1" x14ac:dyDescent="0.25">
      <c r="B35" s="655" t="s">
        <v>288</v>
      </c>
      <c r="C35" s="656"/>
      <c r="D35" s="656"/>
      <c r="E35" s="339" t="e">
        <f>#REF!/1000</f>
        <v>#REF!</v>
      </c>
      <c r="F35" s="328">
        <v>0</v>
      </c>
      <c r="G35" s="315">
        <v>0</v>
      </c>
      <c r="H35" s="315">
        <v>0</v>
      </c>
      <c r="I35" s="315">
        <v>0</v>
      </c>
      <c r="J35" s="315">
        <v>0</v>
      </c>
      <c r="K35" s="316">
        <f t="shared" ref="K35:K36" si="21">SUM(F35:J35)</f>
        <v>0</v>
      </c>
      <c r="L35" s="316" t="e">
        <f t="shared" si="4"/>
        <v>#REF!</v>
      </c>
      <c r="M35" s="64"/>
    </row>
    <row r="36" spans="2:14" ht="27.95" customHeight="1" x14ac:dyDescent="0.25">
      <c r="B36" s="657" t="s">
        <v>271</v>
      </c>
      <c r="C36" s="658"/>
      <c r="D36" s="658"/>
      <c r="E36" s="340">
        <v>0</v>
      </c>
      <c r="F36" s="329" t="e">
        <f>(#REF!/1000)/O7</f>
        <v>#REF!</v>
      </c>
      <c r="G36" s="294" t="e">
        <f>(#REF!/1000)/P7</f>
        <v>#REF!</v>
      </c>
      <c r="H36" s="294" t="e">
        <f>(#REF!/1000)/Q7</f>
        <v>#REF!</v>
      </c>
      <c r="I36" s="294" t="e">
        <f>(#REF!/1000)/R7</f>
        <v>#REF!</v>
      </c>
      <c r="J36" s="294" t="e">
        <f>(#REF!/1000)/S7</f>
        <v>#REF!</v>
      </c>
      <c r="K36" s="295" t="e">
        <f t="shared" si="21"/>
        <v>#REF!</v>
      </c>
      <c r="L36" s="295" t="e">
        <f t="shared" si="4"/>
        <v>#REF!</v>
      </c>
      <c r="M36" s="64"/>
    </row>
    <row r="37" spans="2:14" ht="27.95" customHeight="1" x14ac:dyDescent="0.25">
      <c r="B37" s="653" t="s">
        <v>90</v>
      </c>
      <c r="C37" s="654"/>
      <c r="D37" s="324"/>
      <c r="E37" s="342" t="e">
        <f>+E38+E39</f>
        <v>#REF!</v>
      </c>
      <c r="F37" s="330" t="e">
        <f>+F38+F39</f>
        <v>#REF!</v>
      </c>
      <c r="G37" s="331" t="e">
        <f t="shared" ref="G37:J37" si="22">+G38+G39</f>
        <v>#REF!</v>
      </c>
      <c r="H37" s="331" t="e">
        <f t="shared" si="22"/>
        <v>#REF!</v>
      </c>
      <c r="I37" s="331" t="e">
        <f t="shared" si="22"/>
        <v>#REF!</v>
      </c>
      <c r="J37" s="331" t="e">
        <f t="shared" si="22"/>
        <v>#REF!</v>
      </c>
      <c r="K37" s="319" t="e">
        <f>SUM(F37:J37)</f>
        <v>#REF!</v>
      </c>
      <c r="L37" s="319" t="e">
        <f t="shared" si="4"/>
        <v>#REF!</v>
      </c>
      <c r="M37" s="64"/>
    </row>
    <row r="38" spans="2:14" ht="27.95" customHeight="1" x14ac:dyDescent="0.25">
      <c r="B38" s="649" t="s">
        <v>288</v>
      </c>
      <c r="C38" s="650"/>
      <c r="D38" s="650"/>
      <c r="E38" s="339" t="e">
        <f>#REF!/1000</f>
        <v>#REF!</v>
      </c>
      <c r="F38" s="328">
        <f>('Estimativa  R$ Anual'!U48/1000)/O7</f>
        <v>1719.9746961720555</v>
      </c>
      <c r="G38" s="315">
        <f>('Estimativa  R$ Anual'!AH48/1000)/P7</f>
        <v>2764.519411085972</v>
      </c>
      <c r="H38" s="315">
        <f>('Estimativa  R$ Anual'!AU48/1000)/Q7</f>
        <v>815.06026491266607</v>
      </c>
      <c r="I38" s="315" t="e">
        <f>(#REF!/1000)/R7</f>
        <v>#REF!</v>
      </c>
      <c r="J38" s="315" t="e">
        <f>(#REF!/1000)/S7</f>
        <v>#REF!</v>
      </c>
      <c r="K38" s="316" t="e">
        <f t="shared" si="19"/>
        <v>#REF!</v>
      </c>
      <c r="L38" s="316" t="e">
        <f t="shared" si="4"/>
        <v>#REF!</v>
      </c>
      <c r="M38" s="64"/>
    </row>
    <row r="39" spans="2:14" ht="27.95" customHeight="1" thickBot="1" x14ac:dyDescent="0.3">
      <c r="B39" s="643" t="s">
        <v>271</v>
      </c>
      <c r="C39" s="644"/>
      <c r="D39" s="644"/>
      <c r="E39" s="340">
        <v>0</v>
      </c>
      <c r="F39" s="329" t="e">
        <f>(#REF!/1000)/O7</f>
        <v>#REF!</v>
      </c>
      <c r="G39" s="294" t="e">
        <f>(#REF!/1000)/P7</f>
        <v>#REF!</v>
      </c>
      <c r="H39" s="294" t="e">
        <f>(#REF!/1000)/Q7</f>
        <v>#REF!</v>
      </c>
      <c r="I39" s="294" t="e">
        <f>(#REF!/1000)/R7</f>
        <v>#REF!</v>
      </c>
      <c r="J39" s="294" t="e">
        <f>(#REF!/1000)/S7</f>
        <v>#REF!</v>
      </c>
      <c r="K39" s="295" t="e">
        <f t="shared" si="19"/>
        <v>#REF!</v>
      </c>
      <c r="L39" s="295" t="e">
        <f t="shared" si="4"/>
        <v>#REF!</v>
      </c>
      <c r="M39" s="64"/>
    </row>
    <row r="40" spans="2:14" s="148" customFormat="1" ht="39.950000000000003" customHeight="1" thickBot="1" x14ac:dyDescent="0.3">
      <c r="B40" s="664" t="s">
        <v>211</v>
      </c>
      <c r="C40" s="665"/>
      <c r="D40" s="326"/>
      <c r="E40" s="343" t="e">
        <f t="shared" ref="E40:J40" si="23">+E41+E42</f>
        <v>#REF!</v>
      </c>
      <c r="F40" s="332" t="e">
        <f t="shared" si="23"/>
        <v>#REF!</v>
      </c>
      <c r="G40" s="333" t="e">
        <f t="shared" si="23"/>
        <v>#REF!</v>
      </c>
      <c r="H40" s="333" t="e">
        <f t="shared" si="23"/>
        <v>#REF!</v>
      </c>
      <c r="I40" s="333" t="e">
        <f t="shared" si="23"/>
        <v>#REF!</v>
      </c>
      <c r="J40" s="333" t="e">
        <f t="shared" si="23"/>
        <v>#REF!</v>
      </c>
      <c r="K40" s="334" t="e">
        <f>+F40+G40+H40+I40+J40</f>
        <v>#REF!</v>
      </c>
      <c r="L40" s="334" t="e">
        <f t="shared" si="4"/>
        <v>#REF!</v>
      </c>
      <c r="M40" s="64"/>
    </row>
    <row r="41" spans="2:14" s="148" customFormat="1" ht="27.95" customHeight="1" x14ac:dyDescent="0.25">
      <c r="B41" s="662" t="s">
        <v>288</v>
      </c>
      <c r="C41" s="663"/>
      <c r="D41" s="663"/>
      <c r="E41" s="344" t="e">
        <f>#REF!/1000</f>
        <v>#REF!</v>
      </c>
      <c r="F41" s="335" t="e">
        <f>#REF!/1000</f>
        <v>#REF!</v>
      </c>
      <c r="G41" s="313" t="e">
        <f>#REF!/1000</f>
        <v>#REF!</v>
      </c>
      <c r="H41" s="313" t="e">
        <f>#REF!/1000</f>
        <v>#REF!</v>
      </c>
      <c r="I41" s="313" t="e">
        <f>#REF!/1000</f>
        <v>#REF!</v>
      </c>
      <c r="J41" s="313" t="e">
        <f>#REF!/1000</f>
        <v>#REF!</v>
      </c>
      <c r="K41" s="314" t="e">
        <f>SUM(F41:J41)</f>
        <v>#REF!</v>
      </c>
      <c r="L41" s="314" t="e">
        <f t="shared" si="4"/>
        <v>#REF!</v>
      </c>
      <c r="M41" s="64"/>
    </row>
    <row r="42" spans="2:14" s="148" customFormat="1" ht="27.95" customHeight="1" thickBot="1" x14ac:dyDescent="0.3">
      <c r="B42" s="643" t="s">
        <v>271</v>
      </c>
      <c r="C42" s="644"/>
      <c r="D42" s="644"/>
      <c r="E42" s="340">
        <v>0</v>
      </c>
      <c r="F42" s="329" t="e">
        <f>#REF!/1000</f>
        <v>#REF!</v>
      </c>
      <c r="G42" s="294" t="e">
        <f>#REF!/1000</f>
        <v>#REF!</v>
      </c>
      <c r="H42" s="294" t="e">
        <f>#REF!/1000</f>
        <v>#REF!</v>
      </c>
      <c r="I42" s="294" t="e">
        <f>#REF!/1000</f>
        <v>#REF!</v>
      </c>
      <c r="J42" s="294" t="e">
        <f>#REF!/1000</f>
        <v>#REF!</v>
      </c>
      <c r="K42" s="295" t="e">
        <f t="shared" ref="K42" si="24">SUM(F42:J42)</f>
        <v>#REF!</v>
      </c>
      <c r="L42" s="295" t="e">
        <f t="shared" si="4"/>
        <v>#REF!</v>
      </c>
      <c r="M42" s="64"/>
    </row>
    <row r="43" spans="2:14" s="148" customFormat="1" ht="39.950000000000003" customHeight="1" thickBot="1" x14ac:dyDescent="0.3">
      <c r="B43" s="664" t="s">
        <v>94</v>
      </c>
      <c r="C43" s="665"/>
      <c r="D43" s="348"/>
      <c r="E43" s="116" t="e">
        <f>#REF!/1000</f>
        <v>#REF!</v>
      </c>
      <c r="F43" s="118" t="e">
        <f>(#REF!/1000)/O7</f>
        <v>#REF!</v>
      </c>
      <c r="G43" s="119" t="e">
        <f>(#REF!/1000)/P7</f>
        <v>#REF!</v>
      </c>
      <c r="H43" s="119" t="e">
        <f>(#REF!/1000)/Q7</f>
        <v>#REF!</v>
      </c>
      <c r="I43" s="119" t="e">
        <f>(#REF!/1000)/R7</f>
        <v>#REF!</v>
      </c>
      <c r="J43" s="119" t="e">
        <f>(#REF!/1000)/S7</f>
        <v>#REF!</v>
      </c>
      <c r="K43" s="327" t="e">
        <f>+F43+G43+H43+I43+J43</f>
        <v>#REF!</v>
      </c>
      <c r="L43" s="327" t="e">
        <f t="shared" si="4"/>
        <v>#REF!</v>
      </c>
      <c r="M43" s="64"/>
    </row>
    <row r="44" spans="2:14" s="148" customFormat="1" ht="39.950000000000003" customHeight="1" thickBot="1" x14ac:dyDescent="0.3">
      <c r="B44" s="664" t="s">
        <v>95</v>
      </c>
      <c r="C44" s="665"/>
      <c r="D44" s="348"/>
      <c r="E44" s="116" t="e">
        <f>#REF!/1000</f>
        <v>#REF!</v>
      </c>
      <c r="F44" s="118" t="e">
        <f>(#REF!/1000)/O7</f>
        <v>#REF!</v>
      </c>
      <c r="G44" s="119" t="e">
        <f>(#REF!/1000)/P7</f>
        <v>#REF!</v>
      </c>
      <c r="H44" s="119" t="e">
        <f>(#REF!/1000)/Q7</f>
        <v>#REF!</v>
      </c>
      <c r="I44" s="119" t="e">
        <f>(#REF!/1000)/R7</f>
        <v>#REF!</v>
      </c>
      <c r="J44" s="119" t="e">
        <f>(#REF!/1000)/S7</f>
        <v>#REF!</v>
      </c>
      <c r="K44" s="327" t="e">
        <f>+F44+G44+H44+I44+J44</f>
        <v>#REF!</v>
      </c>
      <c r="L44" s="327" t="e">
        <f t="shared" si="4"/>
        <v>#REF!</v>
      </c>
      <c r="M44" s="64"/>
    </row>
    <row r="45" spans="2:14" s="148" customFormat="1" ht="45" customHeight="1" thickBot="1" x14ac:dyDescent="0.3">
      <c r="B45" s="666" t="s">
        <v>84</v>
      </c>
      <c r="C45" s="667"/>
      <c r="D45" s="349"/>
      <c r="E45" s="345" t="e">
        <f t="shared" ref="E45" si="25">+E46+E47</f>
        <v>#REF!</v>
      </c>
      <c r="F45" s="261" t="e">
        <f>+F46+F47</f>
        <v>#REF!</v>
      </c>
      <c r="G45" s="259" t="e">
        <f>+G46+G47</f>
        <v>#REF!</v>
      </c>
      <c r="H45" s="259" t="e">
        <f t="shared" ref="H45:K45" si="26">+H46+H47</f>
        <v>#REF!</v>
      </c>
      <c r="I45" s="259" t="e">
        <f t="shared" si="26"/>
        <v>#REF!</v>
      </c>
      <c r="J45" s="259" t="e">
        <f t="shared" si="26"/>
        <v>#REF!</v>
      </c>
      <c r="K45" s="336" t="e">
        <f t="shared" si="26"/>
        <v>#REF!</v>
      </c>
      <c r="L45" s="336" t="e">
        <f t="shared" si="4"/>
        <v>#REF!</v>
      </c>
      <c r="M45" s="64"/>
      <c r="N45" s="200"/>
    </row>
    <row r="46" spans="2:14" ht="27.95" customHeight="1" x14ac:dyDescent="0.25">
      <c r="B46" s="668" t="s">
        <v>288</v>
      </c>
      <c r="C46" s="669"/>
      <c r="D46" s="669"/>
      <c r="E46" s="346" t="e">
        <f>E11+E20+E41+E43+E44</f>
        <v>#REF!</v>
      </c>
      <c r="F46" s="337" t="e">
        <f>+F11+F20+F41+F43+F44</f>
        <v>#REF!</v>
      </c>
      <c r="G46" s="297" t="e">
        <f t="shared" ref="G46:J46" si="27">+G11+G20+G41+G43+G44</f>
        <v>#REF!</v>
      </c>
      <c r="H46" s="297" t="e">
        <f t="shared" si="27"/>
        <v>#REF!</v>
      </c>
      <c r="I46" s="297" t="e">
        <f t="shared" si="27"/>
        <v>#REF!</v>
      </c>
      <c r="J46" s="297" t="e">
        <f t="shared" si="27"/>
        <v>#REF!</v>
      </c>
      <c r="K46" s="298" t="e">
        <f>SUM(F46:J46)</f>
        <v>#REF!</v>
      </c>
      <c r="L46" s="298" t="e">
        <f t="shared" si="4"/>
        <v>#REF!</v>
      </c>
      <c r="M46" s="64"/>
    </row>
    <row r="47" spans="2:14" ht="27.95" customHeight="1" thickBot="1" x14ac:dyDescent="0.3">
      <c r="B47" s="659" t="s">
        <v>271</v>
      </c>
      <c r="C47" s="660"/>
      <c r="D47" s="660"/>
      <c r="E47" s="347">
        <f>+E12+E21+E42</f>
        <v>0</v>
      </c>
      <c r="F47" s="338" t="e">
        <f>F12+F21+F42</f>
        <v>#REF!</v>
      </c>
      <c r="G47" s="299" t="e">
        <f t="shared" ref="G47:J47" si="28">G12+G21+G42</f>
        <v>#REF!</v>
      </c>
      <c r="H47" s="299" t="e">
        <f t="shared" si="28"/>
        <v>#REF!</v>
      </c>
      <c r="I47" s="299" t="e">
        <f t="shared" si="28"/>
        <v>#REF!</v>
      </c>
      <c r="J47" s="299" t="e">
        <f t="shared" si="28"/>
        <v>#REF!</v>
      </c>
      <c r="K47" s="296" t="e">
        <f t="shared" ref="K47" si="29">SUM(F47:J47)</f>
        <v>#REF!</v>
      </c>
      <c r="L47" s="296" t="e">
        <f t="shared" si="4"/>
        <v>#REF!</v>
      </c>
    </row>
    <row r="48" spans="2:14" x14ac:dyDescent="0.25">
      <c r="F48" s="64"/>
      <c r="G48" s="64"/>
      <c r="H48" s="64"/>
      <c r="I48" s="64"/>
      <c r="J48" s="64"/>
      <c r="K48" s="64"/>
      <c r="L48" s="64"/>
    </row>
    <row r="49" spans="2:14" ht="15.75" thickBot="1" x14ac:dyDescent="0.3">
      <c r="F49" s="64"/>
      <c r="G49" s="64"/>
      <c r="H49" s="64"/>
      <c r="I49" s="64"/>
      <c r="J49" s="64"/>
      <c r="K49" s="64"/>
      <c r="L49" s="64"/>
    </row>
    <row r="50" spans="2:14" ht="27.95" customHeight="1" x14ac:dyDescent="0.25">
      <c r="E50" s="630" t="s">
        <v>325</v>
      </c>
      <c r="F50" s="639" t="s">
        <v>287</v>
      </c>
      <c r="G50" s="641">
        <v>2017</v>
      </c>
      <c r="H50" s="641">
        <v>2018</v>
      </c>
      <c r="I50" s="641">
        <v>2019</v>
      </c>
      <c r="J50" s="641">
        <v>2020</v>
      </c>
      <c r="K50" s="645" t="s">
        <v>4</v>
      </c>
      <c r="L50" s="636" t="s">
        <v>150</v>
      </c>
    </row>
    <row r="51" spans="2:14" ht="27.95" customHeight="1" thickBot="1" x14ac:dyDescent="0.3">
      <c r="E51" s="632"/>
      <c r="F51" s="640"/>
      <c r="G51" s="642"/>
      <c r="H51" s="642"/>
      <c r="I51" s="642"/>
      <c r="J51" s="642"/>
      <c r="K51" s="646"/>
      <c r="L51" s="638"/>
    </row>
    <row r="52" spans="2:14" ht="27.95" customHeight="1" x14ac:dyDescent="0.25">
      <c r="B52" s="675" t="s">
        <v>147</v>
      </c>
      <c r="C52" s="676"/>
      <c r="D52" s="382"/>
      <c r="E52" s="679" t="e">
        <f t="shared" ref="E52" si="30">+E54+E56</f>
        <v>#REF!</v>
      </c>
      <c r="F52" s="262" t="e">
        <f>+F54+F56</f>
        <v>#REF!</v>
      </c>
      <c r="G52" s="260" t="e">
        <f t="shared" ref="G52:K52" si="31">+G54+G56</f>
        <v>#REF!</v>
      </c>
      <c r="H52" s="260" t="e">
        <f t="shared" si="31"/>
        <v>#REF!</v>
      </c>
      <c r="I52" s="260" t="e">
        <f t="shared" si="31"/>
        <v>#REF!</v>
      </c>
      <c r="J52" s="260" t="e">
        <f t="shared" si="31"/>
        <v>#REF!</v>
      </c>
      <c r="K52" s="389" t="e">
        <f t="shared" si="31"/>
        <v>#REF!</v>
      </c>
      <c r="L52" s="389" t="e">
        <f>+E52+K52</f>
        <v>#REF!</v>
      </c>
    </row>
    <row r="53" spans="2:14" ht="27.95" customHeight="1" x14ac:dyDescent="0.25">
      <c r="B53" s="677"/>
      <c r="C53" s="678"/>
      <c r="D53" s="388"/>
      <c r="E53" s="680"/>
      <c r="F53" s="390" t="e">
        <f>E52+F52</f>
        <v>#REF!</v>
      </c>
      <c r="G53" s="391" t="e">
        <f>F53+G52</f>
        <v>#REF!</v>
      </c>
      <c r="H53" s="391" t="e">
        <f t="shared" ref="H53:J53" si="32">G53+H52</f>
        <v>#REF!</v>
      </c>
      <c r="I53" s="391" t="e">
        <f t="shared" si="32"/>
        <v>#REF!</v>
      </c>
      <c r="J53" s="391" t="e">
        <f t="shared" si="32"/>
        <v>#REF!</v>
      </c>
      <c r="K53" s="392"/>
      <c r="L53" s="392"/>
    </row>
    <row r="54" spans="2:14" ht="27.95" customHeight="1" x14ac:dyDescent="0.25">
      <c r="B54" s="681" t="s">
        <v>2</v>
      </c>
      <c r="C54" s="682"/>
      <c r="D54" s="683"/>
      <c r="E54" s="687" t="e">
        <f>#REF!</f>
        <v>#REF!</v>
      </c>
      <c r="F54" s="394" t="e">
        <f>(F46*$E$84)+(F47*$F$84)</f>
        <v>#REF!</v>
      </c>
      <c r="G54" s="395" t="e">
        <f>(G46*$E$84)+(G47*$F$84)</f>
        <v>#REF!</v>
      </c>
      <c r="H54" s="395" t="e">
        <f>(H46*$E$84)+(H47*$F$84)</f>
        <v>#REF!</v>
      </c>
      <c r="I54" s="395" t="e">
        <f>(I46*$E$84)+(I47*$F$84)</f>
        <v>#REF!</v>
      </c>
      <c r="J54" s="395" t="e">
        <f>(J46*$E$84)+(J47*$F$84)+N54</f>
        <v>#REF!</v>
      </c>
      <c r="K54" s="396" t="e">
        <f>SUM(F54:J54)</f>
        <v>#REF!</v>
      </c>
      <c r="L54" s="396" t="e">
        <f t="shared" ref="L54:L56" si="33">+E54+K54</f>
        <v>#REF!</v>
      </c>
      <c r="N54" s="410">
        <v>367.78053409885615</v>
      </c>
    </row>
    <row r="55" spans="2:14" ht="27.95" customHeight="1" x14ac:dyDescent="0.25">
      <c r="B55" s="684"/>
      <c r="C55" s="685"/>
      <c r="D55" s="686"/>
      <c r="E55" s="688"/>
      <c r="F55" s="400" t="e">
        <f>+E54+F54</f>
        <v>#REF!</v>
      </c>
      <c r="G55" s="401" t="e">
        <f>+F55+G54</f>
        <v>#REF!</v>
      </c>
      <c r="H55" s="401" t="e">
        <f t="shared" ref="H55:J55" si="34">+G55+H54</f>
        <v>#REF!</v>
      </c>
      <c r="I55" s="401" t="e">
        <f t="shared" si="34"/>
        <v>#REF!</v>
      </c>
      <c r="J55" s="401" t="e">
        <f t="shared" si="34"/>
        <v>#REF!</v>
      </c>
      <c r="K55" s="393"/>
      <c r="L55" s="393"/>
    </row>
    <row r="56" spans="2:14" ht="27.95" customHeight="1" x14ac:dyDescent="0.25">
      <c r="B56" s="681" t="s">
        <v>3</v>
      </c>
      <c r="C56" s="682"/>
      <c r="D56" s="682"/>
      <c r="E56" s="687" t="e">
        <f>#REF!</f>
        <v>#REF!</v>
      </c>
      <c r="F56" s="394" t="e">
        <f>(F46*$E$85)+(F47*$F$85)</f>
        <v>#REF!</v>
      </c>
      <c r="G56" s="395" t="e">
        <f>(G46*$E$85)+(G47*$F$85)</f>
        <v>#REF!</v>
      </c>
      <c r="H56" s="395" t="e">
        <f>(H46*$E$85)+(H47*$F$85)</f>
        <v>#REF!</v>
      </c>
      <c r="I56" s="395" t="e">
        <f>(I46*$E$85)+(I47*$F$85)</f>
        <v>#REF!</v>
      </c>
      <c r="J56" s="395" t="e">
        <f>(J46*$E$85)+(J47*$F$85)-N54</f>
        <v>#REF!</v>
      </c>
      <c r="K56" s="396" t="e">
        <f>SUM(F56:J56)</f>
        <v>#REF!</v>
      </c>
      <c r="L56" s="396" t="e">
        <f t="shared" si="33"/>
        <v>#REF!</v>
      </c>
    </row>
    <row r="57" spans="2:14" ht="27.95" customHeight="1" thickBot="1" x14ac:dyDescent="0.3">
      <c r="B57" s="689"/>
      <c r="C57" s="690"/>
      <c r="D57" s="690"/>
      <c r="E57" s="691"/>
      <c r="F57" s="398" t="e">
        <f>+E56+F56</f>
        <v>#REF!</v>
      </c>
      <c r="G57" s="399" t="e">
        <f>+F57+G56</f>
        <v>#REF!</v>
      </c>
      <c r="H57" s="399" t="e">
        <f t="shared" ref="H57" si="35">+G57+H56</f>
        <v>#REF!</v>
      </c>
      <c r="I57" s="399" t="e">
        <f t="shared" ref="I57" si="36">+H57+I56</f>
        <v>#REF!</v>
      </c>
      <c r="J57" s="399" t="e">
        <f t="shared" ref="J57" si="37">+I57+J56</f>
        <v>#REF!</v>
      </c>
      <c r="K57" s="397"/>
      <c r="L57" s="397"/>
    </row>
    <row r="58" spans="2:14" x14ac:dyDescent="0.25">
      <c r="F58" s="64"/>
      <c r="G58" s="64"/>
      <c r="H58" s="64"/>
      <c r="I58" s="64"/>
      <c r="J58" s="64"/>
      <c r="K58" s="64"/>
      <c r="L58" s="64"/>
    </row>
    <row r="59" spans="2:14" ht="10.5" customHeight="1" thickBot="1" x14ac:dyDescent="0.3">
      <c r="B59" s="627"/>
      <c r="C59" s="627"/>
      <c r="D59" s="627"/>
      <c r="E59" s="381"/>
      <c r="F59" s="629"/>
      <c r="G59" s="629"/>
      <c r="H59" s="629"/>
      <c r="I59" s="627"/>
      <c r="J59" s="627"/>
      <c r="K59" s="627"/>
      <c r="L59" s="403"/>
    </row>
    <row r="60" spans="2:14" ht="27.95" customHeight="1" x14ac:dyDescent="0.25">
      <c r="B60" s="627"/>
      <c r="C60" s="627"/>
      <c r="D60" s="670"/>
      <c r="E60" s="630" t="s">
        <v>334</v>
      </c>
      <c r="F60" s="639" t="s">
        <v>287</v>
      </c>
      <c r="G60" s="641">
        <v>2017</v>
      </c>
      <c r="H60" s="645">
        <v>2018</v>
      </c>
      <c r="I60" s="672"/>
      <c r="J60" s="672"/>
      <c r="K60" s="672"/>
      <c r="L60" s="672"/>
    </row>
    <row r="61" spans="2:14" ht="27.95" customHeight="1" thickBot="1" x14ac:dyDescent="0.3">
      <c r="B61" s="629"/>
      <c r="C61" s="629"/>
      <c r="D61" s="671"/>
      <c r="E61" s="632"/>
      <c r="F61" s="673"/>
      <c r="G61" s="674"/>
      <c r="H61" s="646"/>
      <c r="I61" s="672"/>
      <c r="J61" s="672"/>
      <c r="K61" s="672"/>
      <c r="L61" s="672"/>
    </row>
    <row r="62" spans="2:14" ht="27.95" customHeight="1" x14ac:dyDescent="0.25">
      <c r="B62" s="675" t="s">
        <v>332</v>
      </c>
      <c r="C62" s="676"/>
      <c r="D62" s="382"/>
      <c r="E62" s="679" t="e">
        <f>L46</f>
        <v>#REF!</v>
      </c>
      <c r="F62" s="262" t="e">
        <f>E62</f>
        <v>#REF!</v>
      </c>
      <c r="G62" s="260" t="e">
        <f>(#REF!+#REF!+(#REF!*0.1)+#REF!+#REF!+#REF!+#REF!)/1000</f>
        <v>#REF!</v>
      </c>
      <c r="H62" s="389" t="e">
        <f>(#REF!+#REF!+(#REF!*0.9))/1000</f>
        <v>#REF!</v>
      </c>
      <c r="I62" s="404"/>
      <c r="J62" s="404"/>
      <c r="K62" s="404"/>
      <c r="L62" s="404"/>
    </row>
    <row r="63" spans="2:14" ht="27.95" customHeight="1" x14ac:dyDescent="0.25">
      <c r="B63" s="677"/>
      <c r="C63" s="678"/>
      <c r="D63" s="388"/>
      <c r="E63" s="680"/>
      <c r="F63" s="390" t="e">
        <f>E62</f>
        <v>#REF!</v>
      </c>
      <c r="G63" s="391" t="e">
        <f>F63+G62</f>
        <v>#REF!</v>
      </c>
      <c r="H63" s="406" t="e">
        <f t="shared" ref="H63" si="38">G63+H62</f>
        <v>#REF!</v>
      </c>
      <c r="I63" s="404"/>
      <c r="J63" s="404"/>
      <c r="K63" s="404"/>
      <c r="L63" s="404"/>
      <c r="N63" s="64" t="e">
        <f>L45-J63</f>
        <v>#REF!</v>
      </c>
    </row>
    <row r="64" spans="2:14" ht="27.95" customHeight="1" x14ac:dyDescent="0.25">
      <c r="B64" s="681" t="s">
        <v>2</v>
      </c>
      <c r="C64" s="682"/>
      <c r="D64" s="683"/>
      <c r="E64" s="687" t="e">
        <f>#REF!</f>
        <v>#REF!</v>
      </c>
      <c r="F64" s="394">
        <v>0</v>
      </c>
      <c r="G64" s="395" t="e">
        <f>G62*$F$84+N54</f>
        <v>#REF!</v>
      </c>
      <c r="H64" s="407" t="e">
        <f>H62*$F$84</f>
        <v>#REF!</v>
      </c>
      <c r="I64" s="405"/>
      <c r="J64" s="405"/>
      <c r="K64" s="405"/>
      <c r="L64" s="405"/>
    </row>
    <row r="65" spans="2:12" ht="27.95" customHeight="1" x14ac:dyDescent="0.25">
      <c r="B65" s="684"/>
      <c r="C65" s="685"/>
      <c r="D65" s="686"/>
      <c r="E65" s="688"/>
      <c r="F65" s="400" t="e">
        <f>+E64+F64</f>
        <v>#REF!</v>
      </c>
      <c r="G65" s="401" t="e">
        <f>+F65+G64</f>
        <v>#REF!</v>
      </c>
      <c r="H65" s="408" t="e">
        <f t="shared" ref="H65" si="39">+G65+H64</f>
        <v>#REF!</v>
      </c>
      <c r="I65" s="411"/>
      <c r="J65" s="411"/>
      <c r="K65" s="405"/>
      <c r="L65" s="405"/>
    </row>
    <row r="66" spans="2:12" ht="27.95" customHeight="1" x14ac:dyDescent="0.25">
      <c r="B66" s="681" t="s">
        <v>3</v>
      </c>
      <c r="C66" s="682"/>
      <c r="D66" s="682"/>
      <c r="E66" s="687" t="e">
        <f>#REF!</f>
        <v>#REF!</v>
      </c>
      <c r="F66" s="394">
        <v>0</v>
      </c>
      <c r="G66" s="395" t="e">
        <f>G62*$F$85-N54</f>
        <v>#REF!</v>
      </c>
      <c r="H66" s="407" t="e">
        <f>H62*$F$85</f>
        <v>#REF!</v>
      </c>
      <c r="I66" s="405"/>
      <c r="J66" s="405"/>
      <c r="K66" s="405"/>
      <c r="L66" s="405"/>
    </row>
    <row r="67" spans="2:12" ht="27.95" customHeight="1" thickBot="1" x14ac:dyDescent="0.3">
      <c r="B67" s="689"/>
      <c r="C67" s="690"/>
      <c r="D67" s="690"/>
      <c r="E67" s="691"/>
      <c r="F67" s="398" t="e">
        <f>+E66+F66</f>
        <v>#REF!</v>
      </c>
      <c r="G67" s="399" t="e">
        <f>+F67+G66</f>
        <v>#REF!</v>
      </c>
      <c r="H67" s="409" t="e">
        <f t="shared" ref="H67" si="40">+G67+H66</f>
        <v>#REF!</v>
      </c>
      <c r="I67" s="411"/>
      <c r="J67" s="411"/>
      <c r="K67" s="405"/>
      <c r="L67" s="405"/>
    </row>
    <row r="68" spans="2:12" x14ac:dyDescent="0.25">
      <c r="F68" s="64"/>
      <c r="G68" s="64"/>
      <c r="H68" s="64"/>
      <c r="I68" s="64"/>
      <c r="J68" s="64"/>
      <c r="K68" s="300" t="s">
        <v>144</v>
      </c>
      <c r="L68" s="112" t="e">
        <f>#REF!</f>
        <v>#REF!</v>
      </c>
    </row>
    <row r="69" spans="2:12" x14ac:dyDescent="0.25">
      <c r="F69" s="64"/>
      <c r="G69" s="64"/>
      <c r="H69" s="64"/>
      <c r="I69" s="64"/>
      <c r="J69" s="64"/>
    </row>
    <row r="78" spans="2:12" x14ac:dyDescent="0.25">
      <c r="F78" s="64"/>
      <c r="G78" s="64"/>
      <c r="H78" s="64"/>
      <c r="I78" s="64"/>
      <c r="J78" s="64"/>
      <c r="K78" s="64"/>
      <c r="L78" s="64"/>
    </row>
    <row r="79" spans="2:12" ht="18" x14ac:dyDescent="0.25">
      <c r="B79" s="692"/>
      <c r="C79" s="692"/>
      <c r="F79" s="64"/>
      <c r="G79" s="64"/>
      <c r="H79" s="64"/>
      <c r="I79" s="64"/>
      <c r="J79" s="64"/>
      <c r="K79" s="64"/>
      <c r="L79" s="64"/>
    </row>
    <row r="80" spans="2:12" x14ac:dyDescent="0.25">
      <c r="H80" s="64"/>
      <c r="I80" s="64"/>
    </row>
    <row r="81" spans="5:11" x14ac:dyDescent="0.25">
      <c r="F81" s="64"/>
      <c r="G81" s="64"/>
      <c r="H81" s="64"/>
      <c r="I81" s="64"/>
      <c r="J81" s="64"/>
      <c r="K81" s="64"/>
    </row>
    <row r="82" spans="5:11" ht="15.75" thickBot="1" x14ac:dyDescent="0.3">
      <c r="F82" s="64"/>
      <c r="G82" s="64"/>
      <c r="H82" s="64"/>
      <c r="I82" s="64"/>
      <c r="J82" s="64"/>
      <c r="K82" s="64"/>
    </row>
    <row r="83" spans="5:11" x14ac:dyDescent="0.25">
      <c r="E83" s="402" t="s">
        <v>333</v>
      </c>
      <c r="F83" s="383"/>
      <c r="G83" s="64"/>
      <c r="H83" s="64"/>
      <c r="I83" s="64"/>
      <c r="J83" s="64"/>
      <c r="K83" s="64"/>
    </row>
    <row r="84" spans="5:11" x14ac:dyDescent="0.25">
      <c r="E84" s="384">
        <v>0.54969691727983372</v>
      </c>
      <c r="F84" s="385">
        <v>0.25598599999999999</v>
      </c>
    </row>
    <row r="85" spans="5:11" ht="15.75" thickBot="1" x14ac:dyDescent="0.3">
      <c r="E85" s="386">
        <v>0.45030308272016623</v>
      </c>
      <c r="F85" s="387">
        <f>1-F84</f>
        <v>0.74401399999999995</v>
      </c>
      <c r="G85" s="64"/>
      <c r="H85" s="64"/>
      <c r="I85" s="64"/>
      <c r="J85" s="64"/>
      <c r="K85" s="64"/>
    </row>
    <row r="98" spans="3:5" x14ac:dyDescent="0.25">
      <c r="C98" s="8"/>
      <c r="D98" s="8"/>
      <c r="E98" s="8"/>
    </row>
    <row r="99" spans="3:5" x14ac:dyDescent="0.25">
      <c r="C99" s="8"/>
      <c r="D99" s="8"/>
      <c r="E99" s="8"/>
    </row>
  </sheetData>
  <mergeCells count="80">
    <mergeCell ref="B79:C79"/>
    <mergeCell ref="B62:C63"/>
    <mergeCell ref="E62:E63"/>
    <mergeCell ref="B64:D65"/>
    <mergeCell ref="E64:E65"/>
    <mergeCell ref="B66:D67"/>
    <mergeCell ref="E66:E67"/>
    <mergeCell ref="B52:C53"/>
    <mergeCell ref="E52:E53"/>
    <mergeCell ref="B54:D55"/>
    <mergeCell ref="E54:E55"/>
    <mergeCell ref="B56:D57"/>
    <mergeCell ref="E56:E57"/>
    <mergeCell ref="J50:J51"/>
    <mergeCell ref="K50:K51"/>
    <mergeCell ref="L50:L51"/>
    <mergeCell ref="E50:E51"/>
    <mergeCell ref="F50:F51"/>
    <mergeCell ref="G50:G51"/>
    <mergeCell ref="H50:H51"/>
    <mergeCell ref="I50:I51"/>
    <mergeCell ref="B59:D61"/>
    <mergeCell ref="F59:K59"/>
    <mergeCell ref="E60:E61"/>
    <mergeCell ref="L60:L61"/>
    <mergeCell ref="F60:F61"/>
    <mergeCell ref="G60:G61"/>
    <mergeCell ref="H60:H61"/>
    <mergeCell ref="I60:I61"/>
    <mergeCell ref="J60:J61"/>
    <mergeCell ref="K60:K61"/>
    <mergeCell ref="B47:D47"/>
    <mergeCell ref="O5:S5"/>
    <mergeCell ref="B41:D41"/>
    <mergeCell ref="B42:D42"/>
    <mergeCell ref="B43:C43"/>
    <mergeCell ref="B44:C44"/>
    <mergeCell ref="B45:C45"/>
    <mergeCell ref="B46:D46"/>
    <mergeCell ref="B35:D35"/>
    <mergeCell ref="B36:D36"/>
    <mergeCell ref="B37:C37"/>
    <mergeCell ref="B38:D38"/>
    <mergeCell ref="B39:D39"/>
    <mergeCell ref="B40:C40"/>
    <mergeCell ref="B26:D26"/>
    <mergeCell ref="B27:D27"/>
    <mergeCell ref="B29:D29"/>
    <mergeCell ref="B30:D30"/>
    <mergeCell ref="B32:D32"/>
    <mergeCell ref="B33:D33"/>
    <mergeCell ref="B19:C19"/>
    <mergeCell ref="B20:D20"/>
    <mergeCell ref="B21:D21"/>
    <mergeCell ref="B22:C22"/>
    <mergeCell ref="B23:D23"/>
    <mergeCell ref="B24:D24"/>
    <mergeCell ref="B18:D18"/>
    <mergeCell ref="I8:I9"/>
    <mergeCell ref="J8:J9"/>
    <mergeCell ref="K8:K9"/>
    <mergeCell ref="B10:C10"/>
    <mergeCell ref="B11:D11"/>
    <mergeCell ref="B12:D12"/>
    <mergeCell ref="B13:C13"/>
    <mergeCell ref="B14:D14"/>
    <mergeCell ref="B15:D15"/>
    <mergeCell ref="B16:C16"/>
    <mergeCell ref="B17:D17"/>
    <mergeCell ref="B2:L2"/>
    <mergeCell ref="B3:L3"/>
    <mergeCell ref="B4:L4"/>
    <mergeCell ref="B7:D9"/>
    <mergeCell ref="E7:E9"/>
    <mergeCell ref="F7:K7"/>
    <mergeCell ref="L7:L9"/>
    <mergeCell ref="F8:F9"/>
    <mergeCell ref="G8:G9"/>
    <mergeCell ref="H8:H9"/>
    <mergeCell ref="B5:L5"/>
  </mergeCells>
  <printOptions horizontalCentered="1"/>
  <pageMargins left="0.43307086614173229" right="0.23622047244094491" top="0.78740157480314965" bottom="0.78740157480314965" header="0.31496062992125984" footer="0.31496062992125984"/>
  <pageSetup paperSize="9" scale="41" orientation="portrait" r:id="rId1"/>
  <headerFooter>
    <oddHeader>&amp;L&amp;G&amp;R&amp;9Superintendência de Gestão de Projetos Especiais - TG
Departamento de Planejamento e Controle - TGC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B2:V101"/>
  <sheetViews>
    <sheetView topLeftCell="F44" zoomScale="70" zoomScaleNormal="70" workbookViewId="0">
      <selection activeCell="T58" sqref="T58"/>
    </sheetView>
  </sheetViews>
  <sheetFormatPr defaultRowHeight="15" x14ac:dyDescent="0.25"/>
  <cols>
    <col min="1" max="1" width="1.140625" customWidth="1"/>
    <col min="2" max="2" width="55.28515625" customWidth="1"/>
    <col min="3" max="3" width="0.28515625" hidden="1" customWidth="1"/>
    <col min="4" max="4" width="3.140625" hidden="1" customWidth="1"/>
    <col min="5" max="5" width="20.42578125" customWidth="1"/>
    <col min="6" max="12" width="18.7109375" customWidth="1"/>
    <col min="13" max="14" width="15.28515625" customWidth="1"/>
    <col min="15" max="15" width="11.28515625" bestFit="1" customWidth="1"/>
    <col min="17" max="18" width="14.28515625" customWidth="1"/>
    <col min="19" max="20" width="13.85546875" customWidth="1"/>
    <col min="21" max="22" width="15.42578125" customWidth="1"/>
  </cols>
  <sheetData>
    <row r="2" spans="2:20" ht="20.25" x14ac:dyDescent="0.3">
      <c r="B2" s="623" t="s">
        <v>110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</row>
    <row r="3" spans="2:20" ht="20.25" x14ac:dyDescent="0.3">
      <c r="B3" s="623" t="s">
        <v>111</v>
      </c>
      <c r="C3" s="623"/>
      <c r="D3" s="623"/>
      <c r="E3" s="623"/>
      <c r="F3" s="623"/>
      <c r="G3" s="623"/>
      <c r="H3" s="623"/>
      <c r="I3" s="623"/>
      <c r="J3" s="623"/>
      <c r="K3" s="623"/>
      <c r="L3" s="623"/>
    </row>
    <row r="4" spans="2:20" ht="20.25" x14ac:dyDescent="0.3">
      <c r="B4" s="623" t="s">
        <v>326</v>
      </c>
      <c r="C4" s="623"/>
      <c r="D4" s="623"/>
      <c r="E4" s="623"/>
      <c r="F4" s="623"/>
      <c r="G4" s="623"/>
      <c r="H4" s="623"/>
      <c r="I4" s="623"/>
      <c r="J4" s="623"/>
      <c r="K4" s="623"/>
      <c r="L4" s="623"/>
    </row>
    <row r="5" spans="2:20" ht="20.25" x14ac:dyDescent="0.3">
      <c r="B5" s="623" t="s">
        <v>338</v>
      </c>
      <c r="C5" s="623"/>
      <c r="D5" s="623"/>
      <c r="E5" s="623"/>
      <c r="F5" s="623"/>
      <c r="G5" s="623"/>
      <c r="H5" s="623"/>
      <c r="I5" s="623"/>
      <c r="J5" s="623"/>
      <c r="K5" s="623"/>
      <c r="L5" s="623"/>
      <c r="P5" s="661" t="s">
        <v>215</v>
      </c>
      <c r="Q5" s="661"/>
      <c r="R5" s="661"/>
      <c r="S5" s="661"/>
      <c r="T5" s="661"/>
    </row>
    <row r="6" spans="2:20" ht="28.5" customHeight="1" thickBot="1" x14ac:dyDescent="0.35">
      <c r="F6" s="111"/>
      <c r="G6" s="111"/>
      <c r="H6" s="111"/>
      <c r="I6" s="111"/>
      <c r="J6" s="111"/>
      <c r="L6" s="201" t="s">
        <v>145</v>
      </c>
      <c r="P6" s="351">
        <v>2016</v>
      </c>
      <c r="Q6" s="351">
        <v>2017</v>
      </c>
      <c r="R6" s="351">
        <v>2018</v>
      </c>
      <c r="S6" s="351">
        <v>2019</v>
      </c>
      <c r="T6" s="351">
        <v>2020</v>
      </c>
    </row>
    <row r="7" spans="2:20" ht="28.5" customHeight="1" thickBot="1" x14ac:dyDescent="0.3">
      <c r="B7" s="624" t="s">
        <v>146</v>
      </c>
      <c r="C7" s="625"/>
      <c r="D7" s="625"/>
      <c r="E7" s="630" t="s">
        <v>340</v>
      </c>
      <c r="F7" s="633" t="s">
        <v>263</v>
      </c>
      <c r="G7" s="634"/>
      <c r="H7" s="634"/>
      <c r="I7" s="634"/>
      <c r="J7" s="634"/>
      <c r="K7" s="635"/>
      <c r="L7" s="636" t="s">
        <v>327</v>
      </c>
      <c r="P7" s="350">
        <v>3.6393416666666667</v>
      </c>
      <c r="Q7" s="350">
        <v>3.8027777777777776</v>
      </c>
      <c r="R7" s="350">
        <v>3.9583333333333339</v>
      </c>
      <c r="S7" s="350">
        <v>4.0583333333333318</v>
      </c>
      <c r="T7" s="350">
        <v>4.0891666666666646</v>
      </c>
    </row>
    <row r="8" spans="2:20" ht="22.5" customHeight="1" x14ac:dyDescent="0.25">
      <c r="B8" s="626"/>
      <c r="C8" s="627"/>
      <c r="D8" s="627"/>
      <c r="E8" s="631"/>
      <c r="F8" s="639" t="s">
        <v>343</v>
      </c>
      <c r="G8" s="641">
        <v>2017</v>
      </c>
      <c r="H8" s="641">
        <v>2018</v>
      </c>
      <c r="I8" s="641">
        <v>2019</v>
      </c>
      <c r="J8" s="641">
        <v>2020</v>
      </c>
      <c r="K8" s="645" t="s">
        <v>4</v>
      </c>
      <c r="L8" s="637"/>
    </row>
    <row r="9" spans="2:20" ht="22.5" customHeight="1" thickBot="1" x14ac:dyDescent="0.3">
      <c r="B9" s="628"/>
      <c r="C9" s="629"/>
      <c r="D9" s="629"/>
      <c r="E9" s="632"/>
      <c r="F9" s="640"/>
      <c r="G9" s="642"/>
      <c r="H9" s="642"/>
      <c r="I9" s="642"/>
      <c r="J9" s="642"/>
      <c r="K9" s="646"/>
      <c r="L9" s="638"/>
    </row>
    <row r="10" spans="2:20" ht="39.950000000000003" customHeight="1" x14ac:dyDescent="0.25">
      <c r="B10" s="647" t="s">
        <v>85</v>
      </c>
      <c r="C10" s="648"/>
      <c r="D10" s="413"/>
      <c r="E10" s="116" t="e">
        <f t="shared" ref="E10" si="0">+E11+E12</f>
        <v>#REF!</v>
      </c>
      <c r="F10" s="118" t="e">
        <f>+F11+F12</f>
        <v>#REF!</v>
      </c>
      <c r="G10" s="119" t="e">
        <f t="shared" ref="G10:K10" si="1">+G11+G12</f>
        <v>#REF!</v>
      </c>
      <c r="H10" s="119" t="e">
        <f t="shared" si="1"/>
        <v>#REF!</v>
      </c>
      <c r="I10" s="119" t="e">
        <f t="shared" si="1"/>
        <v>#REF!</v>
      </c>
      <c r="J10" s="119" t="e">
        <f t="shared" si="1"/>
        <v>#REF!</v>
      </c>
      <c r="K10" s="327" t="e">
        <f t="shared" si="1"/>
        <v>#REF!</v>
      </c>
      <c r="L10" s="327" t="e">
        <f>+E10+K10</f>
        <v>#REF!</v>
      </c>
      <c r="M10" s="64"/>
      <c r="N10" s="64"/>
    </row>
    <row r="11" spans="2:20" ht="27.95" customHeight="1" x14ac:dyDescent="0.25">
      <c r="B11" s="649" t="s">
        <v>288</v>
      </c>
      <c r="C11" s="650"/>
      <c r="D11" s="650"/>
      <c r="E11" s="339" t="e">
        <f>+E14+E17</f>
        <v>#REF!</v>
      </c>
      <c r="F11" s="328">
        <f>+F14+F17</f>
        <v>443.18733538345992</v>
      </c>
      <c r="G11" s="315">
        <f t="shared" ref="G11:J12" si="2">+G14+G17</f>
        <v>1391.3305244704163</v>
      </c>
      <c r="H11" s="315">
        <f t="shared" si="2"/>
        <v>3051.5123873684201</v>
      </c>
      <c r="I11" s="315">
        <f t="shared" si="2"/>
        <v>0</v>
      </c>
      <c r="J11" s="315">
        <f t="shared" si="2"/>
        <v>0</v>
      </c>
      <c r="K11" s="316">
        <f t="shared" ref="K11:K12" si="3">SUM(F11:J11)</f>
        <v>4886.0302472222966</v>
      </c>
      <c r="L11" s="316" t="e">
        <f t="shared" ref="L11:L49" si="4">+E11+K11</f>
        <v>#REF!</v>
      </c>
      <c r="M11" s="64"/>
      <c r="N11" s="64"/>
    </row>
    <row r="12" spans="2:20" ht="27.95" customHeight="1" x14ac:dyDescent="0.25">
      <c r="B12" s="651" t="s">
        <v>271</v>
      </c>
      <c r="C12" s="652"/>
      <c r="D12" s="652"/>
      <c r="E12" s="340">
        <f>+E15+E18</f>
        <v>0</v>
      </c>
      <c r="F12" s="329" t="e">
        <f>+F15+F18</f>
        <v>#REF!</v>
      </c>
      <c r="G12" s="294" t="e">
        <f t="shared" si="2"/>
        <v>#REF!</v>
      </c>
      <c r="H12" s="294" t="e">
        <f t="shared" si="2"/>
        <v>#REF!</v>
      </c>
      <c r="I12" s="294" t="e">
        <f t="shared" si="2"/>
        <v>#REF!</v>
      </c>
      <c r="J12" s="294" t="e">
        <f t="shared" si="2"/>
        <v>#REF!</v>
      </c>
      <c r="K12" s="295" t="e">
        <f t="shared" si="3"/>
        <v>#REF!</v>
      </c>
      <c r="L12" s="295" t="e">
        <f t="shared" si="4"/>
        <v>#REF!</v>
      </c>
      <c r="M12" s="64"/>
      <c r="N12" s="64"/>
    </row>
    <row r="13" spans="2:20" ht="27.95" customHeight="1" x14ac:dyDescent="0.25">
      <c r="B13" s="653" t="s">
        <v>86</v>
      </c>
      <c r="C13" s="654"/>
      <c r="D13" s="324"/>
      <c r="E13" s="341" t="e">
        <f t="shared" ref="E13:J13" si="5">+E14+E15</f>
        <v>#REF!</v>
      </c>
      <c r="F13" s="330" t="e">
        <f t="shared" si="5"/>
        <v>#REF!</v>
      </c>
      <c r="G13" s="331" t="e">
        <f t="shared" si="5"/>
        <v>#REF!</v>
      </c>
      <c r="H13" s="331" t="e">
        <f t="shared" si="5"/>
        <v>#REF!</v>
      </c>
      <c r="I13" s="331" t="e">
        <f t="shared" si="5"/>
        <v>#REF!</v>
      </c>
      <c r="J13" s="331" t="e">
        <f t="shared" si="5"/>
        <v>#REF!</v>
      </c>
      <c r="K13" s="317" t="e">
        <f>SUM(F13:J13)</f>
        <v>#REF!</v>
      </c>
      <c r="L13" s="317" t="e">
        <f t="shared" si="4"/>
        <v>#REF!</v>
      </c>
    </row>
    <row r="14" spans="2:20" ht="27.95" customHeight="1" x14ac:dyDescent="0.25">
      <c r="B14" s="649" t="s">
        <v>288</v>
      </c>
      <c r="C14" s="650"/>
      <c r="D14" s="650"/>
      <c r="E14" s="339" t="e">
        <f>#REF!/1000</f>
        <v>#REF!</v>
      </c>
      <c r="F14" s="328">
        <f>('Estimativa  R$ Anual'!U6/1000)/P7</f>
        <v>9.6171239761770106</v>
      </c>
      <c r="G14" s="318">
        <f>('Estimativa  R$ Anual'!AH8/1000)/Q7</f>
        <v>0</v>
      </c>
      <c r="H14" s="318">
        <v>0</v>
      </c>
      <c r="I14" s="318">
        <v>0</v>
      </c>
      <c r="J14" s="318">
        <v>0</v>
      </c>
      <c r="K14" s="316">
        <f t="shared" ref="K14:K18" si="6">SUM(F14:J14)</f>
        <v>9.6171239761770106</v>
      </c>
      <c r="L14" s="316" t="e">
        <f t="shared" si="4"/>
        <v>#REF!</v>
      </c>
    </row>
    <row r="15" spans="2:20" ht="27.95" customHeight="1" x14ac:dyDescent="0.25">
      <c r="B15" s="651" t="s">
        <v>271</v>
      </c>
      <c r="C15" s="652"/>
      <c r="D15" s="652"/>
      <c r="E15" s="340">
        <v>0</v>
      </c>
      <c r="F15" s="329" t="e">
        <f>(#REF!/1000)/P7</f>
        <v>#REF!</v>
      </c>
      <c r="G15" s="293" t="e">
        <f>(#REF!/1000)/Q7</f>
        <v>#REF!</v>
      </c>
      <c r="H15" s="293" t="e">
        <f>(#REF!/1000)/R7</f>
        <v>#REF!</v>
      </c>
      <c r="I15" s="293" t="e">
        <f>(#REF!/1000)/S7</f>
        <v>#REF!</v>
      </c>
      <c r="J15" s="293" t="e">
        <f>(#REF!/1000)/T7</f>
        <v>#REF!</v>
      </c>
      <c r="K15" s="295" t="e">
        <f t="shared" si="6"/>
        <v>#REF!</v>
      </c>
      <c r="L15" s="295" t="e">
        <f t="shared" si="4"/>
        <v>#REF!</v>
      </c>
    </row>
    <row r="16" spans="2:20" ht="27.95" customHeight="1" x14ac:dyDescent="0.25">
      <c r="B16" s="653" t="s">
        <v>87</v>
      </c>
      <c r="C16" s="654"/>
      <c r="D16" s="324"/>
      <c r="E16" s="341" t="e">
        <f t="shared" ref="E16:J16" si="7">+E17+E18</f>
        <v>#REF!</v>
      </c>
      <c r="F16" s="330" t="e">
        <f t="shared" si="7"/>
        <v>#REF!</v>
      </c>
      <c r="G16" s="331" t="e">
        <f t="shared" si="7"/>
        <v>#REF!</v>
      </c>
      <c r="H16" s="331" t="e">
        <f t="shared" si="7"/>
        <v>#REF!</v>
      </c>
      <c r="I16" s="331" t="e">
        <f t="shared" si="7"/>
        <v>#REF!</v>
      </c>
      <c r="J16" s="331" t="e">
        <f t="shared" si="7"/>
        <v>#REF!</v>
      </c>
      <c r="K16" s="317" t="e">
        <f t="shared" si="6"/>
        <v>#REF!</v>
      </c>
      <c r="L16" s="317" t="e">
        <f t="shared" si="4"/>
        <v>#REF!</v>
      </c>
    </row>
    <row r="17" spans="2:14" ht="27.95" customHeight="1" x14ac:dyDescent="0.25">
      <c r="B17" s="649" t="s">
        <v>288</v>
      </c>
      <c r="C17" s="650"/>
      <c r="D17" s="650"/>
      <c r="E17" s="339" t="e">
        <f>#REF!/1000</f>
        <v>#REF!</v>
      </c>
      <c r="F17" s="328">
        <f>('Estimativa  R$ Anual'!U9/1000)/P7</f>
        <v>433.5702114072829</v>
      </c>
      <c r="G17" s="318">
        <f>('Estimativa  R$ Anual'!AH9/1000)/Q7</f>
        <v>1391.3305244704163</v>
      </c>
      <c r="H17" s="318">
        <f>('Estimativa  R$ Anual'!AU9/1000)/R7</f>
        <v>3051.5123873684201</v>
      </c>
      <c r="I17" s="318">
        <v>0</v>
      </c>
      <c r="J17" s="318">
        <v>0</v>
      </c>
      <c r="K17" s="316">
        <f t="shared" si="6"/>
        <v>4876.4131232461195</v>
      </c>
      <c r="L17" s="316" t="e">
        <f t="shared" si="4"/>
        <v>#REF!</v>
      </c>
    </row>
    <row r="18" spans="2:14" ht="27.95" customHeight="1" thickBot="1" x14ac:dyDescent="0.3">
      <c r="B18" s="643" t="s">
        <v>271</v>
      </c>
      <c r="C18" s="644"/>
      <c r="D18" s="644"/>
      <c r="E18" s="340">
        <v>0</v>
      </c>
      <c r="F18" s="329" t="e">
        <f>(#REF!/1000)/P7</f>
        <v>#REF!</v>
      </c>
      <c r="G18" s="293" t="e">
        <f>(#REF!/1000)/Q7</f>
        <v>#REF!</v>
      </c>
      <c r="H18" s="293" t="e">
        <f>(#REF!/1000)/R7</f>
        <v>#REF!</v>
      </c>
      <c r="I18" s="293" t="e">
        <f>(#REF!/1000)/S7</f>
        <v>#REF!</v>
      </c>
      <c r="J18" s="293" t="e">
        <f>(#REF!/1000)/T7</f>
        <v>#REF!</v>
      </c>
      <c r="K18" s="295" t="e">
        <f t="shared" si="6"/>
        <v>#REF!</v>
      </c>
      <c r="L18" s="295" t="e">
        <f t="shared" si="4"/>
        <v>#REF!</v>
      </c>
    </row>
    <row r="19" spans="2:14" ht="39.950000000000003" customHeight="1" x14ac:dyDescent="0.25">
      <c r="B19" s="647" t="s">
        <v>88</v>
      </c>
      <c r="C19" s="648"/>
      <c r="D19" s="413"/>
      <c r="E19" s="116" t="e">
        <f>+E20+E21</f>
        <v>#REF!</v>
      </c>
      <c r="F19" s="118" t="e">
        <f>+F20+F21</f>
        <v>#REF!</v>
      </c>
      <c r="G19" s="119" t="e">
        <f t="shared" ref="G19:J19" si="8">+G20+G21</f>
        <v>#REF!</v>
      </c>
      <c r="H19" s="119" t="e">
        <f t="shared" si="8"/>
        <v>#REF!</v>
      </c>
      <c r="I19" s="119" t="e">
        <f t="shared" si="8"/>
        <v>#REF!</v>
      </c>
      <c r="J19" s="119" t="e">
        <f t="shared" si="8"/>
        <v>#REF!</v>
      </c>
      <c r="K19" s="327" t="e">
        <f>SUM(F19:J19)</f>
        <v>#REF!</v>
      </c>
      <c r="L19" s="327" t="e">
        <f t="shared" si="4"/>
        <v>#REF!</v>
      </c>
      <c r="M19" s="64"/>
      <c r="N19" s="64"/>
    </row>
    <row r="20" spans="2:14" ht="27.95" customHeight="1" x14ac:dyDescent="0.25">
      <c r="B20" s="649" t="s">
        <v>288</v>
      </c>
      <c r="C20" s="650"/>
      <c r="D20" s="650"/>
      <c r="E20" s="339" t="e">
        <f>+E23+E38</f>
        <v>#REF!</v>
      </c>
      <c r="F20" s="328">
        <f>+F23+F38</f>
        <v>30906.655973375699</v>
      </c>
      <c r="G20" s="315">
        <f t="shared" ref="G20:J21" si="9">+G23+G38</f>
        <v>30736.992712473846</v>
      </c>
      <c r="H20" s="315">
        <f t="shared" si="9"/>
        <v>13792.385657415236</v>
      </c>
      <c r="I20" s="315" t="e">
        <f t="shared" si="9"/>
        <v>#REF!</v>
      </c>
      <c r="J20" s="315" t="e">
        <f t="shared" si="9"/>
        <v>#REF!</v>
      </c>
      <c r="K20" s="316" t="e">
        <f t="shared" ref="K20:K21" si="10">SUM(F20:J20)</f>
        <v>#REF!</v>
      </c>
      <c r="L20" s="316" t="e">
        <f t="shared" si="4"/>
        <v>#REF!</v>
      </c>
      <c r="M20" s="64"/>
      <c r="N20" s="64"/>
    </row>
    <row r="21" spans="2:14" ht="27.95" customHeight="1" x14ac:dyDescent="0.25">
      <c r="B21" s="651" t="s">
        <v>271</v>
      </c>
      <c r="C21" s="652"/>
      <c r="D21" s="652"/>
      <c r="E21" s="340">
        <f>+E24+E39</f>
        <v>0</v>
      </c>
      <c r="F21" s="329" t="e">
        <f>+F24+F39</f>
        <v>#REF!</v>
      </c>
      <c r="G21" s="294" t="e">
        <f t="shared" si="9"/>
        <v>#REF!</v>
      </c>
      <c r="H21" s="294" t="e">
        <f t="shared" si="9"/>
        <v>#REF!</v>
      </c>
      <c r="I21" s="294" t="e">
        <f t="shared" si="9"/>
        <v>#REF!</v>
      </c>
      <c r="J21" s="294" t="e">
        <f t="shared" si="9"/>
        <v>#REF!</v>
      </c>
      <c r="K21" s="295" t="e">
        <f t="shared" si="10"/>
        <v>#REF!</v>
      </c>
      <c r="L21" s="295" t="e">
        <f t="shared" si="4"/>
        <v>#REF!</v>
      </c>
      <c r="M21" s="64"/>
      <c r="N21" s="64"/>
    </row>
    <row r="22" spans="2:14" s="114" customFormat="1" ht="27.95" customHeight="1" x14ac:dyDescent="0.25">
      <c r="B22" s="653" t="s">
        <v>89</v>
      </c>
      <c r="C22" s="654"/>
      <c r="D22" s="324"/>
      <c r="E22" s="342" t="e">
        <f>+E23+E24</f>
        <v>#REF!</v>
      </c>
      <c r="F22" s="330" t="e">
        <f>+F23+F24</f>
        <v>#REF!</v>
      </c>
      <c r="G22" s="331" t="e">
        <f t="shared" ref="G22:J22" si="11">+G23+G24</f>
        <v>#REF!</v>
      </c>
      <c r="H22" s="331" t="e">
        <f t="shared" si="11"/>
        <v>#REF!</v>
      </c>
      <c r="I22" s="331" t="e">
        <f t="shared" si="11"/>
        <v>#REF!</v>
      </c>
      <c r="J22" s="331" t="e">
        <f t="shared" si="11"/>
        <v>#REF!</v>
      </c>
      <c r="K22" s="319" t="e">
        <f>SUM(F22:J22)</f>
        <v>#REF!</v>
      </c>
      <c r="L22" s="319" t="e">
        <f t="shared" si="4"/>
        <v>#REF!</v>
      </c>
      <c r="M22" s="64"/>
      <c r="N22" s="64"/>
    </row>
    <row r="23" spans="2:14" s="114" customFormat="1" ht="27.95" customHeight="1" x14ac:dyDescent="0.25">
      <c r="B23" s="649" t="s">
        <v>288</v>
      </c>
      <c r="C23" s="650"/>
      <c r="D23" s="650"/>
      <c r="E23" s="339" t="e">
        <f>+E26+E29+E32</f>
        <v>#REF!</v>
      </c>
      <c r="F23" s="328">
        <f>+F26+F29+F32+F35</f>
        <v>29186.681277203643</v>
      </c>
      <c r="G23" s="315">
        <f t="shared" ref="G23:J24" si="12">+G26+G29+G32+G35</f>
        <v>27972.473301387876</v>
      </c>
      <c r="H23" s="315">
        <f t="shared" si="12"/>
        <v>12977.325392502569</v>
      </c>
      <c r="I23" s="315">
        <f t="shared" si="12"/>
        <v>0</v>
      </c>
      <c r="J23" s="315">
        <f t="shared" si="12"/>
        <v>0</v>
      </c>
      <c r="K23" s="316">
        <f t="shared" ref="K23:K24" si="13">SUM(F23:J23)</f>
        <v>70136.479971094086</v>
      </c>
      <c r="L23" s="316" t="e">
        <f t="shared" si="4"/>
        <v>#REF!</v>
      </c>
      <c r="M23" s="64"/>
      <c r="N23" s="64"/>
    </row>
    <row r="24" spans="2:14" s="114" customFormat="1" ht="27.95" customHeight="1" x14ac:dyDescent="0.25">
      <c r="B24" s="651" t="s">
        <v>271</v>
      </c>
      <c r="C24" s="652"/>
      <c r="D24" s="652"/>
      <c r="E24" s="340">
        <f>+E27+E30+E33</f>
        <v>0</v>
      </c>
      <c r="F24" s="329" t="e">
        <f>+F27+F30+F33+F36</f>
        <v>#REF!</v>
      </c>
      <c r="G24" s="294" t="e">
        <f t="shared" si="12"/>
        <v>#REF!</v>
      </c>
      <c r="H24" s="294" t="e">
        <f t="shared" si="12"/>
        <v>#REF!</v>
      </c>
      <c r="I24" s="294" t="e">
        <f t="shared" si="12"/>
        <v>#REF!</v>
      </c>
      <c r="J24" s="294" t="e">
        <f t="shared" si="12"/>
        <v>#REF!</v>
      </c>
      <c r="K24" s="295" t="e">
        <f t="shared" si="13"/>
        <v>#REF!</v>
      </c>
      <c r="L24" s="295" t="e">
        <f t="shared" si="4"/>
        <v>#REF!</v>
      </c>
      <c r="M24" s="64"/>
      <c r="N24" s="64"/>
    </row>
    <row r="25" spans="2:14" ht="27.95" customHeight="1" x14ac:dyDescent="0.25">
      <c r="B25" s="141" t="s">
        <v>174</v>
      </c>
      <c r="C25" s="142"/>
      <c r="D25" s="325"/>
      <c r="E25" s="342" t="e">
        <f>+E26+E27</f>
        <v>#REF!</v>
      </c>
      <c r="F25" s="330" t="e">
        <f>+F26+F27</f>
        <v>#REF!</v>
      </c>
      <c r="G25" s="331" t="e">
        <f t="shared" ref="G25:J25" si="14">+G26+G27</f>
        <v>#REF!</v>
      </c>
      <c r="H25" s="331" t="e">
        <f t="shared" si="14"/>
        <v>#REF!</v>
      </c>
      <c r="I25" s="331" t="e">
        <f t="shared" si="14"/>
        <v>#REF!</v>
      </c>
      <c r="J25" s="331" t="e">
        <f t="shared" si="14"/>
        <v>#REF!</v>
      </c>
      <c r="K25" s="319" t="e">
        <f>SUM(F25:J25)</f>
        <v>#REF!</v>
      </c>
      <c r="L25" s="319" t="e">
        <f t="shared" si="4"/>
        <v>#REF!</v>
      </c>
      <c r="M25" s="64"/>
      <c r="N25" s="64"/>
    </row>
    <row r="26" spans="2:14" ht="27.95" customHeight="1" x14ac:dyDescent="0.25">
      <c r="B26" s="655" t="s">
        <v>288</v>
      </c>
      <c r="C26" s="656"/>
      <c r="D26" s="656"/>
      <c r="E26" s="339" t="e">
        <f>#REF!/1000</f>
        <v>#REF!</v>
      </c>
      <c r="F26" s="328">
        <f>('Estimativa  R$ Anual'!U25/1000)/P7</f>
        <v>12668.267850782664</v>
      </c>
      <c r="G26" s="315">
        <f>('Estimativa  R$ Anual'!AH25/1000)/Q7</f>
        <v>19829.541563184808</v>
      </c>
      <c r="H26" s="315">
        <f>('Estimativa  R$ Anual'!AU25/1000)/R7</f>
        <v>12977.325392502569</v>
      </c>
      <c r="I26" s="315">
        <v>0</v>
      </c>
      <c r="J26" s="315">
        <v>0</v>
      </c>
      <c r="K26" s="316">
        <f t="shared" ref="K26:K27" si="15">SUM(F26:J26)</f>
        <v>45475.134806470043</v>
      </c>
      <c r="L26" s="316" t="e">
        <f t="shared" si="4"/>
        <v>#REF!</v>
      </c>
      <c r="M26" s="64"/>
      <c r="N26" s="64"/>
    </row>
    <row r="27" spans="2:14" ht="27.95" customHeight="1" x14ac:dyDescent="0.25">
      <c r="B27" s="657" t="s">
        <v>271</v>
      </c>
      <c r="C27" s="658"/>
      <c r="D27" s="658"/>
      <c r="E27" s="340">
        <v>0</v>
      </c>
      <c r="F27" s="329" t="e">
        <f>(#REF!/1000)/P7</f>
        <v>#REF!</v>
      </c>
      <c r="G27" s="294" t="e">
        <f>(#REF!/1000)/Q7</f>
        <v>#REF!</v>
      </c>
      <c r="H27" s="294" t="e">
        <f>(#REF!/1000)/R7</f>
        <v>#REF!</v>
      </c>
      <c r="I27" s="294" t="e">
        <f>(#REF!/1000)/S7</f>
        <v>#REF!</v>
      </c>
      <c r="J27" s="294" t="e">
        <f>(#REF!/1000)/T7</f>
        <v>#REF!</v>
      </c>
      <c r="K27" s="295" t="e">
        <f t="shared" si="15"/>
        <v>#REF!</v>
      </c>
      <c r="L27" s="295" t="e">
        <f t="shared" si="4"/>
        <v>#REF!</v>
      </c>
      <c r="M27" s="64"/>
      <c r="N27" s="64"/>
    </row>
    <row r="28" spans="2:14" ht="27.95" customHeight="1" x14ac:dyDescent="0.25">
      <c r="B28" s="141" t="s">
        <v>190</v>
      </c>
      <c r="C28" s="142"/>
      <c r="D28" s="325"/>
      <c r="E28" s="342" t="e">
        <f>+E29+E30</f>
        <v>#REF!</v>
      </c>
      <c r="F28" s="330" t="e">
        <f>+F29+F30</f>
        <v>#REF!</v>
      </c>
      <c r="G28" s="331" t="e">
        <f t="shared" ref="G28:J28" si="16">+G29+G30</f>
        <v>#REF!</v>
      </c>
      <c r="H28" s="331" t="e">
        <f t="shared" si="16"/>
        <v>#REF!</v>
      </c>
      <c r="I28" s="331" t="e">
        <f t="shared" si="16"/>
        <v>#REF!</v>
      </c>
      <c r="J28" s="331" t="e">
        <f t="shared" si="16"/>
        <v>#REF!</v>
      </c>
      <c r="K28" s="319" t="e">
        <f>SUM(F28:J28)</f>
        <v>#REF!</v>
      </c>
      <c r="L28" s="319" t="e">
        <f t="shared" si="4"/>
        <v>#REF!</v>
      </c>
      <c r="M28" s="64"/>
      <c r="N28" s="64"/>
    </row>
    <row r="29" spans="2:14" ht="27.95" customHeight="1" x14ac:dyDescent="0.25">
      <c r="B29" s="655" t="s">
        <v>288</v>
      </c>
      <c r="C29" s="656"/>
      <c r="D29" s="656"/>
      <c r="E29" s="339" t="e">
        <f>#REF!/1000</f>
        <v>#REF!</v>
      </c>
      <c r="F29" s="328">
        <f>('Estimativa  R$ Anual'!U35/1000)/P7</f>
        <v>398.42370758447612</v>
      </c>
      <c r="G29" s="315">
        <v>0</v>
      </c>
      <c r="H29" s="315">
        <v>0</v>
      </c>
      <c r="I29" s="315">
        <v>0</v>
      </c>
      <c r="J29" s="315">
        <v>0</v>
      </c>
      <c r="K29" s="316">
        <f t="shared" ref="K29:K30" si="17">SUM(F29:J29)</f>
        <v>398.42370758447612</v>
      </c>
      <c r="L29" s="316" t="e">
        <f t="shared" si="4"/>
        <v>#REF!</v>
      </c>
      <c r="M29" s="64"/>
      <c r="N29" s="64"/>
    </row>
    <row r="30" spans="2:14" ht="27.95" customHeight="1" x14ac:dyDescent="0.25">
      <c r="B30" s="657" t="s">
        <v>271</v>
      </c>
      <c r="C30" s="658"/>
      <c r="D30" s="658"/>
      <c r="E30" s="340">
        <v>0</v>
      </c>
      <c r="F30" s="329" t="e">
        <f>(#REF!/1000)/P7</f>
        <v>#REF!</v>
      </c>
      <c r="G30" s="294" t="e">
        <f>(#REF!/1000)/Q7</f>
        <v>#REF!</v>
      </c>
      <c r="H30" s="294" t="e">
        <f>(#REF!/1000)/R7</f>
        <v>#REF!</v>
      </c>
      <c r="I30" s="294" t="e">
        <f>(#REF!/1000)/S7</f>
        <v>#REF!</v>
      </c>
      <c r="J30" s="294" t="e">
        <f>(#REF!/1000)/T7</f>
        <v>#REF!</v>
      </c>
      <c r="K30" s="295" t="e">
        <f t="shared" si="17"/>
        <v>#REF!</v>
      </c>
      <c r="L30" s="295" t="e">
        <f t="shared" si="4"/>
        <v>#REF!</v>
      </c>
      <c r="M30" s="64"/>
      <c r="N30" s="64"/>
    </row>
    <row r="31" spans="2:14" ht="27.95" customHeight="1" x14ac:dyDescent="0.25">
      <c r="B31" s="141" t="s">
        <v>199</v>
      </c>
      <c r="C31" s="142"/>
      <c r="D31" s="325"/>
      <c r="E31" s="342" t="e">
        <f>+E32+E33</f>
        <v>#REF!</v>
      </c>
      <c r="F31" s="330" t="e">
        <f>+F32+F33</f>
        <v>#REF!</v>
      </c>
      <c r="G31" s="331" t="e">
        <f t="shared" ref="G31:J31" si="18">+G32+G33</f>
        <v>#REF!</v>
      </c>
      <c r="H31" s="331" t="e">
        <f t="shared" si="18"/>
        <v>#REF!</v>
      </c>
      <c r="I31" s="331" t="e">
        <f t="shared" si="18"/>
        <v>#REF!</v>
      </c>
      <c r="J31" s="331" t="e">
        <f t="shared" si="18"/>
        <v>#REF!</v>
      </c>
      <c r="K31" s="319" t="e">
        <f>SUM(F31:J31)</f>
        <v>#REF!</v>
      </c>
      <c r="L31" s="319" t="e">
        <f t="shared" si="4"/>
        <v>#REF!</v>
      </c>
      <c r="M31" s="64"/>
      <c r="N31" s="64"/>
    </row>
    <row r="32" spans="2:14" ht="27.95" customHeight="1" x14ac:dyDescent="0.25">
      <c r="B32" s="655" t="s">
        <v>288</v>
      </c>
      <c r="C32" s="656"/>
      <c r="D32" s="656"/>
      <c r="E32" s="339" t="e">
        <f>#REF!/1000</f>
        <v>#REF!</v>
      </c>
      <c r="F32" s="328">
        <f>('Estimativa  R$ Anual'!U43/1000)/P7</f>
        <v>16119.989718836505</v>
      </c>
      <c r="G32" s="315">
        <f>('Estimativa  R$ Anual'!AH43/1000)/Q7</f>
        <v>8142.9317382030686</v>
      </c>
      <c r="H32" s="315">
        <v>0</v>
      </c>
      <c r="I32" s="315">
        <v>0</v>
      </c>
      <c r="J32" s="315">
        <v>0</v>
      </c>
      <c r="K32" s="316">
        <f t="shared" ref="K32:K39" si="19">SUM(F32:J32)</f>
        <v>24262.921457039574</v>
      </c>
      <c r="L32" s="316" t="e">
        <f t="shared" si="4"/>
        <v>#REF!</v>
      </c>
      <c r="M32" s="64"/>
      <c r="N32" s="64"/>
    </row>
    <row r="33" spans="2:15" ht="27.95" customHeight="1" x14ac:dyDescent="0.25">
      <c r="B33" s="657" t="s">
        <v>271</v>
      </c>
      <c r="C33" s="658"/>
      <c r="D33" s="658"/>
      <c r="E33" s="340">
        <v>0</v>
      </c>
      <c r="F33" s="329" t="e">
        <f>(#REF!/1000)/P7</f>
        <v>#REF!</v>
      </c>
      <c r="G33" s="294" t="e">
        <f>(#REF!/1000)/Q7</f>
        <v>#REF!</v>
      </c>
      <c r="H33" s="294" t="e">
        <f>(#REF!/1000)/R7</f>
        <v>#REF!</v>
      </c>
      <c r="I33" s="294" t="e">
        <f>(#REF!/1000)/S7</f>
        <v>#REF!</v>
      </c>
      <c r="J33" s="294" t="e">
        <f>(#REF!/1000)/T7</f>
        <v>#REF!</v>
      </c>
      <c r="K33" s="295" t="e">
        <f t="shared" si="19"/>
        <v>#REF!</v>
      </c>
      <c r="L33" s="295" t="e">
        <f t="shared" si="4"/>
        <v>#REF!</v>
      </c>
      <c r="M33" s="64"/>
      <c r="N33" s="64"/>
    </row>
    <row r="34" spans="2:15" ht="27.95" customHeight="1" x14ac:dyDescent="0.25">
      <c r="B34" s="141" t="s">
        <v>289</v>
      </c>
      <c r="C34" s="142"/>
      <c r="D34" s="325"/>
      <c r="E34" s="342" t="e">
        <f>+E35+E36</f>
        <v>#REF!</v>
      </c>
      <c r="F34" s="330" t="e">
        <f>+F35+F36</f>
        <v>#REF!</v>
      </c>
      <c r="G34" s="331" t="e">
        <f t="shared" ref="G34:J34" si="20">+G35+G36</f>
        <v>#REF!</v>
      </c>
      <c r="H34" s="331" t="e">
        <f t="shared" si="20"/>
        <v>#REF!</v>
      </c>
      <c r="I34" s="331" t="e">
        <f t="shared" si="20"/>
        <v>#REF!</v>
      </c>
      <c r="J34" s="331" t="e">
        <f t="shared" si="20"/>
        <v>#REF!</v>
      </c>
      <c r="K34" s="319" t="e">
        <f>SUM(F34:J34)</f>
        <v>#REF!</v>
      </c>
      <c r="L34" s="319" t="e">
        <f t="shared" si="4"/>
        <v>#REF!</v>
      </c>
      <c r="M34" s="64"/>
      <c r="N34" s="64"/>
    </row>
    <row r="35" spans="2:15" ht="27.95" customHeight="1" x14ac:dyDescent="0.25">
      <c r="B35" s="655" t="s">
        <v>288</v>
      </c>
      <c r="C35" s="656"/>
      <c r="D35" s="656"/>
      <c r="E35" s="339" t="e">
        <f>#REF!/1000</f>
        <v>#REF!</v>
      </c>
      <c r="F35" s="328">
        <v>0</v>
      </c>
      <c r="G35" s="315">
        <v>0</v>
      </c>
      <c r="H35" s="315">
        <v>0</v>
      </c>
      <c r="I35" s="315">
        <v>0</v>
      </c>
      <c r="J35" s="315">
        <v>0</v>
      </c>
      <c r="K35" s="316">
        <f t="shared" ref="K35:K36" si="21">SUM(F35:J35)</f>
        <v>0</v>
      </c>
      <c r="L35" s="316" t="e">
        <f t="shared" si="4"/>
        <v>#REF!</v>
      </c>
      <c r="M35" s="64"/>
      <c r="N35" s="64"/>
    </row>
    <row r="36" spans="2:15" ht="27.95" customHeight="1" x14ac:dyDescent="0.25">
      <c r="B36" s="657" t="s">
        <v>271</v>
      </c>
      <c r="C36" s="658"/>
      <c r="D36" s="658"/>
      <c r="E36" s="340">
        <v>0</v>
      </c>
      <c r="F36" s="329" t="e">
        <f>(#REF!/1000)/P7</f>
        <v>#REF!</v>
      </c>
      <c r="G36" s="294" t="e">
        <f>(#REF!/1000)/Q7</f>
        <v>#REF!</v>
      </c>
      <c r="H36" s="294" t="e">
        <f>(#REF!/1000)/R7</f>
        <v>#REF!</v>
      </c>
      <c r="I36" s="294" t="e">
        <f>(#REF!/1000)/S7</f>
        <v>#REF!</v>
      </c>
      <c r="J36" s="294" t="e">
        <f>(#REF!/1000)/T7</f>
        <v>#REF!</v>
      </c>
      <c r="K36" s="295" t="e">
        <f t="shared" si="21"/>
        <v>#REF!</v>
      </c>
      <c r="L36" s="295" t="e">
        <f t="shared" si="4"/>
        <v>#REF!</v>
      </c>
      <c r="M36" s="64"/>
      <c r="N36" s="64"/>
    </row>
    <row r="37" spans="2:15" ht="27.95" customHeight="1" x14ac:dyDescent="0.25">
      <c r="B37" s="653" t="s">
        <v>90</v>
      </c>
      <c r="C37" s="654"/>
      <c r="D37" s="324"/>
      <c r="E37" s="342" t="e">
        <f>+E38+E39</f>
        <v>#REF!</v>
      </c>
      <c r="F37" s="330" t="e">
        <f>+F38+F39</f>
        <v>#REF!</v>
      </c>
      <c r="G37" s="331" t="e">
        <f t="shared" ref="G37:J37" si="22">+G38+G39</f>
        <v>#REF!</v>
      </c>
      <c r="H37" s="331" t="e">
        <f t="shared" si="22"/>
        <v>#REF!</v>
      </c>
      <c r="I37" s="331" t="e">
        <f t="shared" si="22"/>
        <v>#REF!</v>
      </c>
      <c r="J37" s="331" t="e">
        <f t="shared" si="22"/>
        <v>#REF!</v>
      </c>
      <c r="K37" s="319" t="e">
        <f>SUM(F37:J37)</f>
        <v>#REF!</v>
      </c>
      <c r="L37" s="319" t="e">
        <f t="shared" si="4"/>
        <v>#REF!</v>
      </c>
      <c r="M37" s="64"/>
      <c r="N37" s="64"/>
    </row>
    <row r="38" spans="2:15" ht="27.95" customHeight="1" x14ac:dyDescent="0.25">
      <c r="B38" s="649" t="s">
        <v>288</v>
      </c>
      <c r="C38" s="650"/>
      <c r="D38" s="650"/>
      <c r="E38" s="339" t="e">
        <f>#REF!/1000</f>
        <v>#REF!</v>
      </c>
      <c r="F38" s="328">
        <f>('Estimativa  R$ Anual'!U48/1000)/P7</f>
        <v>1719.9746961720555</v>
      </c>
      <c r="G38" s="315">
        <f>('Estimativa  R$ Anual'!AH48/1000)/Q7</f>
        <v>2764.519411085972</v>
      </c>
      <c r="H38" s="315">
        <f>('Estimativa  R$ Anual'!AU48/1000)/R7</f>
        <v>815.06026491266607</v>
      </c>
      <c r="I38" s="315" t="e">
        <f>(#REF!/1000)/S7</f>
        <v>#REF!</v>
      </c>
      <c r="J38" s="315" t="e">
        <f>(#REF!/1000)/T7</f>
        <v>#REF!</v>
      </c>
      <c r="K38" s="316" t="e">
        <f t="shared" si="19"/>
        <v>#REF!</v>
      </c>
      <c r="L38" s="316" t="e">
        <f t="shared" si="4"/>
        <v>#REF!</v>
      </c>
      <c r="M38" s="64"/>
      <c r="N38" s="64"/>
    </row>
    <row r="39" spans="2:15" ht="27.95" customHeight="1" thickBot="1" x14ac:dyDescent="0.3">
      <c r="B39" s="643" t="s">
        <v>271</v>
      </c>
      <c r="C39" s="644"/>
      <c r="D39" s="644"/>
      <c r="E39" s="340">
        <v>0</v>
      </c>
      <c r="F39" s="329" t="e">
        <f>(#REF!/1000)/P7</f>
        <v>#REF!</v>
      </c>
      <c r="G39" s="294" t="e">
        <f>(#REF!/1000)/Q7</f>
        <v>#REF!</v>
      </c>
      <c r="H39" s="294" t="e">
        <f>(#REF!/1000)/R7</f>
        <v>#REF!</v>
      </c>
      <c r="I39" s="294" t="e">
        <f>(#REF!/1000)/S7</f>
        <v>#REF!</v>
      </c>
      <c r="J39" s="294" t="e">
        <f>(#REF!/1000)/T7</f>
        <v>#REF!</v>
      </c>
      <c r="K39" s="295" t="e">
        <f t="shared" si="19"/>
        <v>#REF!</v>
      </c>
      <c r="L39" s="295" t="e">
        <f t="shared" si="4"/>
        <v>#REF!</v>
      </c>
      <c r="M39" s="64"/>
      <c r="N39" s="64"/>
    </row>
    <row r="40" spans="2:15" s="148" customFormat="1" ht="39.950000000000003" customHeight="1" thickBot="1" x14ac:dyDescent="0.3">
      <c r="B40" s="664" t="s">
        <v>211</v>
      </c>
      <c r="C40" s="665"/>
      <c r="D40" s="326"/>
      <c r="E40" s="343" t="e">
        <f t="shared" ref="E40:J40" si="23">+E41+E42</f>
        <v>#REF!</v>
      </c>
      <c r="F40" s="332" t="e">
        <f t="shared" si="23"/>
        <v>#REF!</v>
      </c>
      <c r="G40" s="333" t="e">
        <f t="shared" si="23"/>
        <v>#REF!</v>
      </c>
      <c r="H40" s="333" t="e">
        <f t="shared" si="23"/>
        <v>#REF!</v>
      </c>
      <c r="I40" s="333" t="e">
        <f t="shared" si="23"/>
        <v>#REF!</v>
      </c>
      <c r="J40" s="333" t="e">
        <f t="shared" si="23"/>
        <v>#REF!</v>
      </c>
      <c r="K40" s="334" t="e">
        <f>+F40+G40+H40+I40+J40</f>
        <v>#REF!</v>
      </c>
      <c r="L40" s="334" t="e">
        <f t="shared" si="4"/>
        <v>#REF!</v>
      </c>
      <c r="M40" s="64"/>
      <c r="N40" s="64"/>
    </row>
    <row r="41" spans="2:15" s="148" customFormat="1" ht="27.95" customHeight="1" x14ac:dyDescent="0.25">
      <c r="B41" s="662" t="s">
        <v>288</v>
      </c>
      <c r="C41" s="663"/>
      <c r="D41" s="663"/>
      <c r="E41" s="344" t="e">
        <f>#REF!/1000</f>
        <v>#REF!</v>
      </c>
      <c r="F41" s="335" t="e">
        <f>#REF!/1000</f>
        <v>#REF!</v>
      </c>
      <c r="G41" s="313" t="e">
        <f>#REF!/1000</f>
        <v>#REF!</v>
      </c>
      <c r="H41" s="313" t="e">
        <f>#REF!/1000</f>
        <v>#REF!</v>
      </c>
      <c r="I41" s="313" t="e">
        <f>#REF!/1000</f>
        <v>#REF!</v>
      </c>
      <c r="J41" s="313" t="e">
        <f>#REF!/1000</f>
        <v>#REF!</v>
      </c>
      <c r="K41" s="314" t="e">
        <f>SUM(F41:J41)</f>
        <v>#REF!</v>
      </c>
      <c r="L41" s="314" t="e">
        <f t="shared" si="4"/>
        <v>#REF!</v>
      </c>
      <c r="M41" s="64"/>
      <c r="N41" s="64"/>
    </row>
    <row r="42" spans="2:15" s="148" customFormat="1" ht="27.95" customHeight="1" thickBot="1" x14ac:dyDescent="0.3">
      <c r="B42" s="643" t="s">
        <v>271</v>
      </c>
      <c r="C42" s="644"/>
      <c r="D42" s="644"/>
      <c r="E42" s="340">
        <v>0</v>
      </c>
      <c r="F42" s="329" t="e">
        <f>#REF!/1000</f>
        <v>#REF!</v>
      </c>
      <c r="G42" s="294" t="e">
        <f>#REF!/1000</f>
        <v>#REF!</v>
      </c>
      <c r="H42" s="294" t="e">
        <f>#REF!/1000</f>
        <v>#REF!</v>
      </c>
      <c r="I42" s="294" t="e">
        <f>#REF!/1000</f>
        <v>#REF!</v>
      </c>
      <c r="J42" s="294" t="e">
        <f>#REF!/1000</f>
        <v>#REF!</v>
      </c>
      <c r="K42" s="295" t="e">
        <f t="shared" ref="K42" si="24">SUM(F42:J42)</f>
        <v>#REF!</v>
      </c>
      <c r="L42" s="295" t="e">
        <f t="shared" si="4"/>
        <v>#REF!</v>
      </c>
      <c r="M42" s="64"/>
      <c r="N42" s="64"/>
    </row>
    <row r="43" spans="2:15" s="148" customFormat="1" ht="39.950000000000003" customHeight="1" thickBot="1" x14ac:dyDescent="0.3">
      <c r="B43" s="664" t="s">
        <v>94</v>
      </c>
      <c r="C43" s="665"/>
      <c r="D43" s="413"/>
      <c r="E43" s="116" t="e">
        <f>#REF!/1000</f>
        <v>#REF!</v>
      </c>
      <c r="F43" s="118" t="e">
        <f>(#REF!/1000)/P7</f>
        <v>#REF!</v>
      </c>
      <c r="G43" s="119" t="e">
        <f>(#REF!/1000)/Q7</f>
        <v>#REF!</v>
      </c>
      <c r="H43" s="119" t="e">
        <f>(#REF!/1000)/R7</f>
        <v>#REF!</v>
      </c>
      <c r="I43" s="119" t="e">
        <f>(#REF!/1000)/S7</f>
        <v>#REF!</v>
      </c>
      <c r="J43" s="119" t="e">
        <f>(#REF!/1000)/T7</f>
        <v>#REF!</v>
      </c>
      <c r="K43" s="327" t="e">
        <f>+F43+G43+H43+I43+J43</f>
        <v>#REF!</v>
      </c>
      <c r="L43" s="327" t="e">
        <f t="shared" si="4"/>
        <v>#REF!</v>
      </c>
      <c r="M43" s="64"/>
      <c r="N43" s="64"/>
    </row>
    <row r="44" spans="2:15" s="148" customFormat="1" ht="39.950000000000003" customHeight="1" thickBot="1" x14ac:dyDescent="0.3">
      <c r="B44" s="664" t="s">
        <v>95</v>
      </c>
      <c r="C44" s="665"/>
      <c r="D44" s="450"/>
      <c r="E44" s="470" t="e">
        <f>#REF!/1000</f>
        <v>#REF!</v>
      </c>
      <c r="F44" s="471" t="e">
        <f>(#REF!/1000)/P7</f>
        <v>#REF!</v>
      </c>
      <c r="G44" s="472" t="e">
        <f>(#REF!/1000)/Q7</f>
        <v>#REF!</v>
      </c>
      <c r="H44" s="472" t="e">
        <f>(#REF!/1000)/R7</f>
        <v>#REF!</v>
      </c>
      <c r="I44" s="472" t="e">
        <f>(#REF!/1000)/S7</f>
        <v>#REF!</v>
      </c>
      <c r="J44" s="472" t="e">
        <f>(#REF!/1000)/T7</f>
        <v>#REF!</v>
      </c>
      <c r="K44" s="473" t="e">
        <f>+F44+G44+H44+I44+J44</f>
        <v>#REF!</v>
      </c>
      <c r="L44" s="473" t="e">
        <f t="shared" si="4"/>
        <v>#REF!</v>
      </c>
      <c r="M44" s="64"/>
      <c r="N44" s="64"/>
    </row>
    <row r="45" spans="2:15" s="148" customFormat="1" ht="27.95" customHeight="1" x14ac:dyDescent="0.25">
      <c r="B45" s="662" t="s">
        <v>288</v>
      </c>
      <c r="C45" s="663"/>
      <c r="D45" s="696"/>
      <c r="E45" s="344" t="e">
        <f>#REF!/1000</f>
        <v>#REF!</v>
      </c>
      <c r="F45" s="335" t="e">
        <f>#REF!/1000</f>
        <v>#REF!</v>
      </c>
      <c r="G45" s="313" t="e">
        <f>#REF!/1000</f>
        <v>#REF!</v>
      </c>
      <c r="H45" s="313" t="e">
        <f>#REF!/1000</f>
        <v>#REF!</v>
      </c>
      <c r="I45" s="313" t="e">
        <f>#REF!/1000</f>
        <v>#REF!</v>
      </c>
      <c r="J45" s="313" t="e">
        <f>#REF!/1000</f>
        <v>#REF!</v>
      </c>
      <c r="K45" s="314" t="e">
        <f>SUM(F45:J45)</f>
        <v>#REF!</v>
      </c>
      <c r="L45" s="314" t="e">
        <f t="shared" ref="L45:L46" si="25">+E45+K45</f>
        <v>#REF!</v>
      </c>
      <c r="M45" s="64"/>
      <c r="N45" s="64"/>
    </row>
    <row r="46" spans="2:15" s="148" customFormat="1" ht="27.95" customHeight="1" thickBot="1" x14ac:dyDescent="0.3">
      <c r="B46" s="643" t="s">
        <v>271</v>
      </c>
      <c r="C46" s="644"/>
      <c r="D46" s="697"/>
      <c r="E46" s="340" t="e">
        <f>#REF!/1000</f>
        <v>#REF!</v>
      </c>
      <c r="F46" s="329" t="e">
        <f>#REF!/1000</f>
        <v>#REF!</v>
      </c>
      <c r="G46" s="294" t="e">
        <f>#REF!/1000</f>
        <v>#REF!</v>
      </c>
      <c r="H46" s="294" t="e">
        <f>#REF!/1000</f>
        <v>#REF!</v>
      </c>
      <c r="I46" s="294" t="e">
        <f>#REF!/1000</f>
        <v>#REF!</v>
      </c>
      <c r="J46" s="294" t="e">
        <f>#REF!/1000</f>
        <v>#REF!</v>
      </c>
      <c r="K46" s="295" t="e">
        <f t="shared" ref="K46" si="26">SUM(F46:J46)</f>
        <v>#REF!</v>
      </c>
      <c r="L46" s="295" t="e">
        <f t="shared" si="25"/>
        <v>#REF!</v>
      </c>
      <c r="M46" s="64"/>
      <c r="N46" s="64"/>
    </row>
    <row r="47" spans="2:15" s="148" customFormat="1" ht="45" customHeight="1" thickBot="1" x14ac:dyDescent="0.3">
      <c r="B47" s="666" t="s">
        <v>84</v>
      </c>
      <c r="C47" s="667"/>
      <c r="D47" s="414"/>
      <c r="E47" s="345" t="e">
        <f t="shared" ref="E47" si="27">+E48+E49</f>
        <v>#REF!</v>
      </c>
      <c r="F47" s="261" t="e">
        <f>+F48+F49</f>
        <v>#REF!</v>
      </c>
      <c r="G47" s="259" t="e">
        <f>+G48+G49</f>
        <v>#REF!</v>
      </c>
      <c r="H47" s="259" t="e">
        <f t="shared" ref="H47:K47" si="28">+H48+H49</f>
        <v>#REF!</v>
      </c>
      <c r="I47" s="259" t="e">
        <f t="shared" si="28"/>
        <v>#REF!</v>
      </c>
      <c r="J47" s="259" t="e">
        <f t="shared" si="28"/>
        <v>#REF!</v>
      </c>
      <c r="K47" s="336" t="e">
        <f t="shared" si="28"/>
        <v>#REF!</v>
      </c>
      <c r="L47" s="336" t="e">
        <f t="shared" si="4"/>
        <v>#REF!</v>
      </c>
      <c r="M47" s="64"/>
      <c r="N47" s="64"/>
      <c r="O47" s="200"/>
    </row>
    <row r="48" spans="2:15" ht="27.95" customHeight="1" x14ac:dyDescent="0.25">
      <c r="B48" s="668" t="s">
        <v>288</v>
      </c>
      <c r="C48" s="669"/>
      <c r="D48" s="669"/>
      <c r="E48" s="344" t="e">
        <f>E11+E20+E41+E43+E45</f>
        <v>#REF!</v>
      </c>
      <c r="F48" s="335" t="e">
        <f t="shared" ref="F48:J48" si="29">F11+F20+F41+F43+F45</f>
        <v>#REF!</v>
      </c>
      <c r="G48" s="313" t="e">
        <f t="shared" si="29"/>
        <v>#REF!</v>
      </c>
      <c r="H48" s="313" t="e">
        <f t="shared" si="29"/>
        <v>#REF!</v>
      </c>
      <c r="I48" s="313" t="e">
        <f t="shared" si="29"/>
        <v>#REF!</v>
      </c>
      <c r="J48" s="313" t="e">
        <f t="shared" si="29"/>
        <v>#REF!</v>
      </c>
      <c r="K48" s="314" t="e">
        <f>SUM(F48:J48)</f>
        <v>#REF!</v>
      </c>
      <c r="L48" s="314" t="e">
        <f t="shared" si="4"/>
        <v>#REF!</v>
      </c>
      <c r="M48" s="64"/>
      <c r="N48" s="64"/>
    </row>
    <row r="49" spans="2:22" ht="27.95" customHeight="1" thickBot="1" x14ac:dyDescent="0.3">
      <c r="B49" s="659" t="s">
        <v>271</v>
      </c>
      <c r="C49" s="660"/>
      <c r="D49" s="660"/>
      <c r="E49" s="340" t="e">
        <f>+E12+E21+E42+E46</f>
        <v>#REF!</v>
      </c>
      <c r="F49" s="329" t="e">
        <f t="shared" ref="F49:J49" si="30">+F12+F21+F42+F46</f>
        <v>#REF!</v>
      </c>
      <c r="G49" s="294" t="e">
        <f t="shared" si="30"/>
        <v>#REF!</v>
      </c>
      <c r="H49" s="294" t="e">
        <f t="shared" si="30"/>
        <v>#REF!</v>
      </c>
      <c r="I49" s="294" t="e">
        <f t="shared" si="30"/>
        <v>#REF!</v>
      </c>
      <c r="J49" s="294" t="e">
        <f t="shared" si="30"/>
        <v>#REF!</v>
      </c>
      <c r="K49" s="295" t="e">
        <f t="shared" ref="K49" si="31">SUM(F49:J49)</f>
        <v>#REF!</v>
      </c>
      <c r="L49" s="295" t="e">
        <f t="shared" si="4"/>
        <v>#REF!</v>
      </c>
      <c r="N49" s="64"/>
    </row>
    <row r="50" spans="2:22" x14ac:dyDescent="0.25">
      <c r="F50" s="64"/>
      <c r="G50" s="64"/>
      <c r="H50" s="64"/>
      <c r="I50" s="64"/>
      <c r="J50" s="64"/>
      <c r="K50" s="64"/>
      <c r="L50" s="64"/>
    </row>
    <row r="51" spans="2:22" ht="15.75" thickBot="1" x14ac:dyDescent="0.3">
      <c r="F51" s="64"/>
      <c r="G51" s="64"/>
      <c r="H51" s="64"/>
      <c r="I51" s="64"/>
      <c r="J51" s="64"/>
      <c r="K51" s="64"/>
      <c r="L51" s="64"/>
    </row>
    <row r="52" spans="2:22" ht="27.95" customHeight="1" x14ac:dyDescent="0.25">
      <c r="E52" s="630" t="s">
        <v>340</v>
      </c>
      <c r="F52" s="639" t="s">
        <v>343</v>
      </c>
      <c r="G52" s="641">
        <v>2017</v>
      </c>
      <c r="H52" s="641">
        <v>2018</v>
      </c>
      <c r="I52" s="641">
        <v>2019</v>
      </c>
      <c r="J52" s="641">
        <v>2020</v>
      </c>
      <c r="K52" s="645" t="s">
        <v>4</v>
      </c>
      <c r="L52" s="636" t="s">
        <v>150</v>
      </c>
      <c r="Q52" s="420"/>
      <c r="R52" s="420"/>
      <c r="S52" s="420"/>
      <c r="T52" s="420"/>
      <c r="U52" s="420"/>
      <c r="V52" s="420"/>
    </row>
    <row r="53" spans="2:22" ht="27.95" customHeight="1" thickBot="1" x14ac:dyDescent="0.3">
      <c r="E53" s="632"/>
      <c r="F53" s="640"/>
      <c r="G53" s="642"/>
      <c r="H53" s="642"/>
      <c r="I53" s="642"/>
      <c r="J53" s="642"/>
      <c r="K53" s="646"/>
      <c r="L53" s="638"/>
      <c r="Q53" s="415"/>
      <c r="R53" s="415"/>
      <c r="S53" s="415"/>
      <c r="T53" s="415"/>
      <c r="U53" s="415"/>
      <c r="V53" s="415"/>
    </row>
    <row r="54" spans="2:22" ht="27.95" customHeight="1" x14ac:dyDescent="0.25">
      <c r="B54" s="675" t="s">
        <v>147</v>
      </c>
      <c r="C54" s="676"/>
      <c r="D54" s="382"/>
      <c r="E54" s="679" t="e">
        <f t="shared" ref="E54" si="32">+E56+E58</f>
        <v>#REF!</v>
      </c>
      <c r="F54" s="262" t="e">
        <f>+F56+F58</f>
        <v>#REF!</v>
      </c>
      <c r="G54" s="260" t="e">
        <f t="shared" ref="G54:K54" si="33">+G56+G58</f>
        <v>#REF!</v>
      </c>
      <c r="H54" s="260" t="e">
        <f t="shared" si="33"/>
        <v>#REF!</v>
      </c>
      <c r="I54" s="260" t="e">
        <f t="shared" si="33"/>
        <v>#REF!</v>
      </c>
      <c r="J54" s="260" t="e">
        <f t="shared" si="33"/>
        <v>#REF!</v>
      </c>
      <c r="K54" s="389" t="e">
        <f t="shared" si="33"/>
        <v>#REF!</v>
      </c>
      <c r="L54" s="389" t="e">
        <f>+E54+K54</f>
        <v>#REF!</v>
      </c>
      <c r="P54" s="419"/>
      <c r="Q54" s="416"/>
      <c r="R54" s="416"/>
      <c r="S54" s="416"/>
      <c r="T54" s="416"/>
      <c r="U54" s="416"/>
      <c r="V54" s="416"/>
    </row>
    <row r="55" spans="2:22" ht="27.95" customHeight="1" x14ac:dyDescent="0.25">
      <c r="B55" s="677"/>
      <c r="C55" s="678"/>
      <c r="D55" s="412"/>
      <c r="E55" s="680"/>
      <c r="F55" s="390" t="e">
        <f>E54+F54</f>
        <v>#REF!</v>
      </c>
      <c r="G55" s="430" t="e">
        <f>F55+G54</f>
        <v>#REF!</v>
      </c>
      <c r="H55" s="430" t="e">
        <f t="shared" ref="H55:J55" si="34">G55+H54</f>
        <v>#REF!</v>
      </c>
      <c r="I55" s="430" t="e">
        <f t="shared" si="34"/>
        <v>#REF!</v>
      </c>
      <c r="J55" s="430" t="e">
        <f t="shared" si="34"/>
        <v>#REF!</v>
      </c>
      <c r="K55" s="392"/>
      <c r="L55" s="392"/>
      <c r="P55" s="419"/>
      <c r="Q55" s="416"/>
      <c r="R55" s="416"/>
      <c r="S55" s="416"/>
      <c r="T55" s="416"/>
      <c r="U55" s="416"/>
      <c r="V55" s="416"/>
    </row>
    <row r="56" spans="2:22" ht="27.95" customHeight="1" x14ac:dyDescent="0.25">
      <c r="B56" s="681" t="s">
        <v>2</v>
      </c>
      <c r="C56" s="682"/>
      <c r="D56" s="683"/>
      <c r="E56" s="687" t="e">
        <f>#REF!/1000</f>
        <v>#REF!</v>
      </c>
      <c r="F56" s="417" t="e">
        <f>F47*Q58</f>
        <v>#REF!</v>
      </c>
      <c r="G56" s="431" t="e">
        <f>G47*R58</f>
        <v>#REF!</v>
      </c>
      <c r="H56" s="431" t="e">
        <f>H47*S58</f>
        <v>#REF!</v>
      </c>
      <c r="I56" s="431" t="e">
        <f>I47*T58</f>
        <v>#REF!</v>
      </c>
      <c r="J56" s="431" t="e">
        <f>J47*U58</f>
        <v>#REF!</v>
      </c>
      <c r="K56" s="418" t="e">
        <f>SUM(F56:J56)</f>
        <v>#REF!</v>
      </c>
      <c r="L56" s="396" t="e">
        <f t="shared" ref="L56:L58" si="35">+E56+K56</f>
        <v>#REF!</v>
      </c>
      <c r="N56" s="64"/>
      <c r="O56" s="410"/>
      <c r="S56" s="693"/>
      <c r="T56" s="694"/>
      <c r="U56" s="694"/>
      <c r="V56" s="695"/>
    </row>
    <row r="57" spans="2:22" ht="27.95" customHeight="1" x14ac:dyDescent="0.25">
      <c r="B57" s="684"/>
      <c r="C57" s="685"/>
      <c r="D57" s="686"/>
      <c r="E57" s="688"/>
      <c r="F57" s="432" t="e">
        <f>+E56+F56</f>
        <v>#REF!</v>
      </c>
      <c r="G57" s="433" t="e">
        <f>+F57+G56</f>
        <v>#REF!</v>
      </c>
      <c r="H57" s="433" t="e">
        <f>+G57+H56</f>
        <v>#REF!</v>
      </c>
      <c r="I57" s="433" t="e">
        <f>+H57+I56</f>
        <v>#REF!</v>
      </c>
      <c r="J57" s="433" t="e">
        <f t="shared" ref="J57" si="36">+I57+J56</f>
        <v>#REF!</v>
      </c>
      <c r="K57" s="393"/>
      <c r="L57" s="393"/>
      <c r="Q57" s="421">
        <v>2016</v>
      </c>
      <c r="R57" s="421">
        <v>2017</v>
      </c>
      <c r="S57" s="421">
        <v>2018</v>
      </c>
      <c r="T57" s="421">
        <v>2019</v>
      </c>
      <c r="U57" s="421">
        <v>2020</v>
      </c>
    </row>
    <row r="58" spans="2:22" ht="27.95" customHeight="1" x14ac:dyDescent="0.25">
      <c r="B58" s="681" t="s">
        <v>3</v>
      </c>
      <c r="C58" s="682"/>
      <c r="D58" s="682"/>
      <c r="E58" s="687" t="e">
        <f>#REF!/1000</f>
        <v>#REF!</v>
      </c>
      <c r="F58" s="417" t="e">
        <f>F47*Q59</f>
        <v>#REF!</v>
      </c>
      <c r="G58" s="431" t="e">
        <f>G47*R59</f>
        <v>#REF!</v>
      </c>
      <c r="H58" s="431" t="e">
        <f t="shared" ref="H58:I58" si="37">H47*S59</f>
        <v>#REF!</v>
      </c>
      <c r="I58" s="431" t="e">
        <f t="shared" si="37"/>
        <v>#REF!</v>
      </c>
      <c r="J58" s="431" t="e">
        <f>J47*U59</f>
        <v>#REF!</v>
      </c>
      <c r="K58" s="418" t="e">
        <f>SUM(F58:J58)</f>
        <v>#REF!</v>
      </c>
      <c r="L58" s="396" t="e">
        <f t="shared" si="35"/>
        <v>#REF!</v>
      </c>
      <c r="N58" s="64"/>
      <c r="P58" t="s">
        <v>2</v>
      </c>
      <c r="Q58" s="416">
        <v>0.55000000000000004</v>
      </c>
      <c r="R58" s="416">
        <v>0.5</v>
      </c>
      <c r="S58" s="416">
        <v>0.29870999999999998</v>
      </c>
      <c r="T58" s="416">
        <v>0.23330999999999999</v>
      </c>
      <c r="U58" s="416">
        <v>0.1</v>
      </c>
      <c r="V58" s="416"/>
    </row>
    <row r="59" spans="2:22" ht="27.95" customHeight="1" thickBot="1" x14ac:dyDescent="0.3">
      <c r="B59" s="689"/>
      <c r="C59" s="690"/>
      <c r="D59" s="690"/>
      <c r="E59" s="691"/>
      <c r="F59" s="424" t="e">
        <f>+E58+F58</f>
        <v>#REF!</v>
      </c>
      <c r="G59" s="434" t="e">
        <f>+F59+G58</f>
        <v>#REF!</v>
      </c>
      <c r="H59" s="434" t="e">
        <f t="shared" ref="H59:J59" si="38">+G59+H58</f>
        <v>#REF!</v>
      </c>
      <c r="I59" s="434" t="e">
        <f t="shared" si="38"/>
        <v>#REF!</v>
      </c>
      <c r="J59" s="434" t="e">
        <f t="shared" si="38"/>
        <v>#REF!</v>
      </c>
      <c r="K59" s="435"/>
      <c r="L59" s="397"/>
      <c r="P59" t="s">
        <v>336</v>
      </c>
      <c r="Q59" s="416">
        <f>1-Q58</f>
        <v>0.44999999999999996</v>
      </c>
      <c r="R59" s="416">
        <f>1-R58</f>
        <v>0.5</v>
      </c>
      <c r="S59" s="416">
        <f>1-S58</f>
        <v>0.70128999999999997</v>
      </c>
      <c r="T59" s="416">
        <f t="shared" ref="T59" si="39">1-T58</f>
        <v>0.76668999999999998</v>
      </c>
      <c r="U59" s="416">
        <f>1-U58</f>
        <v>0.9</v>
      </c>
      <c r="V59" s="416"/>
    </row>
    <row r="60" spans="2:22" x14ac:dyDescent="0.25">
      <c r="F60" s="64"/>
      <c r="G60" s="64"/>
      <c r="H60" s="64"/>
      <c r="I60" s="64"/>
      <c r="J60" s="64"/>
      <c r="K60" s="64"/>
      <c r="L60" s="64"/>
      <c r="Q60" s="416"/>
      <c r="R60" s="416"/>
      <c r="S60" s="416"/>
      <c r="T60" s="416"/>
      <c r="U60" s="416"/>
      <c r="V60" s="416"/>
    </row>
    <row r="61" spans="2:22" ht="10.5" customHeight="1" thickBot="1" x14ac:dyDescent="0.3">
      <c r="B61" s="627"/>
      <c r="C61" s="627"/>
      <c r="D61" s="627"/>
      <c r="E61" s="381"/>
      <c r="F61" s="629"/>
      <c r="G61" s="629"/>
      <c r="H61" s="629"/>
      <c r="I61" s="627"/>
      <c r="J61" s="627"/>
      <c r="K61" s="627"/>
      <c r="L61" s="403"/>
    </row>
    <row r="62" spans="2:22" ht="27.95" customHeight="1" x14ac:dyDescent="0.25">
      <c r="B62" s="627"/>
      <c r="C62" s="627"/>
      <c r="D62" s="670"/>
      <c r="E62" s="630" t="s">
        <v>342</v>
      </c>
      <c r="F62" s="639" t="s">
        <v>343</v>
      </c>
      <c r="G62" s="641">
        <v>2017</v>
      </c>
      <c r="H62" s="645">
        <v>2018</v>
      </c>
      <c r="I62" s="672"/>
      <c r="J62" s="672"/>
      <c r="K62" s="672"/>
      <c r="L62" s="672"/>
    </row>
    <row r="63" spans="2:22" ht="27.95" customHeight="1" thickBot="1" x14ac:dyDescent="0.3">
      <c r="B63" s="629"/>
      <c r="C63" s="629"/>
      <c r="D63" s="671"/>
      <c r="E63" s="632"/>
      <c r="F63" s="673"/>
      <c r="G63" s="674"/>
      <c r="H63" s="646"/>
      <c r="I63" s="672"/>
      <c r="J63" s="672"/>
      <c r="K63" s="672"/>
      <c r="L63" s="672"/>
    </row>
    <row r="64" spans="2:22" ht="27.95" customHeight="1" x14ac:dyDescent="0.25">
      <c r="B64" s="675" t="s">
        <v>332</v>
      </c>
      <c r="C64" s="676"/>
      <c r="D64" s="382"/>
      <c r="E64" s="679" t="e">
        <f>L48</f>
        <v>#REF!</v>
      </c>
      <c r="F64" s="262" t="e">
        <f>E64</f>
        <v>#REF!</v>
      </c>
      <c r="G64" s="260" t="e">
        <f>(L54-F64)*Q68</f>
        <v>#REF!</v>
      </c>
      <c r="H64" s="389" t="e">
        <f>(L54-F64)*R68</f>
        <v>#REF!</v>
      </c>
      <c r="I64" s="404"/>
      <c r="J64" s="404"/>
      <c r="K64" s="404"/>
      <c r="L64" s="404"/>
    </row>
    <row r="65" spans="2:19" ht="27.95" customHeight="1" x14ac:dyDescent="0.25">
      <c r="B65" s="677"/>
      <c r="C65" s="678"/>
      <c r="D65" s="412"/>
      <c r="E65" s="680"/>
      <c r="F65" s="390" t="e">
        <f>E64</f>
        <v>#REF!</v>
      </c>
      <c r="G65" s="391" t="e">
        <f>F65+G64</f>
        <v>#REF!</v>
      </c>
      <c r="H65" s="406" t="e">
        <f t="shared" ref="H65" si="40">G65+H64</f>
        <v>#REF!</v>
      </c>
      <c r="I65" s="404"/>
      <c r="J65" s="404"/>
      <c r="K65" s="404"/>
      <c r="L65" s="404"/>
      <c r="O65" s="64"/>
      <c r="Q65">
        <v>2017</v>
      </c>
      <c r="R65">
        <v>2018</v>
      </c>
    </row>
    <row r="66" spans="2:19" ht="27.95" customHeight="1" x14ac:dyDescent="0.25">
      <c r="B66" s="681" t="s">
        <v>2</v>
      </c>
      <c r="C66" s="682"/>
      <c r="D66" s="683"/>
      <c r="E66" s="687" t="e">
        <f>#REF!</f>
        <v>#REF!</v>
      </c>
      <c r="F66" s="394">
        <v>0</v>
      </c>
      <c r="G66" s="395" t="e">
        <f>(L56-E66)*Q68</f>
        <v>#REF!</v>
      </c>
      <c r="H66" s="407" t="e">
        <f>(L56-E66)*R68</f>
        <v>#REF!</v>
      </c>
      <c r="I66" s="405"/>
      <c r="J66" s="422"/>
      <c r="K66" s="422"/>
      <c r="L66" s="422"/>
    </row>
    <row r="67" spans="2:19" ht="27.95" customHeight="1" x14ac:dyDescent="0.25">
      <c r="B67" s="684"/>
      <c r="C67" s="685"/>
      <c r="D67" s="686"/>
      <c r="E67" s="688"/>
      <c r="F67" s="425" t="e">
        <f>+E66+F66</f>
        <v>#REF!</v>
      </c>
      <c r="G67" s="426" t="e">
        <f>+F67+G66</f>
        <v>#REF!</v>
      </c>
      <c r="H67" s="429" t="e">
        <f t="shared" ref="H67" si="41">+G67+H66</f>
        <v>#REF!</v>
      </c>
      <c r="I67" s="411"/>
      <c r="J67" s="411"/>
      <c r="K67" s="405"/>
      <c r="L67" s="405"/>
      <c r="Q67">
        <v>331170.48323161178</v>
      </c>
      <c r="R67">
        <v>137680.49847175495</v>
      </c>
      <c r="S67">
        <f>Q67+R67</f>
        <v>468850.98170336674</v>
      </c>
    </row>
    <row r="68" spans="2:19" ht="27.95" customHeight="1" x14ac:dyDescent="0.25">
      <c r="B68" s="681" t="s">
        <v>3</v>
      </c>
      <c r="C68" s="682"/>
      <c r="D68" s="682"/>
      <c r="E68" s="687" t="e">
        <f>#REF!</f>
        <v>#REF!</v>
      </c>
      <c r="F68" s="394">
        <v>0</v>
      </c>
      <c r="G68" s="395" t="e">
        <f>(L58-E68)*Q68</f>
        <v>#REF!</v>
      </c>
      <c r="H68" s="407" t="e">
        <f>(L58-E68)*R68</f>
        <v>#REF!</v>
      </c>
      <c r="I68" s="405"/>
      <c r="J68" s="405"/>
      <c r="K68" s="405"/>
      <c r="L68" s="405"/>
      <c r="Q68" s="109">
        <f>Q67/S67</f>
        <v>0.70634486469122326</v>
      </c>
      <c r="R68" s="109">
        <f>R67/S67</f>
        <v>0.29365513530877674</v>
      </c>
    </row>
    <row r="69" spans="2:19" ht="27.95" customHeight="1" thickBot="1" x14ac:dyDescent="0.3">
      <c r="B69" s="689"/>
      <c r="C69" s="690"/>
      <c r="D69" s="690"/>
      <c r="E69" s="691"/>
      <c r="F69" s="427" t="e">
        <f>+E68+F68</f>
        <v>#REF!</v>
      </c>
      <c r="G69" s="428" t="e">
        <f>+F69+G68</f>
        <v>#REF!</v>
      </c>
      <c r="H69" s="423" t="e">
        <f>+G69+H68</f>
        <v>#REF!</v>
      </c>
      <c r="I69" s="411"/>
      <c r="J69" s="411"/>
      <c r="K69" s="405"/>
      <c r="L69" s="405"/>
    </row>
    <row r="70" spans="2:19" x14ac:dyDescent="0.25">
      <c r="F70" s="64"/>
      <c r="G70" s="64"/>
      <c r="H70" s="64"/>
      <c r="I70" s="64"/>
      <c r="J70" s="64"/>
    </row>
    <row r="71" spans="2:19" x14ac:dyDescent="0.25">
      <c r="B71" s="323" t="s">
        <v>341</v>
      </c>
      <c r="F71" s="64"/>
      <c r="G71" s="64"/>
      <c r="H71" s="64"/>
      <c r="I71" s="64"/>
      <c r="J71" s="64"/>
      <c r="K71" s="300" t="s">
        <v>144</v>
      </c>
      <c r="L71" s="112" t="e">
        <f>#REF!</f>
        <v>#REF!</v>
      </c>
    </row>
    <row r="76" spans="2:19" x14ac:dyDescent="0.25">
      <c r="H76" s="64"/>
    </row>
    <row r="77" spans="2:19" x14ac:dyDescent="0.25">
      <c r="H77" s="64"/>
    </row>
    <row r="80" spans="2:19" x14ac:dyDescent="0.25">
      <c r="F80" s="64"/>
      <c r="G80" s="64"/>
      <c r="H80" s="64"/>
      <c r="I80" s="64"/>
      <c r="J80" s="64"/>
      <c r="K80" s="64"/>
      <c r="L80" s="64"/>
    </row>
    <row r="81" spans="2:12" ht="18" x14ac:dyDescent="0.25">
      <c r="B81" s="692"/>
      <c r="C81" s="692"/>
      <c r="F81" s="64"/>
      <c r="G81" s="64"/>
      <c r="H81" s="64"/>
      <c r="I81" s="64"/>
      <c r="J81" s="64"/>
      <c r="K81" s="64"/>
      <c r="L81" s="64"/>
    </row>
    <row r="82" spans="2:12" x14ac:dyDescent="0.25">
      <c r="H82" s="64"/>
      <c r="I82" s="64"/>
    </row>
    <row r="83" spans="2:12" x14ac:dyDescent="0.25">
      <c r="F83" s="64"/>
      <c r="G83" s="64"/>
      <c r="H83" s="64"/>
      <c r="I83" s="64"/>
      <c r="J83" s="64"/>
      <c r="K83" s="64"/>
    </row>
    <row r="84" spans="2:12" x14ac:dyDescent="0.25">
      <c r="F84" s="64"/>
      <c r="G84" s="64"/>
      <c r="H84" s="64"/>
      <c r="I84" s="64"/>
      <c r="J84" s="64"/>
      <c r="K84" s="64"/>
    </row>
    <row r="85" spans="2:12" x14ac:dyDescent="0.25">
      <c r="G85" s="64"/>
      <c r="H85" s="64"/>
      <c r="I85" s="64"/>
      <c r="J85" s="64"/>
      <c r="K85" s="64"/>
    </row>
    <row r="87" spans="2:12" x14ac:dyDescent="0.25">
      <c r="G87" s="64"/>
      <c r="H87" s="64"/>
      <c r="I87" s="64"/>
      <c r="J87" s="64"/>
      <c r="K87" s="64"/>
    </row>
    <row r="100" spans="3:5" x14ac:dyDescent="0.25">
      <c r="C100" s="8"/>
      <c r="D100" s="8"/>
      <c r="E100" s="8"/>
    </row>
    <row r="101" spans="3:5" x14ac:dyDescent="0.25">
      <c r="C101" s="8"/>
      <c r="D101" s="8"/>
      <c r="E101" s="8"/>
    </row>
  </sheetData>
  <mergeCells count="83">
    <mergeCell ref="B11:D11"/>
    <mergeCell ref="B2:L2"/>
    <mergeCell ref="B3:L3"/>
    <mergeCell ref="B4:L4"/>
    <mergeCell ref="P5:T5"/>
    <mergeCell ref="B7:D9"/>
    <mergeCell ref="E7:E9"/>
    <mergeCell ref="F7:K7"/>
    <mergeCell ref="L7:L9"/>
    <mergeCell ref="F8:F9"/>
    <mergeCell ref="G8:G9"/>
    <mergeCell ref="H8:H9"/>
    <mergeCell ref="I8:I9"/>
    <mergeCell ref="J8:J9"/>
    <mergeCell ref="K8:K9"/>
    <mergeCell ref="B10:C10"/>
    <mergeCell ref="B23:D23"/>
    <mergeCell ref="B12:D12"/>
    <mergeCell ref="B13:C13"/>
    <mergeCell ref="B14:D14"/>
    <mergeCell ref="B15:D15"/>
    <mergeCell ref="B16:C16"/>
    <mergeCell ref="B17:D17"/>
    <mergeCell ref="B18:D18"/>
    <mergeCell ref="B19:C19"/>
    <mergeCell ref="B20:D20"/>
    <mergeCell ref="B21:D21"/>
    <mergeCell ref="B22:C22"/>
    <mergeCell ref="B39:D39"/>
    <mergeCell ref="B24:D24"/>
    <mergeCell ref="B26:D26"/>
    <mergeCell ref="B27:D27"/>
    <mergeCell ref="B29:D29"/>
    <mergeCell ref="B30:D30"/>
    <mergeCell ref="B32:D32"/>
    <mergeCell ref="B33:D33"/>
    <mergeCell ref="B35:D35"/>
    <mergeCell ref="B36:D36"/>
    <mergeCell ref="B37:C37"/>
    <mergeCell ref="B38:D38"/>
    <mergeCell ref="H52:H53"/>
    <mergeCell ref="B40:C40"/>
    <mergeCell ref="B41:D41"/>
    <mergeCell ref="B42:D42"/>
    <mergeCell ref="B43:C43"/>
    <mergeCell ref="B44:C44"/>
    <mergeCell ref="B47:C47"/>
    <mergeCell ref="B48:D48"/>
    <mergeCell ref="B49:D49"/>
    <mergeCell ref="E52:E53"/>
    <mergeCell ref="F52:F53"/>
    <mergeCell ref="G52:G53"/>
    <mergeCell ref="B45:D45"/>
    <mergeCell ref="B46:D46"/>
    <mergeCell ref="F61:K61"/>
    <mergeCell ref="B68:D69"/>
    <mergeCell ref="E68:E69"/>
    <mergeCell ref="B81:C81"/>
    <mergeCell ref="I62:I63"/>
    <mergeCell ref="J62:J63"/>
    <mergeCell ref="B64:C65"/>
    <mergeCell ref="E64:E65"/>
    <mergeCell ref="B56:D57"/>
    <mergeCell ref="E56:E57"/>
    <mergeCell ref="B58:D59"/>
    <mergeCell ref="E58:E59"/>
    <mergeCell ref="B61:D63"/>
    <mergeCell ref="S56:V56"/>
    <mergeCell ref="B5:L5"/>
    <mergeCell ref="B66:D67"/>
    <mergeCell ref="E66:E67"/>
    <mergeCell ref="E62:E63"/>
    <mergeCell ref="F62:F63"/>
    <mergeCell ref="G62:G63"/>
    <mergeCell ref="H62:H63"/>
    <mergeCell ref="I52:I53"/>
    <mergeCell ref="J52:J53"/>
    <mergeCell ref="K52:K53"/>
    <mergeCell ref="L52:L53"/>
    <mergeCell ref="B54:C55"/>
    <mergeCell ref="E54:E55"/>
    <mergeCell ref="K62:K63"/>
    <mergeCell ref="L62:L63"/>
  </mergeCells>
  <printOptions horizontalCentered="1"/>
  <pageMargins left="0.43307086614173229" right="0.23622047244094491" top="0.78740157480314965" bottom="0.78740157480314965" header="0.31496062992125984" footer="0.31496062992125984"/>
  <pageSetup paperSize="9" scale="38" orientation="portrait" r:id="rId1"/>
  <headerFooter>
    <oddHeader>&amp;L&amp;G&amp;R&amp;9Superintendência de Gestão de Projetos Especiais - TG
Departamento de Planejamento e Controle - TGC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U181"/>
  <sheetViews>
    <sheetView showGridLines="0" tabSelected="1" topLeftCell="B1" zoomScale="80" zoomScaleNormal="80" zoomScaleSheetLayoutView="70" workbookViewId="0">
      <pane xSplit="2" ySplit="13" topLeftCell="D14" activePane="bottomRight" state="frozen"/>
      <selection activeCell="B1" sqref="B1"/>
      <selection pane="topRight" activeCell="D1" sqref="D1"/>
      <selection pane="bottomLeft" activeCell="B14" sqref="B14"/>
      <selection pane="bottomRight" activeCell="U94" sqref="U94"/>
    </sheetView>
  </sheetViews>
  <sheetFormatPr defaultRowHeight="15" x14ac:dyDescent="0.25"/>
  <cols>
    <col min="1" max="1" width="20.28515625" hidden="1" customWidth="1"/>
    <col min="2" max="2" width="1.28515625" customWidth="1"/>
    <col min="3" max="3" width="7" customWidth="1"/>
    <col min="4" max="4" width="13.28515625" customWidth="1"/>
    <col min="5" max="5" width="46.85546875" customWidth="1"/>
    <col min="6" max="6" width="44.42578125" customWidth="1"/>
    <col min="7" max="7" width="27.85546875" customWidth="1"/>
    <col min="8" max="8" width="9" customWidth="1"/>
    <col min="9" max="9" width="35.28515625" customWidth="1"/>
    <col min="10" max="10" width="13.7109375" customWidth="1"/>
    <col min="11" max="11" width="13.140625" customWidth="1"/>
    <col min="12" max="12" width="15.5703125" customWidth="1"/>
    <col min="13" max="13" width="15.42578125" customWidth="1"/>
    <col min="14" max="14" width="11.85546875" customWidth="1"/>
    <col min="15" max="15" width="15.7109375" style="321" customWidth="1"/>
    <col min="16" max="16" width="13.42578125" style="321" customWidth="1"/>
    <col min="17" max="17" width="15.7109375" style="321" customWidth="1"/>
    <col min="18" max="18" width="11.85546875" style="321" customWidth="1"/>
    <col min="19" max="19" width="22.140625" customWidth="1"/>
    <col min="20" max="20" width="4.140625" customWidth="1"/>
    <col min="21" max="21" width="20.85546875" customWidth="1"/>
    <col min="22" max="22" width="14" customWidth="1"/>
    <col min="23" max="23" width="22.140625" customWidth="1"/>
  </cols>
  <sheetData>
    <row r="1" spans="3:19" x14ac:dyDescent="0.25">
      <c r="C1" s="713" t="s">
        <v>304</v>
      </c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</row>
    <row r="2" spans="3:19" ht="2.1" customHeight="1" x14ac:dyDescent="0.25"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</row>
    <row r="3" spans="3:19" x14ac:dyDescent="0.25">
      <c r="C3" s="714" t="s">
        <v>305</v>
      </c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</row>
    <row r="4" spans="3:19" ht="15.75" x14ac:dyDescent="0.25">
      <c r="C4" s="715" t="s">
        <v>306</v>
      </c>
      <c r="D4" s="715"/>
      <c r="E4" s="715"/>
      <c r="F4" s="716"/>
      <c r="G4" s="716"/>
      <c r="H4" s="716"/>
      <c r="I4" s="716"/>
      <c r="J4" s="716"/>
      <c r="K4" s="716"/>
      <c r="L4" s="716"/>
      <c r="M4" s="716"/>
      <c r="N4" s="716"/>
      <c r="O4" s="716"/>
      <c r="P4" s="716"/>
      <c r="Q4" s="716"/>
      <c r="R4" s="716"/>
      <c r="S4" s="716"/>
    </row>
    <row r="5" spans="3:19" ht="15.75" x14ac:dyDescent="0.25">
      <c r="C5" s="717" t="s">
        <v>350</v>
      </c>
      <c r="D5" s="717"/>
      <c r="E5" s="717"/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718"/>
      <c r="Q5" s="718"/>
      <c r="R5" s="718"/>
      <c r="S5" s="718"/>
    </row>
    <row r="6" spans="3:19" ht="15.75" x14ac:dyDescent="0.25">
      <c r="C6" s="518" t="s">
        <v>567</v>
      </c>
      <c r="D6" s="519"/>
      <c r="E6" s="519"/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520"/>
      <c r="Q6" s="520"/>
      <c r="R6" s="520"/>
      <c r="S6" s="520"/>
    </row>
    <row r="7" spans="3:19" ht="15.75" x14ac:dyDescent="0.25">
      <c r="C7" s="521" t="s">
        <v>566</v>
      </c>
      <c r="D7" s="519"/>
      <c r="E7" s="519"/>
      <c r="F7" s="518"/>
      <c r="G7" s="518"/>
      <c r="H7" s="518"/>
      <c r="I7" s="518"/>
      <c r="J7" s="518"/>
      <c r="K7" s="518"/>
      <c r="L7" s="540"/>
      <c r="M7" s="541"/>
      <c r="N7" s="542"/>
      <c r="O7" s="542"/>
      <c r="P7" s="542"/>
      <c r="Q7" s="542"/>
      <c r="R7" s="542"/>
      <c r="S7" s="542"/>
    </row>
    <row r="8" spans="3:19" ht="15.75" x14ac:dyDescent="0.25">
      <c r="C8" s="521" t="s">
        <v>351</v>
      </c>
      <c r="D8" s="519"/>
      <c r="E8" s="519"/>
      <c r="F8" s="521"/>
      <c r="G8" s="521"/>
      <c r="H8" s="521"/>
      <c r="I8" s="521"/>
      <c r="J8" s="521"/>
      <c r="K8" s="521"/>
      <c r="L8" s="543"/>
      <c r="M8" s="544"/>
      <c r="N8" s="542"/>
      <c r="O8" s="542"/>
      <c r="P8" s="542"/>
      <c r="Q8" s="541"/>
      <c r="R8" s="542"/>
      <c r="S8" s="538"/>
    </row>
    <row r="9" spans="3:19" ht="16.5" thickBot="1" x14ac:dyDescent="0.3">
      <c r="C9" s="521"/>
      <c r="D9" s="519"/>
      <c r="E9" s="519"/>
      <c r="F9" s="521"/>
      <c r="G9" s="521"/>
      <c r="H9" s="521"/>
      <c r="I9" s="521"/>
      <c r="J9" s="521"/>
      <c r="K9" s="521"/>
      <c r="L9" s="543"/>
      <c r="M9" s="544"/>
      <c r="N9" s="542"/>
      <c r="O9" s="542"/>
      <c r="P9" s="542"/>
      <c r="Q9" s="542"/>
      <c r="R9" s="542"/>
      <c r="S9" s="542"/>
    </row>
    <row r="10" spans="3:19" ht="21.75" customHeight="1" x14ac:dyDescent="0.25">
      <c r="C10" s="725" t="s">
        <v>511</v>
      </c>
      <c r="D10" s="722" t="s">
        <v>507</v>
      </c>
      <c r="E10" s="719" t="s">
        <v>508</v>
      </c>
      <c r="F10" s="719" t="s">
        <v>380</v>
      </c>
      <c r="G10" s="719" t="s">
        <v>307</v>
      </c>
      <c r="H10" s="722" t="s">
        <v>503</v>
      </c>
      <c r="I10" s="722" t="s">
        <v>392</v>
      </c>
      <c r="J10" s="733" t="s">
        <v>509</v>
      </c>
      <c r="K10" s="733"/>
      <c r="L10" s="733"/>
      <c r="M10" s="722" t="s">
        <v>394</v>
      </c>
      <c r="N10" s="722" t="s">
        <v>395</v>
      </c>
      <c r="O10" s="733" t="s">
        <v>510</v>
      </c>
      <c r="P10" s="733"/>
      <c r="Q10" s="722" t="s">
        <v>514</v>
      </c>
      <c r="R10" s="722" t="s">
        <v>398</v>
      </c>
      <c r="S10" s="728" t="s">
        <v>308</v>
      </c>
    </row>
    <row r="11" spans="3:19" ht="15" customHeight="1" x14ac:dyDescent="0.25">
      <c r="C11" s="726"/>
      <c r="D11" s="720"/>
      <c r="E11" s="720"/>
      <c r="F11" s="720"/>
      <c r="G11" s="720"/>
      <c r="H11" s="723"/>
      <c r="I11" s="723"/>
      <c r="J11" s="723" t="s">
        <v>504</v>
      </c>
      <c r="K11" s="723" t="s">
        <v>393</v>
      </c>
      <c r="L11" s="723" t="s">
        <v>515</v>
      </c>
      <c r="M11" s="723"/>
      <c r="N11" s="723"/>
      <c r="O11" s="723" t="s">
        <v>397</v>
      </c>
      <c r="P11" s="723" t="s">
        <v>396</v>
      </c>
      <c r="Q11" s="720"/>
      <c r="R11" s="723"/>
      <c r="S11" s="729"/>
    </row>
    <row r="12" spans="3:19" ht="21" customHeight="1" x14ac:dyDescent="0.25">
      <c r="C12" s="726"/>
      <c r="D12" s="720"/>
      <c r="E12" s="720"/>
      <c r="F12" s="720"/>
      <c r="G12" s="720"/>
      <c r="H12" s="723"/>
      <c r="I12" s="723"/>
      <c r="J12" s="723"/>
      <c r="K12" s="723"/>
      <c r="L12" s="723"/>
      <c r="M12" s="723"/>
      <c r="N12" s="723"/>
      <c r="O12" s="723"/>
      <c r="P12" s="723"/>
      <c r="Q12" s="720"/>
      <c r="R12" s="723"/>
      <c r="S12" s="729"/>
    </row>
    <row r="13" spans="3:19" ht="42.75" customHeight="1" thickBot="1" x14ac:dyDescent="0.3">
      <c r="C13" s="727"/>
      <c r="D13" s="721"/>
      <c r="E13" s="721"/>
      <c r="F13" s="721"/>
      <c r="G13" s="721"/>
      <c r="H13" s="724"/>
      <c r="I13" s="724"/>
      <c r="J13" s="724"/>
      <c r="K13" s="724"/>
      <c r="L13" s="724"/>
      <c r="M13" s="724"/>
      <c r="N13" s="724"/>
      <c r="O13" s="724"/>
      <c r="P13" s="724"/>
      <c r="Q13" s="721"/>
      <c r="R13" s="724"/>
      <c r="S13" s="730"/>
    </row>
    <row r="14" spans="3:19" ht="30" customHeight="1" thickBot="1" x14ac:dyDescent="0.3">
      <c r="C14" s="476" t="s">
        <v>381</v>
      </c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8"/>
    </row>
    <row r="15" spans="3:19" ht="45.95" customHeight="1" x14ac:dyDescent="0.25">
      <c r="C15" s="546">
        <v>1.1000000000000001</v>
      </c>
      <c r="D15" s="546" t="s">
        <v>435</v>
      </c>
      <c r="E15" s="547" t="s">
        <v>388</v>
      </c>
      <c r="F15" s="547" t="s">
        <v>452</v>
      </c>
      <c r="G15" s="523" t="s">
        <v>391</v>
      </c>
      <c r="H15" s="523" t="s">
        <v>108</v>
      </c>
      <c r="I15" s="548" t="s">
        <v>530</v>
      </c>
      <c r="J15" s="479">
        <v>65349.920719695037</v>
      </c>
      <c r="K15" s="549">
        <v>0.75</v>
      </c>
      <c r="L15" s="549">
        <v>0.25</v>
      </c>
      <c r="M15" s="546" t="s">
        <v>316</v>
      </c>
      <c r="N15" s="523" t="s">
        <v>506</v>
      </c>
      <c r="O15" s="536" t="s">
        <v>544</v>
      </c>
      <c r="P15" s="537">
        <v>40511</v>
      </c>
      <c r="Q15" s="550" t="s">
        <v>108</v>
      </c>
      <c r="R15" s="523" t="s">
        <v>531</v>
      </c>
      <c r="S15" s="523" t="s">
        <v>431</v>
      </c>
    </row>
    <row r="16" spans="3:19" ht="45.95" customHeight="1" x14ac:dyDescent="0.25">
      <c r="C16" s="546">
        <v>1.2</v>
      </c>
      <c r="D16" s="546" t="s">
        <v>435</v>
      </c>
      <c r="E16" s="547" t="s">
        <v>388</v>
      </c>
      <c r="F16" s="547" t="s">
        <v>452</v>
      </c>
      <c r="G16" s="523" t="s">
        <v>391</v>
      </c>
      <c r="H16" s="523" t="s">
        <v>108</v>
      </c>
      <c r="I16" s="548" t="s">
        <v>534</v>
      </c>
      <c r="J16" s="479">
        <v>92939.261144767021</v>
      </c>
      <c r="K16" s="549">
        <v>0.75</v>
      </c>
      <c r="L16" s="549">
        <v>0.25</v>
      </c>
      <c r="M16" s="546" t="s">
        <v>316</v>
      </c>
      <c r="N16" s="523" t="s">
        <v>506</v>
      </c>
      <c r="O16" s="536" t="s">
        <v>544</v>
      </c>
      <c r="P16" s="537">
        <v>40507</v>
      </c>
      <c r="Q16" s="550" t="s">
        <v>108</v>
      </c>
      <c r="R16" s="523" t="s">
        <v>532</v>
      </c>
      <c r="S16" s="523" t="s">
        <v>430</v>
      </c>
    </row>
    <row r="17" spans="3:20" ht="45.95" customHeight="1" x14ac:dyDescent="0.25">
      <c r="C17" s="546">
        <v>1.3</v>
      </c>
      <c r="D17" s="546" t="s">
        <v>435</v>
      </c>
      <c r="E17" s="547" t="s">
        <v>388</v>
      </c>
      <c r="F17" s="547" t="s">
        <v>452</v>
      </c>
      <c r="G17" s="523" t="s">
        <v>391</v>
      </c>
      <c r="H17" s="523" t="s">
        <v>108</v>
      </c>
      <c r="I17" s="548" t="s">
        <v>535</v>
      </c>
      <c r="J17" s="479">
        <v>82563.789598392585</v>
      </c>
      <c r="K17" s="549">
        <v>0.75</v>
      </c>
      <c r="L17" s="549">
        <v>0.25</v>
      </c>
      <c r="M17" s="546" t="s">
        <v>316</v>
      </c>
      <c r="N17" s="523" t="s">
        <v>506</v>
      </c>
      <c r="O17" s="536" t="s">
        <v>544</v>
      </c>
      <c r="P17" s="537">
        <v>40506</v>
      </c>
      <c r="Q17" s="550" t="s">
        <v>108</v>
      </c>
      <c r="R17" s="523" t="s">
        <v>533</v>
      </c>
      <c r="S17" s="481" t="s">
        <v>454</v>
      </c>
    </row>
    <row r="18" spans="3:20" ht="45.95" customHeight="1" x14ac:dyDescent="0.25">
      <c r="C18" s="484">
        <v>1.4</v>
      </c>
      <c r="D18" s="546" t="s">
        <v>435</v>
      </c>
      <c r="E18" s="551" t="s">
        <v>389</v>
      </c>
      <c r="F18" s="551" t="s">
        <v>516</v>
      </c>
      <c r="G18" s="481" t="s">
        <v>391</v>
      </c>
      <c r="H18" s="481" t="s">
        <v>108</v>
      </c>
      <c r="I18" s="552" t="s">
        <v>540</v>
      </c>
      <c r="J18" s="480">
        <f>(41803144.3070528+11448.82)/1000</f>
        <v>41814.593127052802</v>
      </c>
      <c r="K18" s="483">
        <v>0.75</v>
      </c>
      <c r="L18" s="483">
        <v>0.25</v>
      </c>
      <c r="M18" s="484" t="s">
        <v>318</v>
      </c>
      <c r="N18" s="481" t="s">
        <v>506</v>
      </c>
      <c r="O18" s="533" t="s">
        <v>545</v>
      </c>
      <c r="P18" s="537">
        <v>40511</v>
      </c>
      <c r="Q18" s="481" t="s">
        <v>108</v>
      </c>
      <c r="R18" s="481" t="s">
        <v>536</v>
      </c>
      <c r="S18" s="535" t="s">
        <v>431</v>
      </c>
    </row>
    <row r="19" spans="3:20" ht="45.95" customHeight="1" x14ac:dyDescent="0.25">
      <c r="C19" s="484">
        <v>1.5</v>
      </c>
      <c r="D19" s="546" t="s">
        <v>435</v>
      </c>
      <c r="E19" s="551" t="s">
        <v>389</v>
      </c>
      <c r="F19" s="551" t="s">
        <v>516</v>
      </c>
      <c r="G19" s="481" t="s">
        <v>391</v>
      </c>
      <c r="H19" s="481" t="s">
        <v>108</v>
      </c>
      <c r="I19" s="552" t="s">
        <v>541</v>
      </c>
      <c r="J19" s="480">
        <v>15048.811703841857</v>
      </c>
      <c r="K19" s="483">
        <v>0.75</v>
      </c>
      <c r="L19" s="483">
        <v>0.25</v>
      </c>
      <c r="M19" s="484" t="s">
        <v>318</v>
      </c>
      <c r="N19" s="481" t="s">
        <v>506</v>
      </c>
      <c r="O19" s="533" t="s">
        <v>545</v>
      </c>
      <c r="P19" s="537">
        <v>40512</v>
      </c>
      <c r="Q19" s="481" t="s">
        <v>108</v>
      </c>
      <c r="R19" s="481" t="s">
        <v>537</v>
      </c>
      <c r="S19" s="535" t="s">
        <v>431</v>
      </c>
    </row>
    <row r="20" spans="3:20" ht="45.95" customHeight="1" x14ac:dyDescent="0.25">
      <c r="C20" s="484">
        <v>1.6</v>
      </c>
      <c r="D20" s="546" t="s">
        <v>435</v>
      </c>
      <c r="E20" s="551" t="s">
        <v>389</v>
      </c>
      <c r="F20" s="551" t="s">
        <v>516</v>
      </c>
      <c r="G20" s="481" t="s">
        <v>391</v>
      </c>
      <c r="H20" s="481" t="s">
        <v>108</v>
      </c>
      <c r="I20" s="552" t="s">
        <v>542</v>
      </c>
      <c r="J20" s="480">
        <v>13096.553207087818</v>
      </c>
      <c r="K20" s="483">
        <v>0.75</v>
      </c>
      <c r="L20" s="483">
        <v>0.25</v>
      </c>
      <c r="M20" s="484" t="s">
        <v>318</v>
      </c>
      <c r="N20" s="481" t="s">
        <v>506</v>
      </c>
      <c r="O20" s="533" t="s">
        <v>545</v>
      </c>
      <c r="P20" s="537">
        <v>40512</v>
      </c>
      <c r="Q20" s="481" t="s">
        <v>108</v>
      </c>
      <c r="R20" s="481" t="s">
        <v>538</v>
      </c>
      <c r="S20" s="535" t="s">
        <v>434</v>
      </c>
    </row>
    <row r="21" spans="3:20" ht="45.95" customHeight="1" x14ac:dyDescent="0.25">
      <c r="C21" s="484">
        <v>1.7</v>
      </c>
      <c r="D21" s="546" t="s">
        <v>435</v>
      </c>
      <c r="E21" s="551" t="s">
        <v>389</v>
      </c>
      <c r="F21" s="551" t="s">
        <v>516</v>
      </c>
      <c r="G21" s="481" t="s">
        <v>391</v>
      </c>
      <c r="H21" s="481" t="s">
        <v>108</v>
      </c>
      <c r="I21" s="552" t="s">
        <v>543</v>
      </c>
      <c r="J21" s="480">
        <v>9816.6550020913091</v>
      </c>
      <c r="K21" s="483">
        <v>0.75</v>
      </c>
      <c r="L21" s="483">
        <v>0.25</v>
      </c>
      <c r="M21" s="484" t="s">
        <v>318</v>
      </c>
      <c r="N21" s="481" t="s">
        <v>506</v>
      </c>
      <c r="O21" s="533" t="s">
        <v>545</v>
      </c>
      <c r="P21" s="537">
        <v>40512</v>
      </c>
      <c r="Q21" s="481" t="s">
        <v>108</v>
      </c>
      <c r="R21" s="481" t="s">
        <v>539</v>
      </c>
      <c r="S21" s="534" t="s">
        <v>434</v>
      </c>
    </row>
    <row r="22" spans="3:20" ht="30" customHeight="1" x14ac:dyDescent="0.25">
      <c r="C22" s="484">
        <v>1.8</v>
      </c>
      <c r="D22" s="546" t="s">
        <v>435</v>
      </c>
      <c r="E22" s="551" t="s">
        <v>399</v>
      </c>
      <c r="F22" s="551" t="s">
        <v>495</v>
      </c>
      <c r="G22" s="481" t="s">
        <v>444</v>
      </c>
      <c r="H22" s="481" t="s">
        <v>108</v>
      </c>
      <c r="I22" s="482" t="s">
        <v>200</v>
      </c>
      <c r="J22" s="480">
        <v>11876.95299</v>
      </c>
      <c r="K22" s="483">
        <v>0.75</v>
      </c>
      <c r="L22" s="483">
        <v>0.25</v>
      </c>
      <c r="M22" s="484" t="s">
        <v>319</v>
      </c>
      <c r="N22" s="481" t="s">
        <v>506</v>
      </c>
      <c r="O22" s="533">
        <v>40360</v>
      </c>
      <c r="P22" s="533">
        <v>40541</v>
      </c>
      <c r="Q22" s="493" t="s">
        <v>108</v>
      </c>
      <c r="R22" s="493" t="s">
        <v>436</v>
      </c>
      <c r="S22" s="481" t="s">
        <v>434</v>
      </c>
    </row>
    <row r="23" spans="3:20" ht="30" customHeight="1" x14ac:dyDescent="0.25">
      <c r="C23" s="484">
        <v>1.9</v>
      </c>
      <c r="D23" s="546" t="s">
        <v>435</v>
      </c>
      <c r="E23" s="551" t="s">
        <v>388</v>
      </c>
      <c r="F23" s="551" t="s">
        <v>517</v>
      </c>
      <c r="G23" s="481" t="s">
        <v>444</v>
      </c>
      <c r="H23" s="481" t="s">
        <v>108</v>
      </c>
      <c r="I23" s="482" t="s">
        <v>181</v>
      </c>
      <c r="J23" s="480">
        <v>3124.4075795743083</v>
      </c>
      <c r="K23" s="483">
        <v>0.75</v>
      </c>
      <c r="L23" s="483">
        <v>0.25</v>
      </c>
      <c r="M23" s="484" t="s">
        <v>316</v>
      </c>
      <c r="N23" s="481" t="s">
        <v>506</v>
      </c>
      <c r="O23" s="533">
        <v>40452</v>
      </c>
      <c r="P23" s="533">
        <v>40640</v>
      </c>
      <c r="Q23" s="493" t="s">
        <v>108</v>
      </c>
      <c r="R23" s="493" t="s">
        <v>437</v>
      </c>
      <c r="S23" s="481" t="s">
        <v>434</v>
      </c>
    </row>
    <row r="24" spans="3:20" ht="30" customHeight="1" x14ac:dyDescent="0.25">
      <c r="C24" s="553">
        <v>1.1000000000000001</v>
      </c>
      <c r="D24" s="546" t="s">
        <v>435</v>
      </c>
      <c r="E24" s="551" t="s">
        <v>388</v>
      </c>
      <c r="F24" s="551" t="s">
        <v>518</v>
      </c>
      <c r="G24" s="481" t="s">
        <v>444</v>
      </c>
      <c r="H24" s="481" t="s">
        <v>108</v>
      </c>
      <c r="I24" s="482" t="s">
        <v>183</v>
      </c>
      <c r="J24" s="480">
        <v>946.47743649877953</v>
      </c>
      <c r="K24" s="483">
        <v>0.75</v>
      </c>
      <c r="L24" s="483">
        <v>0.25</v>
      </c>
      <c r="M24" s="484" t="s">
        <v>316</v>
      </c>
      <c r="N24" s="481" t="s">
        <v>506</v>
      </c>
      <c r="O24" s="533">
        <v>40452</v>
      </c>
      <c r="P24" s="533">
        <v>40640</v>
      </c>
      <c r="Q24" s="493" t="s">
        <v>108</v>
      </c>
      <c r="R24" s="493" t="s">
        <v>438</v>
      </c>
      <c r="S24" s="481" t="s">
        <v>434</v>
      </c>
    </row>
    <row r="25" spans="3:20" ht="30" customHeight="1" x14ac:dyDescent="0.25">
      <c r="C25" s="484">
        <v>1.1100000000000001</v>
      </c>
      <c r="D25" s="546" t="s">
        <v>435</v>
      </c>
      <c r="E25" s="551" t="s">
        <v>388</v>
      </c>
      <c r="F25" s="551" t="s">
        <v>400</v>
      </c>
      <c r="G25" s="481" t="s">
        <v>444</v>
      </c>
      <c r="H25" s="481" t="s">
        <v>108</v>
      </c>
      <c r="I25" s="482" t="s">
        <v>184</v>
      </c>
      <c r="J25" s="480">
        <v>13772.428263801601</v>
      </c>
      <c r="K25" s="483">
        <v>0.75</v>
      </c>
      <c r="L25" s="483">
        <v>0.25</v>
      </c>
      <c r="M25" s="484" t="s">
        <v>316</v>
      </c>
      <c r="N25" s="481" t="s">
        <v>506</v>
      </c>
      <c r="O25" s="533">
        <v>40452</v>
      </c>
      <c r="P25" s="533">
        <v>40641</v>
      </c>
      <c r="Q25" s="493" t="s">
        <v>108</v>
      </c>
      <c r="R25" s="493" t="s">
        <v>439</v>
      </c>
      <c r="S25" s="481" t="s">
        <v>430</v>
      </c>
    </row>
    <row r="26" spans="3:20" ht="30" customHeight="1" x14ac:dyDescent="0.25">
      <c r="C26" s="484">
        <v>1.1200000000000001</v>
      </c>
      <c r="D26" s="546" t="s">
        <v>435</v>
      </c>
      <c r="E26" s="551" t="s">
        <v>389</v>
      </c>
      <c r="F26" s="551" t="s">
        <v>401</v>
      </c>
      <c r="G26" s="481" t="s">
        <v>444</v>
      </c>
      <c r="H26" s="481" t="s">
        <v>108</v>
      </c>
      <c r="I26" s="482" t="s">
        <v>355</v>
      </c>
      <c r="J26" s="480">
        <v>21953.766586018533</v>
      </c>
      <c r="K26" s="483">
        <v>0.75</v>
      </c>
      <c r="L26" s="483">
        <v>0.25</v>
      </c>
      <c r="M26" s="484" t="s">
        <v>318</v>
      </c>
      <c r="N26" s="481" t="s">
        <v>506</v>
      </c>
      <c r="O26" s="533">
        <v>41000</v>
      </c>
      <c r="P26" s="533">
        <v>41150</v>
      </c>
      <c r="Q26" s="493" t="s">
        <v>108</v>
      </c>
      <c r="R26" s="493" t="s">
        <v>440</v>
      </c>
      <c r="S26" s="481" t="s">
        <v>431</v>
      </c>
    </row>
    <row r="27" spans="3:20" ht="45.75" customHeight="1" x14ac:dyDescent="0.25">
      <c r="C27" s="484">
        <v>1.1299999999999999</v>
      </c>
      <c r="D27" s="546" t="s">
        <v>435</v>
      </c>
      <c r="E27" s="551" t="s">
        <v>403</v>
      </c>
      <c r="F27" s="551" t="s">
        <v>402</v>
      </c>
      <c r="G27" s="481" t="s">
        <v>499</v>
      </c>
      <c r="H27" s="481" t="s">
        <v>108</v>
      </c>
      <c r="I27" s="482" t="s">
        <v>223</v>
      </c>
      <c r="J27" s="480">
        <v>16223.839771752317</v>
      </c>
      <c r="K27" s="483">
        <v>0</v>
      </c>
      <c r="L27" s="483">
        <v>1</v>
      </c>
      <c r="M27" s="484" t="s">
        <v>316</v>
      </c>
      <c r="N27" s="481" t="s">
        <v>500</v>
      </c>
      <c r="O27" s="533">
        <v>41091</v>
      </c>
      <c r="P27" s="533">
        <v>41219</v>
      </c>
      <c r="Q27" s="481" t="s">
        <v>501</v>
      </c>
      <c r="R27" s="493" t="s">
        <v>108</v>
      </c>
      <c r="S27" s="481" t="s">
        <v>431</v>
      </c>
    </row>
    <row r="28" spans="3:20" ht="45" customHeight="1" x14ac:dyDescent="0.25">
      <c r="C28" s="484">
        <v>1.1399999999999999</v>
      </c>
      <c r="D28" s="546" t="s">
        <v>435</v>
      </c>
      <c r="E28" s="551" t="s">
        <v>404</v>
      </c>
      <c r="F28" s="551" t="s">
        <v>405</v>
      </c>
      <c r="G28" s="481" t="s">
        <v>499</v>
      </c>
      <c r="H28" s="481" t="s">
        <v>108</v>
      </c>
      <c r="I28" s="482" t="s">
        <v>203</v>
      </c>
      <c r="J28" s="480">
        <v>5756.2299270489975</v>
      </c>
      <c r="K28" s="483">
        <v>0</v>
      </c>
      <c r="L28" s="483">
        <v>1</v>
      </c>
      <c r="M28" s="484" t="s">
        <v>319</v>
      </c>
      <c r="N28" s="481" t="s">
        <v>500</v>
      </c>
      <c r="O28" s="533">
        <v>41426</v>
      </c>
      <c r="P28" s="533">
        <v>41597</v>
      </c>
      <c r="Q28" s="481" t="s">
        <v>501</v>
      </c>
      <c r="R28" s="493" t="s">
        <v>108</v>
      </c>
      <c r="S28" s="481" t="s">
        <v>430</v>
      </c>
    </row>
    <row r="29" spans="3:20" ht="46.5" customHeight="1" x14ac:dyDescent="0.25">
      <c r="C29" s="553">
        <v>1.1499999999999999</v>
      </c>
      <c r="D29" s="546" t="s">
        <v>435</v>
      </c>
      <c r="E29" s="551" t="s">
        <v>404</v>
      </c>
      <c r="F29" s="551" t="s">
        <v>406</v>
      </c>
      <c r="G29" s="481" t="s">
        <v>391</v>
      </c>
      <c r="H29" s="481" t="s">
        <v>108</v>
      </c>
      <c r="I29" s="552" t="s">
        <v>546</v>
      </c>
      <c r="J29" s="480">
        <v>142731.64714886903</v>
      </c>
      <c r="K29" s="483">
        <v>0.75</v>
      </c>
      <c r="L29" s="483">
        <v>0.25</v>
      </c>
      <c r="M29" s="484" t="s">
        <v>319</v>
      </c>
      <c r="N29" s="481" t="s">
        <v>506</v>
      </c>
      <c r="O29" s="533" t="s">
        <v>547</v>
      </c>
      <c r="P29" s="533">
        <v>41368</v>
      </c>
      <c r="Q29" s="493" t="s">
        <v>108</v>
      </c>
      <c r="R29" s="493" t="s">
        <v>441</v>
      </c>
      <c r="S29" s="481" t="s">
        <v>430</v>
      </c>
    </row>
    <row r="30" spans="3:20" ht="48" customHeight="1" x14ac:dyDescent="0.25">
      <c r="C30" s="484">
        <v>1.1599999999999999</v>
      </c>
      <c r="D30" s="546" t="s">
        <v>435</v>
      </c>
      <c r="E30" s="551" t="s">
        <v>388</v>
      </c>
      <c r="F30" s="551" t="s">
        <v>407</v>
      </c>
      <c r="G30" s="481" t="s">
        <v>391</v>
      </c>
      <c r="H30" s="481" t="s">
        <v>108</v>
      </c>
      <c r="I30" s="552" t="s">
        <v>548</v>
      </c>
      <c r="J30" s="480">
        <v>25766.314592087081</v>
      </c>
      <c r="K30" s="483">
        <v>0.75</v>
      </c>
      <c r="L30" s="483">
        <v>0.25</v>
      </c>
      <c r="M30" s="484" t="s">
        <v>316</v>
      </c>
      <c r="N30" s="481" t="s">
        <v>506</v>
      </c>
      <c r="O30" s="533" t="s">
        <v>550</v>
      </c>
      <c r="P30" s="533">
        <v>41436</v>
      </c>
      <c r="Q30" s="493" t="s">
        <v>108</v>
      </c>
      <c r="R30" s="493" t="s">
        <v>442</v>
      </c>
      <c r="S30" s="481" t="s">
        <v>430</v>
      </c>
      <c r="T30" s="178"/>
    </row>
    <row r="31" spans="3:20" ht="45" customHeight="1" x14ac:dyDescent="0.25">
      <c r="C31" s="553">
        <v>1.17</v>
      </c>
      <c r="D31" s="546" t="s">
        <v>435</v>
      </c>
      <c r="E31" s="551" t="s">
        <v>388</v>
      </c>
      <c r="F31" s="551" t="s">
        <v>408</v>
      </c>
      <c r="G31" s="481" t="s">
        <v>391</v>
      </c>
      <c r="H31" s="481" t="s">
        <v>108</v>
      </c>
      <c r="I31" s="552" t="s">
        <v>549</v>
      </c>
      <c r="J31" s="480">
        <v>83354.814023479164</v>
      </c>
      <c r="K31" s="483">
        <v>0.75</v>
      </c>
      <c r="L31" s="483">
        <v>0.25</v>
      </c>
      <c r="M31" s="484" t="s">
        <v>316</v>
      </c>
      <c r="N31" s="481" t="s">
        <v>506</v>
      </c>
      <c r="O31" s="533" t="s">
        <v>550</v>
      </c>
      <c r="P31" s="533">
        <v>41402</v>
      </c>
      <c r="Q31" s="493" t="s">
        <v>108</v>
      </c>
      <c r="R31" s="493" t="s">
        <v>443</v>
      </c>
      <c r="S31" s="481" t="s">
        <v>430</v>
      </c>
    </row>
    <row r="32" spans="3:20" ht="51.75" customHeight="1" x14ac:dyDescent="0.25">
      <c r="C32" s="484">
        <v>1.18</v>
      </c>
      <c r="D32" s="546" t="s">
        <v>435</v>
      </c>
      <c r="E32" s="551" t="s">
        <v>388</v>
      </c>
      <c r="F32" s="551" t="s">
        <v>409</v>
      </c>
      <c r="G32" s="481" t="s">
        <v>391</v>
      </c>
      <c r="H32" s="481" t="s">
        <v>108</v>
      </c>
      <c r="I32" s="481" t="s">
        <v>551</v>
      </c>
      <c r="J32" s="480">
        <v>0</v>
      </c>
      <c r="K32" s="483">
        <v>0.75</v>
      </c>
      <c r="L32" s="483">
        <v>0.25</v>
      </c>
      <c r="M32" s="484" t="s">
        <v>316</v>
      </c>
      <c r="N32" s="481" t="s">
        <v>506</v>
      </c>
      <c r="O32" s="533">
        <v>40544</v>
      </c>
      <c r="P32" s="481" t="s">
        <v>108</v>
      </c>
      <c r="Q32" s="493" t="s">
        <v>108</v>
      </c>
      <c r="R32" s="493" t="s">
        <v>108</v>
      </c>
      <c r="S32" s="481" t="s">
        <v>432</v>
      </c>
    </row>
    <row r="33" spans="1:19" ht="30" customHeight="1" x14ac:dyDescent="0.25">
      <c r="C33" s="484">
        <v>1.19</v>
      </c>
      <c r="D33" s="546" t="s">
        <v>435</v>
      </c>
      <c r="E33" s="551" t="s">
        <v>410</v>
      </c>
      <c r="F33" s="551" t="s">
        <v>519</v>
      </c>
      <c r="G33" s="481" t="s">
        <v>444</v>
      </c>
      <c r="H33" s="481" t="s">
        <v>108</v>
      </c>
      <c r="I33" s="481"/>
      <c r="J33" s="480">
        <v>35428.477800619803</v>
      </c>
      <c r="K33" s="483">
        <v>0.5</v>
      </c>
      <c r="L33" s="483">
        <v>0.5</v>
      </c>
      <c r="M33" s="484" t="s">
        <v>319</v>
      </c>
      <c r="N33" s="481" t="s">
        <v>506</v>
      </c>
      <c r="O33" s="533">
        <v>42887</v>
      </c>
      <c r="P33" s="533">
        <v>43070</v>
      </c>
      <c r="Q33" s="493" t="s">
        <v>108</v>
      </c>
      <c r="R33" s="493"/>
      <c r="S33" s="481" t="s">
        <v>433</v>
      </c>
    </row>
    <row r="34" spans="1:19" ht="30" customHeight="1" x14ac:dyDescent="0.25">
      <c r="A34" s="449"/>
      <c r="B34" s="449"/>
      <c r="C34" s="553">
        <v>1.2</v>
      </c>
      <c r="D34" s="546" t="s">
        <v>435</v>
      </c>
      <c r="E34" s="551" t="s">
        <v>411</v>
      </c>
      <c r="F34" s="551" t="s">
        <v>412</v>
      </c>
      <c r="G34" s="481" t="s">
        <v>444</v>
      </c>
      <c r="H34" s="481" t="s">
        <v>108</v>
      </c>
      <c r="I34" s="482" t="s">
        <v>317</v>
      </c>
      <c r="J34" s="480">
        <v>16916.863598959313</v>
      </c>
      <c r="K34" s="483">
        <v>0.5</v>
      </c>
      <c r="L34" s="483">
        <v>0.5</v>
      </c>
      <c r="M34" s="535" t="s">
        <v>356</v>
      </c>
      <c r="N34" s="481" t="s">
        <v>506</v>
      </c>
      <c r="O34" s="533">
        <v>41699</v>
      </c>
      <c r="P34" s="533">
        <v>42644</v>
      </c>
      <c r="Q34" s="493" t="s">
        <v>108</v>
      </c>
      <c r="R34" s="493" t="s">
        <v>554</v>
      </c>
      <c r="S34" s="481" t="s">
        <v>430</v>
      </c>
    </row>
    <row r="35" spans="1:19" ht="30" customHeight="1" x14ac:dyDescent="0.25">
      <c r="A35" s="65" t="s">
        <v>298</v>
      </c>
      <c r="B35" s="65"/>
      <c r="C35" s="484">
        <v>1.21</v>
      </c>
      <c r="D35" s="546" t="s">
        <v>435</v>
      </c>
      <c r="E35" s="551" t="s">
        <v>389</v>
      </c>
      <c r="F35" s="551" t="s">
        <v>413</v>
      </c>
      <c r="G35" s="481" t="s">
        <v>444</v>
      </c>
      <c r="H35" s="481" t="s">
        <v>108</v>
      </c>
      <c r="I35" s="481"/>
      <c r="J35" s="480">
        <f>130404.099291215-2395.53194</f>
        <v>128008.567351215</v>
      </c>
      <c r="K35" s="483">
        <v>0.5</v>
      </c>
      <c r="L35" s="483">
        <v>0.5</v>
      </c>
      <c r="M35" s="484" t="s">
        <v>318</v>
      </c>
      <c r="N35" s="481" t="s">
        <v>506</v>
      </c>
      <c r="O35" s="533">
        <v>43070</v>
      </c>
      <c r="P35" s="533">
        <v>43252</v>
      </c>
      <c r="Q35" s="493" t="s">
        <v>108</v>
      </c>
      <c r="R35" s="493"/>
      <c r="S35" s="481" t="s">
        <v>433</v>
      </c>
    </row>
    <row r="36" spans="1:19" ht="40.5" customHeight="1" x14ac:dyDescent="0.25">
      <c r="A36" s="65"/>
      <c r="B36" s="65"/>
      <c r="C36" s="553">
        <v>1.22</v>
      </c>
      <c r="D36" s="546" t="s">
        <v>435</v>
      </c>
      <c r="E36" s="551" t="s">
        <v>414</v>
      </c>
      <c r="F36" s="551" t="s">
        <v>520</v>
      </c>
      <c r="G36" s="481" t="s">
        <v>444</v>
      </c>
      <c r="H36" s="481" t="s">
        <v>108</v>
      </c>
      <c r="I36" s="481"/>
      <c r="J36" s="480">
        <v>46024.976220428951</v>
      </c>
      <c r="K36" s="483">
        <v>0.5</v>
      </c>
      <c r="L36" s="483">
        <v>0.5</v>
      </c>
      <c r="M36" s="535" t="s">
        <v>357</v>
      </c>
      <c r="N36" s="481" t="s">
        <v>506</v>
      </c>
      <c r="O36" s="533">
        <v>42979</v>
      </c>
      <c r="P36" s="533">
        <v>43132</v>
      </c>
      <c r="Q36" s="493" t="s">
        <v>108</v>
      </c>
      <c r="R36" s="493"/>
      <c r="S36" s="481" t="s">
        <v>433</v>
      </c>
    </row>
    <row r="37" spans="1:19" ht="30" customHeight="1" x14ac:dyDescent="0.25">
      <c r="A37" s="65"/>
      <c r="B37" s="65"/>
      <c r="C37" s="484">
        <v>1.23</v>
      </c>
      <c r="D37" s="546" t="s">
        <v>435</v>
      </c>
      <c r="E37" s="551" t="s">
        <v>415</v>
      </c>
      <c r="F37" s="551" t="s">
        <v>496</v>
      </c>
      <c r="G37" s="481" t="s">
        <v>444</v>
      </c>
      <c r="H37" s="481" t="s">
        <v>108</v>
      </c>
      <c r="I37" s="481"/>
      <c r="J37" s="480">
        <v>30683.317480285965</v>
      </c>
      <c r="K37" s="483">
        <v>0.5</v>
      </c>
      <c r="L37" s="483">
        <v>0.5</v>
      </c>
      <c r="M37" s="484" t="s">
        <v>319</v>
      </c>
      <c r="N37" s="481" t="s">
        <v>506</v>
      </c>
      <c r="O37" s="533">
        <v>43101</v>
      </c>
      <c r="P37" s="533">
        <v>43282</v>
      </c>
      <c r="Q37" s="493" t="s">
        <v>108</v>
      </c>
      <c r="R37" s="493"/>
      <c r="S37" s="481" t="s">
        <v>433</v>
      </c>
    </row>
    <row r="38" spans="1:19" ht="30" customHeight="1" x14ac:dyDescent="0.25">
      <c r="A38" s="65"/>
      <c r="B38" s="65"/>
      <c r="C38" s="484">
        <v>1.24</v>
      </c>
      <c r="D38" s="546" t="s">
        <v>435</v>
      </c>
      <c r="E38" s="551" t="s">
        <v>416</v>
      </c>
      <c r="F38" s="551" t="s">
        <v>423</v>
      </c>
      <c r="G38" s="481" t="s">
        <v>444</v>
      </c>
      <c r="H38" s="481" t="s">
        <v>108</v>
      </c>
      <c r="I38" s="481"/>
      <c r="J38" s="480">
        <v>21200</v>
      </c>
      <c r="K38" s="483">
        <v>0.5</v>
      </c>
      <c r="L38" s="483">
        <v>0.5</v>
      </c>
      <c r="M38" s="484" t="s">
        <v>316</v>
      </c>
      <c r="N38" s="481" t="s">
        <v>506</v>
      </c>
      <c r="O38" s="533">
        <v>42917</v>
      </c>
      <c r="P38" s="533">
        <v>43070</v>
      </c>
      <c r="Q38" s="484" t="s">
        <v>108</v>
      </c>
      <c r="R38" s="493"/>
      <c r="S38" s="481" t="s">
        <v>433</v>
      </c>
    </row>
    <row r="39" spans="1:19" ht="30" customHeight="1" x14ac:dyDescent="0.25">
      <c r="A39" s="65"/>
      <c r="B39" s="65"/>
      <c r="C39" s="553">
        <v>1.25</v>
      </c>
      <c r="D39" s="546" t="s">
        <v>435</v>
      </c>
      <c r="E39" s="551" t="s">
        <v>417</v>
      </c>
      <c r="F39" s="551" t="s">
        <v>424</v>
      </c>
      <c r="G39" s="481" t="s">
        <v>444</v>
      </c>
      <c r="H39" s="481" t="s">
        <v>108</v>
      </c>
      <c r="I39" s="481"/>
      <c r="J39" s="480">
        <v>19405.531587677582</v>
      </c>
      <c r="K39" s="483">
        <v>0.5</v>
      </c>
      <c r="L39" s="483">
        <v>0.5</v>
      </c>
      <c r="M39" s="484" t="s">
        <v>316</v>
      </c>
      <c r="N39" s="481" t="s">
        <v>506</v>
      </c>
      <c r="O39" s="533">
        <v>43221</v>
      </c>
      <c r="P39" s="533">
        <v>43374</v>
      </c>
      <c r="Q39" s="493" t="s">
        <v>108</v>
      </c>
      <c r="R39" s="493"/>
      <c r="S39" s="481" t="s">
        <v>433</v>
      </c>
    </row>
    <row r="40" spans="1:19" ht="30" customHeight="1" x14ac:dyDescent="0.25">
      <c r="C40" s="484">
        <v>1.26</v>
      </c>
      <c r="D40" s="546" t="s">
        <v>435</v>
      </c>
      <c r="E40" s="551" t="s">
        <v>421</v>
      </c>
      <c r="F40" s="551" t="s">
        <v>425</v>
      </c>
      <c r="G40" s="481" t="s">
        <v>444</v>
      </c>
      <c r="H40" s="481" t="s">
        <v>108</v>
      </c>
      <c r="I40" s="481"/>
      <c r="J40" s="480">
        <v>10900</v>
      </c>
      <c r="K40" s="483">
        <v>0.5</v>
      </c>
      <c r="L40" s="483">
        <v>0.5</v>
      </c>
      <c r="M40" s="484" t="s">
        <v>316</v>
      </c>
      <c r="N40" s="481" t="s">
        <v>506</v>
      </c>
      <c r="O40" s="533">
        <v>42917</v>
      </c>
      <c r="P40" s="533">
        <v>43070</v>
      </c>
      <c r="Q40" s="493" t="s">
        <v>108</v>
      </c>
      <c r="R40" s="493"/>
      <c r="S40" s="481" t="s">
        <v>433</v>
      </c>
    </row>
    <row r="41" spans="1:19" ht="30" customHeight="1" x14ac:dyDescent="0.25">
      <c r="C41" s="553">
        <v>1.27</v>
      </c>
      <c r="D41" s="546" t="s">
        <v>435</v>
      </c>
      <c r="E41" s="551" t="s">
        <v>420</v>
      </c>
      <c r="F41" s="551" t="s">
        <v>426</v>
      </c>
      <c r="G41" s="481" t="s">
        <v>444</v>
      </c>
      <c r="H41" s="481" t="s">
        <v>108</v>
      </c>
      <c r="I41" s="481"/>
      <c r="J41" s="480">
        <v>39400.384673069253</v>
      </c>
      <c r="K41" s="483">
        <v>0.5</v>
      </c>
      <c r="L41" s="483">
        <v>0.5</v>
      </c>
      <c r="M41" s="484" t="s">
        <v>316</v>
      </c>
      <c r="N41" s="481" t="s">
        <v>506</v>
      </c>
      <c r="O41" s="533">
        <v>42948</v>
      </c>
      <c r="P41" s="533">
        <v>43101</v>
      </c>
      <c r="Q41" s="493" t="s">
        <v>108</v>
      </c>
      <c r="R41" s="493"/>
      <c r="S41" s="481" t="s">
        <v>433</v>
      </c>
    </row>
    <row r="42" spans="1:19" ht="30" customHeight="1" x14ac:dyDescent="0.25">
      <c r="C42" s="484">
        <v>1.28</v>
      </c>
      <c r="D42" s="484" t="s">
        <v>435</v>
      </c>
      <c r="E42" s="551" t="s">
        <v>418</v>
      </c>
      <c r="F42" s="551" t="s">
        <v>427</v>
      </c>
      <c r="G42" s="481" t="s">
        <v>444</v>
      </c>
      <c r="H42" s="481" t="s">
        <v>108</v>
      </c>
      <c r="I42" s="481" t="s">
        <v>553</v>
      </c>
      <c r="J42" s="480">
        <v>36358.728497464952</v>
      </c>
      <c r="K42" s="483">
        <v>0.5</v>
      </c>
      <c r="L42" s="483">
        <v>0.5</v>
      </c>
      <c r="M42" s="484" t="s">
        <v>316</v>
      </c>
      <c r="N42" s="481" t="s">
        <v>506</v>
      </c>
      <c r="O42" s="533">
        <v>42736</v>
      </c>
      <c r="P42" s="533">
        <v>42887</v>
      </c>
      <c r="Q42" s="493" t="s">
        <v>108</v>
      </c>
      <c r="R42" s="493"/>
      <c r="S42" s="481" t="s">
        <v>555</v>
      </c>
    </row>
    <row r="43" spans="1:19" ht="30" customHeight="1" x14ac:dyDescent="0.25">
      <c r="C43" s="553">
        <v>1.29</v>
      </c>
      <c r="D43" s="546" t="s">
        <v>435</v>
      </c>
      <c r="E43" s="551" t="s">
        <v>521</v>
      </c>
      <c r="F43" s="551" t="s">
        <v>358</v>
      </c>
      <c r="G43" s="481" t="s">
        <v>444</v>
      </c>
      <c r="H43" s="481" t="s">
        <v>108</v>
      </c>
      <c r="I43" s="481"/>
      <c r="J43" s="480">
        <v>34542.554383096685</v>
      </c>
      <c r="K43" s="483">
        <v>0.5</v>
      </c>
      <c r="L43" s="483">
        <v>0.5</v>
      </c>
      <c r="M43" s="484" t="s">
        <v>316</v>
      </c>
      <c r="N43" s="481" t="s">
        <v>506</v>
      </c>
      <c r="O43" s="533">
        <v>42948</v>
      </c>
      <c r="P43" s="533">
        <v>43101</v>
      </c>
      <c r="Q43" s="493" t="s">
        <v>108</v>
      </c>
      <c r="R43" s="493"/>
      <c r="S43" s="481" t="s">
        <v>433</v>
      </c>
    </row>
    <row r="44" spans="1:19" ht="30" customHeight="1" x14ac:dyDescent="0.25">
      <c r="C44" s="553">
        <v>1.3</v>
      </c>
      <c r="D44" s="546" t="s">
        <v>435</v>
      </c>
      <c r="E44" s="551" t="s">
        <v>419</v>
      </c>
      <c r="F44" s="551" t="s">
        <v>428</v>
      </c>
      <c r="G44" s="481" t="s">
        <v>444</v>
      </c>
      <c r="H44" s="481" t="s">
        <v>108</v>
      </c>
      <c r="I44" s="481"/>
      <c r="J44" s="480">
        <v>22000</v>
      </c>
      <c r="K44" s="483">
        <v>0.5</v>
      </c>
      <c r="L44" s="483">
        <v>0.5</v>
      </c>
      <c r="M44" s="484" t="s">
        <v>316</v>
      </c>
      <c r="N44" s="481" t="s">
        <v>506</v>
      </c>
      <c r="O44" s="533">
        <v>42917</v>
      </c>
      <c r="P44" s="533">
        <v>43070</v>
      </c>
      <c r="Q44" s="493" t="s">
        <v>108</v>
      </c>
      <c r="R44" s="493"/>
      <c r="S44" s="481" t="s">
        <v>433</v>
      </c>
    </row>
    <row r="45" spans="1:19" ht="60" customHeight="1" x14ac:dyDescent="0.25">
      <c r="C45" s="553">
        <v>1.31</v>
      </c>
      <c r="D45" s="546" t="s">
        <v>435</v>
      </c>
      <c r="E45" s="551" t="s">
        <v>521</v>
      </c>
      <c r="F45" s="551" t="s">
        <v>497</v>
      </c>
      <c r="G45" s="481" t="s">
        <v>444</v>
      </c>
      <c r="H45" s="481" t="s">
        <v>108</v>
      </c>
      <c r="I45" s="481"/>
      <c r="J45" s="480">
        <v>31806.861961281098</v>
      </c>
      <c r="K45" s="483">
        <v>0.5</v>
      </c>
      <c r="L45" s="483">
        <v>0.5</v>
      </c>
      <c r="M45" s="484" t="s">
        <v>316</v>
      </c>
      <c r="N45" s="481" t="s">
        <v>506</v>
      </c>
      <c r="O45" s="533">
        <v>42979</v>
      </c>
      <c r="P45" s="533">
        <v>43132</v>
      </c>
      <c r="Q45" s="493" t="s">
        <v>108</v>
      </c>
      <c r="R45" s="493"/>
      <c r="S45" s="481" t="s">
        <v>433</v>
      </c>
    </row>
    <row r="46" spans="1:19" ht="30" customHeight="1" x14ac:dyDescent="0.25">
      <c r="C46" s="484">
        <v>1.32</v>
      </c>
      <c r="D46" s="546" t="s">
        <v>435</v>
      </c>
      <c r="E46" s="551" t="s">
        <v>521</v>
      </c>
      <c r="F46" s="551" t="s">
        <v>359</v>
      </c>
      <c r="G46" s="481" t="s">
        <v>444</v>
      </c>
      <c r="H46" s="481" t="s">
        <v>108</v>
      </c>
      <c r="I46" s="481"/>
      <c r="J46" s="480">
        <v>22518.359273517228</v>
      </c>
      <c r="K46" s="483">
        <v>0.5</v>
      </c>
      <c r="L46" s="483">
        <v>0.5</v>
      </c>
      <c r="M46" s="484" t="s">
        <v>316</v>
      </c>
      <c r="N46" s="481" t="s">
        <v>506</v>
      </c>
      <c r="O46" s="533">
        <v>42979</v>
      </c>
      <c r="P46" s="533">
        <v>43132</v>
      </c>
      <c r="Q46" s="493" t="s">
        <v>108</v>
      </c>
      <c r="R46" s="493"/>
      <c r="S46" s="481" t="s">
        <v>433</v>
      </c>
    </row>
    <row r="47" spans="1:19" ht="30" customHeight="1" x14ac:dyDescent="0.25">
      <c r="C47" s="553">
        <v>1.33</v>
      </c>
      <c r="D47" s="546" t="s">
        <v>435</v>
      </c>
      <c r="E47" s="551" t="s">
        <v>422</v>
      </c>
      <c r="F47" s="551" t="s">
        <v>429</v>
      </c>
      <c r="G47" s="481" t="s">
        <v>444</v>
      </c>
      <c r="H47" s="481" t="s">
        <v>108</v>
      </c>
      <c r="I47" s="481"/>
      <c r="J47" s="480">
        <v>28109.87519440434</v>
      </c>
      <c r="K47" s="483">
        <v>0.5</v>
      </c>
      <c r="L47" s="483">
        <v>0.5</v>
      </c>
      <c r="M47" s="484" t="s">
        <v>316</v>
      </c>
      <c r="N47" s="481" t="s">
        <v>506</v>
      </c>
      <c r="O47" s="533">
        <v>42979</v>
      </c>
      <c r="P47" s="533">
        <v>43132</v>
      </c>
      <c r="Q47" s="493" t="s">
        <v>108</v>
      </c>
      <c r="R47" s="493"/>
      <c r="S47" s="481" t="s">
        <v>433</v>
      </c>
    </row>
    <row r="48" spans="1:19" ht="30" customHeight="1" x14ac:dyDescent="0.25">
      <c r="C48" s="553">
        <v>1.34</v>
      </c>
      <c r="D48" s="546" t="s">
        <v>435</v>
      </c>
      <c r="E48" s="551" t="s">
        <v>561</v>
      </c>
      <c r="F48" s="551" t="s">
        <v>564</v>
      </c>
      <c r="G48" s="481" t="s">
        <v>563</v>
      </c>
      <c r="H48" s="481" t="s">
        <v>108</v>
      </c>
      <c r="I48" s="481" t="s">
        <v>562</v>
      </c>
      <c r="J48" s="480">
        <v>2395.5319399999998</v>
      </c>
      <c r="K48" s="483">
        <v>0.5</v>
      </c>
      <c r="L48" s="483">
        <v>0.5</v>
      </c>
      <c r="M48" s="484" t="s">
        <v>318</v>
      </c>
      <c r="N48" s="481" t="s">
        <v>506</v>
      </c>
      <c r="O48" s="533">
        <v>42887</v>
      </c>
      <c r="P48" s="533">
        <v>43040</v>
      </c>
      <c r="Q48" s="493"/>
      <c r="R48" s="493"/>
      <c r="S48" s="481" t="s">
        <v>433</v>
      </c>
    </row>
    <row r="49" spans="1:21" ht="24.95" customHeight="1" thickBot="1" x14ac:dyDescent="0.3">
      <c r="C49" s="734"/>
      <c r="D49" s="735"/>
      <c r="E49" s="735"/>
      <c r="F49" s="735"/>
      <c r="G49" s="524"/>
      <c r="H49" s="524"/>
      <c r="I49" s="525" t="s">
        <v>4</v>
      </c>
      <c r="J49" s="526">
        <f>SUM(J15:J48)</f>
        <v>1171836.4927840782</v>
      </c>
      <c r="K49" s="527"/>
      <c r="L49" s="528"/>
      <c r="M49" s="529"/>
      <c r="N49" s="530"/>
      <c r="O49" s="531"/>
      <c r="P49" s="531"/>
      <c r="Q49" s="524"/>
      <c r="R49" s="524"/>
      <c r="S49" s="532"/>
    </row>
    <row r="50" spans="1:21" ht="23.25" customHeight="1" thickBot="1" x14ac:dyDescent="0.3">
      <c r="C50" s="706" t="s">
        <v>511</v>
      </c>
      <c r="D50" s="700" t="s">
        <v>507</v>
      </c>
      <c r="E50" s="706" t="s">
        <v>508</v>
      </c>
      <c r="F50" s="706" t="s">
        <v>380</v>
      </c>
      <c r="G50" s="706" t="s">
        <v>307</v>
      </c>
      <c r="H50" s="700" t="s">
        <v>503</v>
      </c>
      <c r="I50" s="709" t="s">
        <v>392</v>
      </c>
      <c r="J50" s="698" t="s">
        <v>509</v>
      </c>
      <c r="K50" s="712"/>
      <c r="L50" s="699"/>
      <c r="M50" s="700" t="s">
        <v>394</v>
      </c>
      <c r="N50" s="700" t="s">
        <v>395</v>
      </c>
      <c r="O50" s="698" t="s">
        <v>510</v>
      </c>
      <c r="P50" s="699"/>
      <c r="Q50" s="700" t="s">
        <v>514</v>
      </c>
      <c r="R50" s="703" t="s">
        <v>398</v>
      </c>
      <c r="S50" s="706" t="s">
        <v>308</v>
      </c>
    </row>
    <row r="51" spans="1:21" ht="16.5" customHeight="1" x14ac:dyDescent="0.25">
      <c r="C51" s="701"/>
      <c r="D51" s="701"/>
      <c r="E51" s="701"/>
      <c r="F51" s="701"/>
      <c r="G51" s="701"/>
      <c r="H51" s="707"/>
      <c r="I51" s="710"/>
      <c r="J51" s="700" t="s">
        <v>504</v>
      </c>
      <c r="K51" s="700" t="s">
        <v>393</v>
      </c>
      <c r="L51" s="700" t="s">
        <v>515</v>
      </c>
      <c r="M51" s="707"/>
      <c r="N51" s="707"/>
      <c r="O51" s="700" t="s">
        <v>397</v>
      </c>
      <c r="P51" s="700" t="s">
        <v>396</v>
      </c>
      <c r="Q51" s="701"/>
      <c r="R51" s="704"/>
      <c r="S51" s="701"/>
    </row>
    <row r="52" spans="1:21" ht="21" customHeight="1" x14ac:dyDescent="0.25">
      <c r="C52" s="701"/>
      <c r="D52" s="701"/>
      <c r="E52" s="701"/>
      <c r="F52" s="701"/>
      <c r="G52" s="701"/>
      <c r="H52" s="707"/>
      <c r="I52" s="710"/>
      <c r="J52" s="707"/>
      <c r="K52" s="707"/>
      <c r="L52" s="707"/>
      <c r="M52" s="707"/>
      <c r="N52" s="707"/>
      <c r="O52" s="707"/>
      <c r="P52" s="707"/>
      <c r="Q52" s="701"/>
      <c r="R52" s="704"/>
      <c r="S52" s="701"/>
    </row>
    <row r="53" spans="1:21" ht="41.25" customHeight="1" thickBot="1" x14ac:dyDescent="0.3">
      <c r="C53" s="702"/>
      <c r="D53" s="702"/>
      <c r="E53" s="702"/>
      <c r="F53" s="702"/>
      <c r="G53" s="702"/>
      <c r="H53" s="708"/>
      <c r="I53" s="711"/>
      <c r="J53" s="708"/>
      <c r="K53" s="708"/>
      <c r="L53" s="708"/>
      <c r="M53" s="708"/>
      <c r="N53" s="708"/>
      <c r="O53" s="708"/>
      <c r="P53" s="708"/>
      <c r="Q53" s="702"/>
      <c r="R53" s="705"/>
      <c r="S53" s="702"/>
    </row>
    <row r="54" spans="1:21" ht="30" customHeight="1" thickBot="1" x14ac:dyDescent="0.3">
      <c r="C54" s="476" t="s">
        <v>382</v>
      </c>
      <c r="D54" s="494"/>
      <c r="E54" s="494"/>
      <c r="F54" s="494"/>
      <c r="G54" s="494"/>
      <c r="H54" s="494"/>
      <c r="I54" s="494"/>
      <c r="J54" s="495"/>
      <c r="K54" s="494"/>
      <c r="L54" s="494"/>
      <c r="M54" s="494"/>
      <c r="N54" s="494"/>
      <c r="O54" s="494"/>
      <c r="P54" s="494"/>
      <c r="Q54" s="494"/>
      <c r="R54" s="494"/>
      <c r="S54" s="496"/>
    </row>
    <row r="55" spans="1:21" ht="45" x14ac:dyDescent="0.25">
      <c r="C55" s="546" t="s">
        <v>385</v>
      </c>
      <c r="D55" s="546" t="s">
        <v>435</v>
      </c>
      <c r="E55" s="547" t="s">
        <v>522</v>
      </c>
      <c r="F55" s="547" t="s">
        <v>360</v>
      </c>
      <c r="G55" s="523" t="s">
        <v>499</v>
      </c>
      <c r="H55" s="523" t="s">
        <v>108</v>
      </c>
      <c r="I55" s="546" t="s">
        <v>330</v>
      </c>
      <c r="J55" s="479">
        <v>1933.3390999999999</v>
      </c>
      <c r="K55" s="549">
        <v>0</v>
      </c>
      <c r="L55" s="549">
        <v>1</v>
      </c>
      <c r="M55" s="546" t="s">
        <v>314</v>
      </c>
      <c r="N55" s="523" t="s">
        <v>500</v>
      </c>
      <c r="O55" s="537">
        <v>41456</v>
      </c>
      <c r="P55" s="537">
        <v>41506</v>
      </c>
      <c r="Q55" s="523" t="s">
        <v>512</v>
      </c>
      <c r="R55" s="550" t="s">
        <v>108</v>
      </c>
      <c r="S55" s="523" t="s">
        <v>431</v>
      </c>
    </row>
    <row r="56" spans="1:21" ht="30" x14ac:dyDescent="0.25">
      <c r="C56" s="484" t="s">
        <v>386</v>
      </c>
      <c r="D56" s="484" t="s">
        <v>435</v>
      </c>
      <c r="E56" s="551" t="s">
        <v>445</v>
      </c>
      <c r="F56" s="551" t="s">
        <v>361</v>
      </c>
      <c r="G56" s="481" t="s">
        <v>499</v>
      </c>
      <c r="H56" s="481" t="s">
        <v>108</v>
      </c>
      <c r="I56" s="482" t="s">
        <v>235</v>
      </c>
      <c r="J56" s="480">
        <v>1828.0218654080111</v>
      </c>
      <c r="K56" s="483">
        <v>0</v>
      </c>
      <c r="L56" s="483">
        <v>1</v>
      </c>
      <c r="M56" s="484" t="s">
        <v>314</v>
      </c>
      <c r="N56" s="481" t="s">
        <v>500</v>
      </c>
      <c r="O56" s="533">
        <v>41244</v>
      </c>
      <c r="P56" s="533">
        <v>41313</v>
      </c>
      <c r="Q56" s="481" t="s">
        <v>513</v>
      </c>
      <c r="R56" s="493" t="s">
        <v>108</v>
      </c>
      <c r="S56" s="481" t="s">
        <v>431</v>
      </c>
    </row>
    <row r="57" spans="1:21" ht="30" customHeight="1" x14ac:dyDescent="0.25">
      <c r="C57" s="484" t="s">
        <v>387</v>
      </c>
      <c r="D57" s="484" t="s">
        <v>435</v>
      </c>
      <c r="E57" s="551" t="s">
        <v>446</v>
      </c>
      <c r="F57" s="551"/>
      <c r="G57" s="481" t="s">
        <v>444</v>
      </c>
      <c r="H57" s="481" t="s">
        <v>108</v>
      </c>
      <c r="I57" s="481"/>
      <c r="J57" s="480">
        <v>6708.9464224498024</v>
      </c>
      <c r="K57" s="483">
        <v>0.5</v>
      </c>
      <c r="L57" s="483">
        <v>0.5</v>
      </c>
      <c r="M57" s="484" t="s">
        <v>314</v>
      </c>
      <c r="N57" s="481" t="s">
        <v>506</v>
      </c>
      <c r="O57" s="533">
        <v>42917</v>
      </c>
      <c r="P57" s="533">
        <v>43101</v>
      </c>
      <c r="Q57" s="493" t="s">
        <v>108</v>
      </c>
      <c r="R57" s="493"/>
      <c r="S57" s="481" t="s">
        <v>433</v>
      </c>
    </row>
    <row r="58" spans="1:21" s="148" customFormat="1" ht="24.95" customHeight="1" thickBot="1" x14ac:dyDescent="0.3">
      <c r="C58" s="736"/>
      <c r="D58" s="737"/>
      <c r="E58" s="737"/>
      <c r="F58" s="737"/>
      <c r="G58" s="485"/>
      <c r="H58" s="485"/>
      <c r="I58" s="486" t="s">
        <v>4</v>
      </c>
      <c r="J58" s="487">
        <f>SUM(J55:J57)</f>
        <v>10470.307387857814</v>
      </c>
      <c r="K58" s="488"/>
      <c r="L58" s="489"/>
      <c r="M58" s="490"/>
      <c r="N58" s="491"/>
      <c r="O58" s="492"/>
      <c r="P58" s="492"/>
      <c r="Q58" s="485"/>
      <c r="R58" s="485"/>
      <c r="S58" s="493"/>
    </row>
    <row r="59" spans="1:21" ht="30" customHeight="1" x14ac:dyDescent="0.25">
      <c r="C59" s="497" t="s">
        <v>383</v>
      </c>
      <c r="D59" s="498"/>
      <c r="E59" s="498"/>
      <c r="F59" s="498"/>
      <c r="G59" s="498"/>
      <c r="H59" s="498"/>
      <c r="I59" s="498"/>
      <c r="J59" s="499"/>
      <c r="K59" s="498"/>
      <c r="L59" s="498"/>
      <c r="M59" s="498"/>
      <c r="N59" s="498"/>
      <c r="O59" s="498"/>
      <c r="P59" s="498"/>
      <c r="Q59" s="498"/>
      <c r="R59" s="498"/>
      <c r="S59" s="500"/>
    </row>
    <row r="60" spans="1:21" ht="30" customHeight="1" x14ac:dyDescent="0.25">
      <c r="C60" s="484">
        <v>3.1</v>
      </c>
      <c r="D60" s="484" t="s">
        <v>435</v>
      </c>
      <c r="E60" s="551" t="s">
        <v>447</v>
      </c>
      <c r="F60" s="551" t="s">
        <v>452</v>
      </c>
      <c r="G60" s="481" t="s">
        <v>499</v>
      </c>
      <c r="H60" s="481" t="s">
        <v>108</v>
      </c>
      <c r="I60" s="554" t="s">
        <v>158</v>
      </c>
      <c r="J60" s="480">
        <v>60.997550000000004</v>
      </c>
      <c r="K60" s="483">
        <v>0</v>
      </c>
      <c r="L60" s="483">
        <v>1</v>
      </c>
      <c r="M60" s="484" t="s">
        <v>311</v>
      </c>
      <c r="N60" s="481" t="s">
        <v>500</v>
      </c>
      <c r="O60" s="533">
        <v>40299</v>
      </c>
      <c r="P60" s="533">
        <v>40396</v>
      </c>
      <c r="Q60" s="481" t="s">
        <v>512</v>
      </c>
      <c r="R60" s="493" t="s">
        <v>460</v>
      </c>
      <c r="S60" s="481" t="s">
        <v>431</v>
      </c>
    </row>
    <row r="61" spans="1:21" ht="30" customHeight="1" x14ac:dyDescent="0.25">
      <c r="C61" s="484">
        <v>3.2</v>
      </c>
      <c r="D61" s="484" t="s">
        <v>435</v>
      </c>
      <c r="E61" s="551" t="s">
        <v>449</v>
      </c>
      <c r="F61" s="551" t="s">
        <v>448</v>
      </c>
      <c r="G61" s="481" t="s">
        <v>499</v>
      </c>
      <c r="H61" s="481" t="s">
        <v>108</v>
      </c>
      <c r="I61" s="482" t="s">
        <v>161</v>
      </c>
      <c r="J61" s="480">
        <v>303.11399</v>
      </c>
      <c r="K61" s="483">
        <v>0</v>
      </c>
      <c r="L61" s="483">
        <v>1</v>
      </c>
      <c r="M61" s="484" t="s">
        <v>311</v>
      </c>
      <c r="N61" s="481" t="s">
        <v>500</v>
      </c>
      <c r="O61" s="533">
        <v>40391</v>
      </c>
      <c r="P61" s="533">
        <v>40450</v>
      </c>
      <c r="Q61" s="481" t="s">
        <v>512</v>
      </c>
      <c r="R61" s="493" t="s">
        <v>458</v>
      </c>
      <c r="S61" s="481" t="s">
        <v>431</v>
      </c>
    </row>
    <row r="62" spans="1:21" ht="30" customHeight="1" x14ac:dyDescent="0.25">
      <c r="A62" s="449"/>
      <c r="B62" s="449"/>
      <c r="C62" s="484">
        <v>3.3</v>
      </c>
      <c r="D62" s="484" t="s">
        <v>435</v>
      </c>
      <c r="E62" s="551" t="s">
        <v>450</v>
      </c>
      <c r="F62" s="551" t="s">
        <v>453</v>
      </c>
      <c r="G62" s="481" t="s">
        <v>499</v>
      </c>
      <c r="H62" s="481" t="s">
        <v>108</v>
      </c>
      <c r="I62" s="482" t="s">
        <v>164</v>
      </c>
      <c r="J62" s="480">
        <v>0</v>
      </c>
      <c r="K62" s="483">
        <v>0</v>
      </c>
      <c r="L62" s="483">
        <v>1</v>
      </c>
      <c r="M62" s="484" t="s">
        <v>311</v>
      </c>
      <c r="N62" s="481" t="s">
        <v>500</v>
      </c>
      <c r="O62" s="533">
        <v>40575</v>
      </c>
      <c r="P62" s="533">
        <v>40674</v>
      </c>
      <c r="Q62" s="481" t="s">
        <v>512</v>
      </c>
      <c r="R62" s="493" t="s">
        <v>108</v>
      </c>
      <c r="S62" s="534" t="s">
        <v>434</v>
      </c>
      <c r="T62" s="65"/>
      <c r="U62" s="65"/>
    </row>
    <row r="63" spans="1:21" ht="40.5" customHeight="1" x14ac:dyDescent="0.25">
      <c r="C63" s="484">
        <v>3.4</v>
      </c>
      <c r="D63" s="484" t="s">
        <v>435</v>
      </c>
      <c r="E63" s="551" t="s">
        <v>447</v>
      </c>
      <c r="F63" s="551" t="s">
        <v>451</v>
      </c>
      <c r="G63" s="481" t="s">
        <v>499</v>
      </c>
      <c r="H63" s="481" t="s">
        <v>108</v>
      </c>
      <c r="I63" s="482" t="s">
        <v>166</v>
      </c>
      <c r="J63" s="480">
        <v>161.72165500000003</v>
      </c>
      <c r="K63" s="483">
        <v>0</v>
      </c>
      <c r="L63" s="483">
        <v>1</v>
      </c>
      <c r="M63" s="484" t="s">
        <v>311</v>
      </c>
      <c r="N63" s="481" t="s">
        <v>500</v>
      </c>
      <c r="O63" s="533">
        <v>40695</v>
      </c>
      <c r="P63" s="533">
        <v>40749</v>
      </c>
      <c r="Q63" s="481" t="s">
        <v>512</v>
      </c>
      <c r="R63" s="493" t="s">
        <v>108</v>
      </c>
      <c r="S63" s="481" t="s">
        <v>431</v>
      </c>
    </row>
    <row r="64" spans="1:21" s="148" customFormat="1" ht="24.95" customHeight="1" thickBot="1" x14ac:dyDescent="0.3">
      <c r="C64" s="736"/>
      <c r="D64" s="737"/>
      <c r="E64" s="737"/>
      <c r="F64" s="737"/>
      <c r="G64" s="485"/>
      <c r="H64" s="485"/>
      <c r="I64" s="486" t="s">
        <v>4</v>
      </c>
      <c r="J64" s="487">
        <f>SUM(J60:J63)</f>
        <v>525.83319500000005</v>
      </c>
      <c r="K64" s="488"/>
      <c r="L64" s="489"/>
      <c r="M64" s="490"/>
      <c r="N64" s="491"/>
      <c r="O64" s="492"/>
      <c r="P64" s="492"/>
      <c r="Q64" s="485"/>
      <c r="R64" s="485"/>
      <c r="S64" s="493"/>
    </row>
    <row r="65" spans="3:19" s="148" customFormat="1" ht="24.95" customHeight="1" thickBot="1" x14ac:dyDescent="0.3">
      <c r="C65" s="706" t="s">
        <v>511</v>
      </c>
      <c r="D65" s="700" t="s">
        <v>507</v>
      </c>
      <c r="E65" s="706" t="s">
        <v>508</v>
      </c>
      <c r="F65" s="706" t="s">
        <v>380</v>
      </c>
      <c r="G65" s="706" t="s">
        <v>307</v>
      </c>
      <c r="H65" s="700" t="s">
        <v>503</v>
      </c>
      <c r="I65" s="709" t="s">
        <v>392</v>
      </c>
      <c r="J65" s="698" t="s">
        <v>509</v>
      </c>
      <c r="K65" s="712"/>
      <c r="L65" s="699"/>
      <c r="M65" s="700" t="s">
        <v>394</v>
      </c>
      <c r="N65" s="700" t="s">
        <v>395</v>
      </c>
      <c r="O65" s="698" t="s">
        <v>510</v>
      </c>
      <c r="P65" s="699"/>
      <c r="Q65" s="700" t="s">
        <v>514</v>
      </c>
      <c r="R65" s="703" t="s">
        <v>398</v>
      </c>
      <c r="S65" s="706" t="s">
        <v>308</v>
      </c>
    </row>
    <row r="66" spans="3:19" s="148" customFormat="1" ht="24.95" customHeight="1" x14ac:dyDescent="0.25">
      <c r="C66" s="701"/>
      <c r="D66" s="701"/>
      <c r="E66" s="701"/>
      <c r="F66" s="701"/>
      <c r="G66" s="701"/>
      <c r="H66" s="707"/>
      <c r="I66" s="710"/>
      <c r="J66" s="700" t="s">
        <v>504</v>
      </c>
      <c r="K66" s="700" t="s">
        <v>393</v>
      </c>
      <c r="L66" s="700" t="s">
        <v>515</v>
      </c>
      <c r="M66" s="707"/>
      <c r="N66" s="707"/>
      <c r="O66" s="700" t="s">
        <v>397</v>
      </c>
      <c r="P66" s="700" t="s">
        <v>396</v>
      </c>
      <c r="Q66" s="701"/>
      <c r="R66" s="704"/>
      <c r="S66" s="701"/>
    </row>
    <row r="67" spans="3:19" s="148" customFormat="1" ht="24.95" customHeight="1" x14ac:dyDescent="0.25">
      <c r="C67" s="701"/>
      <c r="D67" s="701"/>
      <c r="E67" s="701"/>
      <c r="F67" s="701"/>
      <c r="G67" s="701"/>
      <c r="H67" s="707"/>
      <c r="I67" s="710"/>
      <c r="J67" s="707"/>
      <c r="K67" s="707"/>
      <c r="L67" s="707"/>
      <c r="M67" s="707"/>
      <c r="N67" s="707"/>
      <c r="O67" s="707"/>
      <c r="P67" s="707"/>
      <c r="Q67" s="701"/>
      <c r="R67" s="704"/>
      <c r="S67" s="701"/>
    </row>
    <row r="68" spans="3:19" s="148" customFormat="1" ht="24.95" customHeight="1" thickBot="1" x14ac:dyDescent="0.3">
      <c r="C68" s="702"/>
      <c r="D68" s="702"/>
      <c r="E68" s="702"/>
      <c r="F68" s="702"/>
      <c r="G68" s="702"/>
      <c r="H68" s="708"/>
      <c r="I68" s="711"/>
      <c r="J68" s="708"/>
      <c r="K68" s="708"/>
      <c r="L68" s="708"/>
      <c r="M68" s="708"/>
      <c r="N68" s="708"/>
      <c r="O68" s="708"/>
      <c r="P68" s="708"/>
      <c r="Q68" s="702"/>
      <c r="R68" s="705"/>
      <c r="S68" s="702"/>
    </row>
    <row r="69" spans="3:19" ht="30" customHeight="1" x14ac:dyDescent="0.25">
      <c r="C69" s="497" t="s">
        <v>384</v>
      </c>
      <c r="D69" s="498"/>
      <c r="E69" s="498"/>
      <c r="F69" s="498"/>
      <c r="G69" s="498"/>
      <c r="H69" s="498"/>
      <c r="I69" s="498"/>
      <c r="J69" s="499"/>
      <c r="K69" s="498"/>
      <c r="L69" s="498"/>
      <c r="M69" s="498"/>
      <c r="N69" s="498"/>
      <c r="O69" s="498"/>
      <c r="P69" s="498"/>
      <c r="Q69" s="500"/>
      <c r="R69" s="498"/>
      <c r="S69" s="500"/>
    </row>
    <row r="70" spans="3:19" ht="45" customHeight="1" x14ac:dyDescent="0.25">
      <c r="C70" s="484">
        <v>4.0999999999999996</v>
      </c>
      <c r="D70" s="484" t="s">
        <v>435</v>
      </c>
      <c r="E70" s="551" t="s">
        <v>498</v>
      </c>
      <c r="F70" s="551" t="s">
        <v>464</v>
      </c>
      <c r="G70" s="481" t="s">
        <v>499</v>
      </c>
      <c r="H70" s="481" t="s">
        <v>108</v>
      </c>
      <c r="I70" s="484" t="s">
        <v>206</v>
      </c>
      <c r="J70" s="480">
        <v>1694.9789095220081</v>
      </c>
      <c r="K70" s="483">
        <v>0</v>
      </c>
      <c r="L70" s="483">
        <v>1</v>
      </c>
      <c r="M70" s="484" t="s">
        <v>313</v>
      </c>
      <c r="N70" s="481" t="s">
        <v>500</v>
      </c>
      <c r="O70" s="533">
        <v>39814</v>
      </c>
      <c r="P70" s="533">
        <v>39885</v>
      </c>
      <c r="Q70" s="481" t="s">
        <v>526</v>
      </c>
      <c r="R70" s="493" t="s">
        <v>456</v>
      </c>
      <c r="S70" s="481" t="s">
        <v>431</v>
      </c>
    </row>
    <row r="71" spans="3:19" ht="45" customHeight="1" x14ac:dyDescent="0.25">
      <c r="C71" s="484">
        <v>4.2</v>
      </c>
      <c r="D71" s="484" t="s">
        <v>435</v>
      </c>
      <c r="E71" s="551" t="s">
        <v>465</v>
      </c>
      <c r="F71" s="551" t="s">
        <v>493</v>
      </c>
      <c r="G71" s="481" t="s">
        <v>455</v>
      </c>
      <c r="H71" s="481" t="s">
        <v>108</v>
      </c>
      <c r="I71" s="484" t="s">
        <v>156</v>
      </c>
      <c r="J71" s="480">
        <v>60562.58853267473</v>
      </c>
      <c r="K71" s="483">
        <v>0.75</v>
      </c>
      <c r="L71" s="483">
        <v>0.25</v>
      </c>
      <c r="M71" s="484" t="s">
        <v>310</v>
      </c>
      <c r="N71" s="481" t="s">
        <v>506</v>
      </c>
      <c r="O71" s="533">
        <v>39995</v>
      </c>
      <c r="P71" s="533">
        <v>40312</v>
      </c>
      <c r="Q71" s="493" t="s">
        <v>108</v>
      </c>
      <c r="R71" s="493" t="s">
        <v>461</v>
      </c>
      <c r="S71" s="481" t="s">
        <v>431</v>
      </c>
    </row>
    <row r="72" spans="3:19" ht="45" customHeight="1" x14ac:dyDescent="0.25">
      <c r="C72" s="484">
        <v>4.3</v>
      </c>
      <c r="D72" s="484" t="s">
        <v>435</v>
      </c>
      <c r="E72" s="551" t="s">
        <v>524</v>
      </c>
      <c r="F72" s="551" t="s">
        <v>523</v>
      </c>
      <c r="G72" s="481" t="s">
        <v>455</v>
      </c>
      <c r="H72" s="481" t="s">
        <v>108</v>
      </c>
      <c r="I72" s="484" t="s">
        <v>153</v>
      </c>
      <c r="J72" s="480">
        <v>4546.0651662412292</v>
      </c>
      <c r="K72" s="483">
        <v>0.75</v>
      </c>
      <c r="L72" s="483">
        <v>0.25</v>
      </c>
      <c r="M72" s="484" t="s">
        <v>309</v>
      </c>
      <c r="N72" s="481" t="s">
        <v>505</v>
      </c>
      <c r="O72" s="533">
        <v>40057</v>
      </c>
      <c r="P72" s="533">
        <v>40574</v>
      </c>
      <c r="Q72" s="493" t="s">
        <v>108</v>
      </c>
      <c r="R72" s="493" t="s">
        <v>457</v>
      </c>
      <c r="S72" s="481" t="s">
        <v>431</v>
      </c>
    </row>
    <row r="73" spans="3:19" ht="45" customHeight="1" x14ac:dyDescent="0.25">
      <c r="C73" s="484">
        <v>4.4000000000000004</v>
      </c>
      <c r="D73" s="484" t="s">
        <v>435</v>
      </c>
      <c r="E73" s="551" t="s">
        <v>467</v>
      </c>
      <c r="F73" s="551" t="s">
        <v>466</v>
      </c>
      <c r="G73" s="481" t="s">
        <v>499</v>
      </c>
      <c r="H73" s="481" t="s">
        <v>108</v>
      </c>
      <c r="I73" s="484" t="s">
        <v>159</v>
      </c>
      <c r="J73" s="480">
        <v>976.79151191067251</v>
      </c>
      <c r="K73" s="483">
        <v>0</v>
      </c>
      <c r="L73" s="483">
        <v>1</v>
      </c>
      <c r="M73" s="484" t="s">
        <v>311</v>
      </c>
      <c r="N73" s="481" t="s">
        <v>500</v>
      </c>
      <c r="O73" s="533">
        <v>40269</v>
      </c>
      <c r="P73" s="533">
        <v>40477</v>
      </c>
      <c r="Q73" s="481" t="s">
        <v>501</v>
      </c>
      <c r="R73" s="493" t="s">
        <v>459</v>
      </c>
      <c r="S73" s="481" t="s">
        <v>431</v>
      </c>
    </row>
    <row r="74" spans="3:19" ht="45" customHeight="1" x14ac:dyDescent="0.25">
      <c r="C74" s="484">
        <v>4.5</v>
      </c>
      <c r="D74" s="484" t="s">
        <v>435</v>
      </c>
      <c r="E74" s="551" t="s">
        <v>99</v>
      </c>
      <c r="F74" s="551" t="s">
        <v>466</v>
      </c>
      <c r="G74" s="481" t="s">
        <v>499</v>
      </c>
      <c r="H74" s="481" t="s">
        <v>108</v>
      </c>
      <c r="I74" s="484" t="s">
        <v>162</v>
      </c>
      <c r="J74" s="480">
        <v>903.53523444360133</v>
      </c>
      <c r="K74" s="483">
        <v>0</v>
      </c>
      <c r="L74" s="483">
        <v>1</v>
      </c>
      <c r="M74" s="484" t="s">
        <v>311</v>
      </c>
      <c r="N74" s="481" t="s">
        <v>500</v>
      </c>
      <c r="O74" s="533">
        <v>40360</v>
      </c>
      <c r="P74" s="533">
        <v>40664</v>
      </c>
      <c r="Q74" s="481" t="s">
        <v>501</v>
      </c>
      <c r="R74" s="493" t="s">
        <v>462</v>
      </c>
      <c r="S74" s="481" t="s">
        <v>431</v>
      </c>
    </row>
    <row r="75" spans="3:19" ht="45" customHeight="1" x14ac:dyDescent="0.25">
      <c r="C75" s="484">
        <v>4.5999999999999996</v>
      </c>
      <c r="D75" s="484" t="s">
        <v>435</v>
      </c>
      <c r="E75" s="551" t="s">
        <v>467</v>
      </c>
      <c r="F75" s="551" t="s">
        <v>468</v>
      </c>
      <c r="G75" s="481" t="s">
        <v>499</v>
      </c>
      <c r="H75" s="481" t="s">
        <v>108</v>
      </c>
      <c r="I75" s="484" t="s">
        <v>165</v>
      </c>
      <c r="J75" s="480">
        <v>404.28827597583546</v>
      </c>
      <c r="K75" s="483">
        <v>0</v>
      </c>
      <c r="L75" s="483">
        <v>1</v>
      </c>
      <c r="M75" s="484" t="s">
        <v>311</v>
      </c>
      <c r="N75" s="481" t="s">
        <v>500</v>
      </c>
      <c r="O75" s="533">
        <v>40513</v>
      </c>
      <c r="P75" s="533">
        <v>40644</v>
      </c>
      <c r="Q75" s="481" t="s">
        <v>501</v>
      </c>
      <c r="R75" s="493" t="s">
        <v>463</v>
      </c>
      <c r="S75" s="481" t="s">
        <v>431</v>
      </c>
    </row>
    <row r="76" spans="3:19" ht="45" customHeight="1" x14ac:dyDescent="0.25">
      <c r="C76" s="484">
        <v>4.7</v>
      </c>
      <c r="D76" s="484" t="s">
        <v>435</v>
      </c>
      <c r="E76" s="551" t="s">
        <v>469</v>
      </c>
      <c r="F76" s="551" t="s">
        <v>468</v>
      </c>
      <c r="G76" s="481" t="s">
        <v>499</v>
      </c>
      <c r="H76" s="481" t="s">
        <v>108</v>
      </c>
      <c r="I76" s="484" t="s">
        <v>167</v>
      </c>
      <c r="J76" s="480">
        <v>855.00014905253749</v>
      </c>
      <c r="K76" s="483">
        <v>0</v>
      </c>
      <c r="L76" s="483">
        <v>1</v>
      </c>
      <c r="M76" s="484" t="s">
        <v>311</v>
      </c>
      <c r="N76" s="481" t="s">
        <v>500</v>
      </c>
      <c r="O76" s="533">
        <v>40634</v>
      </c>
      <c r="P76" s="533">
        <v>40834</v>
      </c>
      <c r="Q76" s="481" t="s">
        <v>501</v>
      </c>
      <c r="R76" s="493" t="s">
        <v>108</v>
      </c>
      <c r="S76" s="481" t="s">
        <v>430</v>
      </c>
    </row>
    <row r="77" spans="3:19" ht="45" customHeight="1" x14ac:dyDescent="0.25">
      <c r="C77" s="484">
        <v>4.8</v>
      </c>
      <c r="D77" s="484" t="s">
        <v>435</v>
      </c>
      <c r="E77" s="551" t="s">
        <v>99</v>
      </c>
      <c r="F77" s="551" t="s">
        <v>390</v>
      </c>
      <c r="G77" s="481" t="s">
        <v>499</v>
      </c>
      <c r="H77" s="481" t="s">
        <v>108</v>
      </c>
      <c r="I77" s="484" t="s">
        <v>169</v>
      </c>
      <c r="J77" s="480">
        <v>334.39842999999996</v>
      </c>
      <c r="K77" s="483">
        <v>0</v>
      </c>
      <c r="L77" s="483">
        <v>1</v>
      </c>
      <c r="M77" s="484" t="s">
        <v>311</v>
      </c>
      <c r="N77" s="481" t="s">
        <v>500</v>
      </c>
      <c r="O77" s="533">
        <v>40787</v>
      </c>
      <c r="P77" s="533">
        <v>41004</v>
      </c>
      <c r="Q77" s="481" t="s">
        <v>501</v>
      </c>
      <c r="R77" s="493" t="s">
        <v>108</v>
      </c>
      <c r="S77" s="481" t="s">
        <v>431</v>
      </c>
    </row>
    <row r="78" spans="3:19" ht="45" customHeight="1" x14ac:dyDescent="0.25">
      <c r="C78" s="484">
        <v>4.9000000000000004</v>
      </c>
      <c r="D78" s="484" t="s">
        <v>435</v>
      </c>
      <c r="E78" s="551" t="s">
        <v>470</v>
      </c>
      <c r="F78" s="551" t="s">
        <v>390</v>
      </c>
      <c r="G78" s="481" t="s">
        <v>499</v>
      </c>
      <c r="H78" s="481" t="s">
        <v>108</v>
      </c>
      <c r="I78" s="484" t="s">
        <v>171</v>
      </c>
      <c r="J78" s="480">
        <v>728.98295999999993</v>
      </c>
      <c r="K78" s="483">
        <v>0</v>
      </c>
      <c r="L78" s="483">
        <v>1</v>
      </c>
      <c r="M78" s="484" t="s">
        <v>311</v>
      </c>
      <c r="N78" s="481" t="s">
        <v>500</v>
      </c>
      <c r="O78" s="533">
        <v>40787</v>
      </c>
      <c r="P78" s="533">
        <v>40962</v>
      </c>
      <c r="Q78" s="481" t="s">
        <v>501</v>
      </c>
      <c r="R78" s="493" t="s">
        <v>108</v>
      </c>
      <c r="S78" s="481" t="s">
        <v>431</v>
      </c>
    </row>
    <row r="79" spans="3:19" ht="45" customHeight="1" x14ac:dyDescent="0.25">
      <c r="C79" s="553">
        <v>4.0999999999999996</v>
      </c>
      <c r="D79" s="484" t="s">
        <v>435</v>
      </c>
      <c r="E79" s="551" t="s">
        <v>524</v>
      </c>
      <c r="F79" s="551" t="s">
        <v>523</v>
      </c>
      <c r="G79" s="481" t="s">
        <v>499</v>
      </c>
      <c r="H79" s="481" t="s">
        <v>108</v>
      </c>
      <c r="I79" s="484" t="s">
        <v>154</v>
      </c>
      <c r="J79" s="480">
        <v>879.605978820779</v>
      </c>
      <c r="K79" s="483">
        <v>0</v>
      </c>
      <c r="L79" s="483">
        <v>1</v>
      </c>
      <c r="M79" s="484" t="s">
        <v>309</v>
      </c>
      <c r="N79" s="481" t="s">
        <v>500</v>
      </c>
      <c r="O79" s="533">
        <v>40664</v>
      </c>
      <c r="P79" s="533">
        <v>40910</v>
      </c>
      <c r="Q79" s="481" t="s">
        <v>501</v>
      </c>
      <c r="R79" s="493" t="s">
        <v>108</v>
      </c>
      <c r="S79" s="481" t="s">
        <v>430</v>
      </c>
    </row>
    <row r="80" spans="3:19" ht="45" customHeight="1" x14ac:dyDescent="0.25">
      <c r="C80" s="484">
        <v>4.1100000000000003</v>
      </c>
      <c r="D80" s="484" t="s">
        <v>435</v>
      </c>
      <c r="E80" s="551" t="s">
        <v>471</v>
      </c>
      <c r="F80" s="551" t="s">
        <v>494</v>
      </c>
      <c r="G80" s="481" t="s">
        <v>499</v>
      </c>
      <c r="H80" s="481" t="s">
        <v>108</v>
      </c>
      <c r="I80" s="484" t="s">
        <v>213</v>
      </c>
      <c r="J80" s="480">
        <v>1299.2370598651389</v>
      </c>
      <c r="K80" s="483">
        <v>0</v>
      </c>
      <c r="L80" s="483">
        <v>1</v>
      </c>
      <c r="M80" s="484" t="s">
        <v>315</v>
      </c>
      <c r="N80" s="481" t="s">
        <v>500</v>
      </c>
      <c r="O80" s="533">
        <v>41334</v>
      </c>
      <c r="P80" s="533">
        <v>41355</v>
      </c>
      <c r="Q80" s="481" t="s">
        <v>527</v>
      </c>
      <c r="R80" s="493" t="s">
        <v>108</v>
      </c>
      <c r="S80" s="481" t="s">
        <v>430</v>
      </c>
    </row>
    <row r="81" spans="1:19" ht="45" customHeight="1" x14ac:dyDescent="0.25">
      <c r="C81" s="484">
        <v>4.12</v>
      </c>
      <c r="D81" s="484" t="s">
        <v>435</v>
      </c>
      <c r="E81" s="551" t="s">
        <v>502</v>
      </c>
      <c r="F81" s="551" t="s">
        <v>472</v>
      </c>
      <c r="G81" s="481" t="s">
        <v>499</v>
      </c>
      <c r="H81" s="481" t="s">
        <v>108</v>
      </c>
      <c r="I81" s="484" t="s">
        <v>172</v>
      </c>
      <c r="J81" s="480">
        <v>575.53315305495516</v>
      </c>
      <c r="K81" s="483">
        <v>0</v>
      </c>
      <c r="L81" s="483">
        <v>1</v>
      </c>
      <c r="M81" s="484" t="s">
        <v>311</v>
      </c>
      <c r="N81" s="481" t="s">
        <v>500</v>
      </c>
      <c r="O81" s="533">
        <v>41365</v>
      </c>
      <c r="P81" s="533">
        <v>41549</v>
      </c>
      <c r="Q81" s="481" t="s">
        <v>501</v>
      </c>
      <c r="R81" s="493" t="s">
        <v>108</v>
      </c>
      <c r="S81" s="481" t="s">
        <v>430</v>
      </c>
    </row>
    <row r="82" spans="1:19" ht="45" customHeight="1" x14ac:dyDescent="0.25">
      <c r="C82" s="484">
        <v>4.13</v>
      </c>
      <c r="D82" s="484" t="s">
        <v>435</v>
      </c>
      <c r="E82" s="551" t="s">
        <v>473</v>
      </c>
      <c r="F82" s="551" t="s">
        <v>480</v>
      </c>
      <c r="G82" s="481" t="s">
        <v>499</v>
      </c>
      <c r="H82" s="481" t="s">
        <v>108</v>
      </c>
      <c r="I82" s="484" t="s">
        <v>173</v>
      </c>
      <c r="J82" s="480">
        <v>3642.4451429482169</v>
      </c>
      <c r="K82" s="483">
        <v>0</v>
      </c>
      <c r="L82" s="483">
        <v>1</v>
      </c>
      <c r="M82" s="484" t="s">
        <v>311</v>
      </c>
      <c r="N82" s="481" t="s">
        <v>500</v>
      </c>
      <c r="O82" s="533">
        <v>41609</v>
      </c>
      <c r="P82" s="533">
        <v>41899</v>
      </c>
      <c r="Q82" s="481" t="s">
        <v>501</v>
      </c>
      <c r="R82" s="493" t="s">
        <v>108</v>
      </c>
      <c r="S82" s="481" t="s">
        <v>430</v>
      </c>
    </row>
    <row r="83" spans="1:19" ht="45" customHeight="1" x14ac:dyDescent="0.25">
      <c r="C83" s="484">
        <v>4.1399999999999997</v>
      </c>
      <c r="D83" s="484" t="s">
        <v>435</v>
      </c>
      <c r="E83" s="551" t="s">
        <v>474</v>
      </c>
      <c r="F83" s="551" t="s">
        <v>478</v>
      </c>
      <c r="G83" s="481" t="s">
        <v>499</v>
      </c>
      <c r="H83" s="481" t="s">
        <v>108</v>
      </c>
      <c r="I83" s="484" t="s">
        <v>267</v>
      </c>
      <c r="J83" s="480">
        <v>3006.7211590994411</v>
      </c>
      <c r="K83" s="483">
        <v>0</v>
      </c>
      <c r="L83" s="483">
        <v>1</v>
      </c>
      <c r="M83" s="484" t="s">
        <v>312</v>
      </c>
      <c r="N83" s="481" t="s">
        <v>500</v>
      </c>
      <c r="O83" s="533">
        <v>41579</v>
      </c>
      <c r="P83" s="533">
        <v>42541</v>
      </c>
      <c r="Q83" s="481" t="s">
        <v>501</v>
      </c>
      <c r="R83" s="493" t="s">
        <v>108</v>
      </c>
      <c r="S83" s="481" t="s">
        <v>430</v>
      </c>
    </row>
    <row r="84" spans="1:19" ht="45" customHeight="1" x14ac:dyDescent="0.25">
      <c r="C84" s="484">
        <v>4.1500000000000004</v>
      </c>
      <c r="D84" s="484" t="s">
        <v>435</v>
      </c>
      <c r="E84" s="551" t="s">
        <v>475</v>
      </c>
      <c r="F84" s="551" t="s">
        <v>479</v>
      </c>
      <c r="G84" s="481" t="s">
        <v>499</v>
      </c>
      <c r="H84" s="481" t="s">
        <v>108</v>
      </c>
      <c r="I84" s="484" t="s">
        <v>234</v>
      </c>
      <c r="J84" s="480">
        <v>3321.4079896896592</v>
      </c>
      <c r="K84" s="483">
        <v>0</v>
      </c>
      <c r="L84" s="483">
        <v>1</v>
      </c>
      <c r="M84" s="484" t="s">
        <v>312</v>
      </c>
      <c r="N84" s="481" t="s">
        <v>500</v>
      </c>
      <c r="O84" s="533">
        <v>41974</v>
      </c>
      <c r="P84" s="533">
        <v>42237</v>
      </c>
      <c r="Q84" s="481" t="s">
        <v>528</v>
      </c>
      <c r="R84" s="493" t="s">
        <v>108</v>
      </c>
      <c r="S84" s="481" t="s">
        <v>430</v>
      </c>
    </row>
    <row r="85" spans="1:19" ht="45" customHeight="1" x14ac:dyDescent="0.25">
      <c r="C85" s="484">
        <v>4.16</v>
      </c>
      <c r="D85" s="484" t="s">
        <v>435</v>
      </c>
      <c r="E85" s="551" t="s">
        <v>352</v>
      </c>
      <c r="F85" s="551"/>
      <c r="G85" s="481" t="s">
        <v>499</v>
      </c>
      <c r="H85" s="481" t="s">
        <v>108</v>
      </c>
      <c r="I85" s="481"/>
      <c r="J85" s="480">
        <v>2150.2868890184404</v>
      </c>
      <c r="K85" s="483">
        <v>0</v>
      </c>
      <c r="L85" s="483">
        <v>1</v>
      </c>
      <c r="M85" s="484" t="s">
        <v>312</v>
      </c>
      <c r="N85" s="481" t="s">
        <v>500</v>
      </c>
      <c r="O85" s="533">
        <v>43040</v>
      </c>
      <c r="P85" s="533">
        <v>43160</v>
      </c>
      <c r="Q85" s="481" t="s">
        <v>501</v>
      </c>
      <c r="R85" s="493"/>
      <c r="S85" s="481" t="s">
        <v>433</v>
      </c>
    </row>
    <row r="86" spans="1:19" ht="45" customHeight="1" x14ac:dyDescent="0.25">
      <c r="C86" s="484">
        <v>4.17</v>
      </c>
      <c r="D86" s="484" t="s">
        <v>435</v>
      </c>
      <c r="E86" s="551" t="s">
        <v>476</v>
      </c>
      <c r="F86" s="551" t="s">
        <v>477</v>
      </c>
      <c r="G86" s="481" t="s">
        <v>499</v>
      </c>
      <c r="H86" s="481" t="s">
        <v>108</v>
      </c>
      <c r="I86" s="481"/>
      <c r="J86" s="480">
        <v>2761.4985732257369</v>
      </c>
      <c r="K86" s="483">
        <v>0</v>
      </c>
      <c r="L86" s="483">
        <v>1</v>
      </c>
      <c r="M86" s="484" t="s">
        <v>312</v>
      </c>
      <c r="N86" s="481" t="s">
        <v>500</v>
      </c>
      <c r="O86" s="533">
        <v>43040</v>
      </c>
      <c r="P86" s="533">
        <v>43160</v>
      </c>
      <c r="Q86" s="481" t="s">
        <v>501</v>
      </c>
      <c r="R86" s="493"/>
      <c r="S86" s="481" t="s">
        <v>433</v>
      </c>
    </row>
    <row r="87" spans="1:19" ht="45" customHeight="1" x14ac:dyDescent="0.25">
      <c r="C87" s="484">
        <v>4.18</v>
      </c>
      <c r="D87" s="484" t="s">
        <v>435</v>
      </c>
      <c r="E87" s="551" t="s">
        <v>482</v>
      </c>
      <c r="F87" s="551" t="s">
        <v>481</v>
      </c>
      <c r="G87" s="481" t="s">
        <v>499</v>
      </c>
      <c r="H87" s="481" t="s">
        <v>108</v>
      </c>
      <c r="I87" s="555"/>
      <c r="J87" s="480">
        <v>1839.9772943450646</v>
      </c>
      <c r="K87" s="483">
        <v>0</v>
      </c>
      <c r="L87" s="483">
        <v>1</v>
      </c>
      <c r="M87" s="484" t="s">
        <v>314</v>
      </c>
      <c r="N87" s="481" t="s">
        <v>500</v>
      </c>
      <c r="O87" s="533">
        <v>43040</v>
      </c>
      <c r="P87" s="533">
        <v>43160</v>
      </c>
      <c r="Q87" s="481" t="s">
        <v>501</v>
      </c>
      <c r="R87" s="481"/>
      <c r="S87" s="481" t="s">
        <v>433</v>
      </c>
    </row>
    <row r="88" spans="1:19" ht="45" customHeight="1" x14ac:dyDescent="0.25">
      <c r="C88" s="484">
        <v>4.1900000000000004</v>
      </c>
      <c r="D88" s="484" t="s">
        <v>435</v>
      </c>
      <c r="E88" s="551" t="s">
        <v>483</v>
      </c>
      <c r="F88" s="551" t="s">
        <v>484</v>
      </c>
      <c r="G88" s="481" t="s">
        <v>499</v>
      </c>
      <c r="H88" s="481" t="s">
        <v>108</v>
      </c>
      <c r="I88" s="481"/>
      <c r="J88" s="480">
        <v>1534.1658740142984</v>
      </c>
      <c r="K88" s="483">
        <v>0</v>
      </c>
      <c r="L88" s="483">
        <v>1</v>
      </c>
      <c r="M88" s="484" t="s">
        <v>353</v>
      </c>
      <c r="N88" s="481" t="s">
        <v>500</v>
      </c>
      <c r="O88" s="533">
        <v>43040</v>
      </c>
      <c r="P88" s="533">
        <v>43160</v>
      </c>
      <c r="Q88" s="481" t="s">
        <v>501</v>
      </c>
      <c r="R88" s="493"/>
      <c r="S88" s="481" t="s">
        <v>433</v>
      </c>
    </row>
    <row r="89" spans="1:19" ht="45" customHeight="1" x14ac:dyDescent="0.25">
      <c r="C89" s="553">
        <v>4.2</v>
      </c>
      <c r="D89" s="484" t="s">
        <v>435</v>
      </c>
      <c r="E89" s="551" t="s">
        <v>485</v>
      </c>
      <c r="F89" s="551" t="s">
        <v>486</v>
      </c>
      <c r="G89" s="481" t="s">
        <v>499</v>
      </c>
      <c r="H89" s="481" t="s">
        <v>108</v>
      </c>
      <c r="I89" s="481"/>
      <c r="J89" s="480">
        <v>46.024976220428954</v>
      </c>
      <c r="K89" s="483">
        <v>0</v>
      </c>
      <c r="L89" s="483">
        <v>1</v>
      </c>
      <c r="M89" s="484" t="s">
        <v>312</v>
      </c>
      <c r="N89" s="481" t="s">
        <v>500</v>
      </c>
      <c r="O89" s="533">
        <v>43040</v>
      </c>
      <c r="P89" s="533">
        <v>43160</v>
      </c>
      <c r="Q89" s="481" t="s">
        <v>501</v>
      </c>
      <c r="R89" s="481"/>
      <c r="S89" s="481" t="s">
        <v>433</v>
      </c>
    </row>
    <row r="90" spans="1:19" ht="45" customHeight="1" x14ac:dyDescent="0.25">
      <c r="C90" s="484">
        <v>4.21</v>
      </c>
      <c r="D90" s="484" t="s">
        <v>435</v>
      </c>
      <c r="E90" s="551" t="s">
        <v>487</v>
      </c>
      <c r="F90" s="551" t="s">
        <v>488</v>
      </c>
      <c r="G90" s="481" t="s">
        <v>499</v>
      </c>
      <c r="H90" s="481" t="s">
        <v>108</v>
      </c>
      <c r="I90" s="484" t="s">
        <v>264</v>
      </c>
      <c r="J90" s="480">
        <v>149.18850099236337</v>
      </c>
      <c r="K90" s="483">
        <v>0</v>
      </c>
      <c r="L90" s="483">
        <v>1</v>
      </c>
      <c r="M90" s="484" t="s">
        <v>312</v>
      </c>
      <c r="N90" s="481" t="s">
        <v>500</v>
      </c>
      <c r="O90" s="533">
        <v>42339</v>
      </c>
      <c r="P90" s="533">
        <v>42377</v>
      </c>
      <c r="Q90" s="481" t="s">
        <v>529</v>
      </c>
      <c r="R90" s="493" t="s">
        <v>108</v>
      </c>
      <c r="S90" s="481" t="s">
        <v>430</v>
      </c>
    </row>
    <row r="91" spans="1:19" ht="45" customHeight="1" x14ac:dyDescent="0.25">
      <c r="C91" s="553">
        <v>4.22</v>
      </c>
      <c r="D91" s="484" t="s">
        <v>435</v>
      </c>
      <c r="E91" s="551" t="s">
        <v>465</v>
      </c>
      <c r="F91" s="551" t="s">
        <v>493</v>
      </c>
      <c r="G91" s="481" t="s">
        <v>499</v>
      </c>
      <c r="H91" s="481" t="s">
        <v>108</v>
      </c>
      <c r="I91" s="481"/>
      <c r="J91" s="480">
        <v>42956.644472400352</v>
      </c>
      <c r="K91" s="483">
        <v>0</v>
      </c>
      <c r="L91" s="483">
        <v>1</v>
      </c>
      <c r="M91" s="484" t="s">
        <v>310</v>
      </c>
      <c r="N91" s="481" t="s">
        <v>500</v>
      </c>
      <c r="O91" s="533">
        <v>42917</v>
      </c>
      <c r="P91" s="533">
        <v>43040</v>
      </c>
      <c r="Q91" s="484" t="s">
        <v>108</v>
      </c>
      <c r="R91" s="493"/>
      <c r="S91" s="481" t="s">
        <v>433</v>
      </c>
    </row>
    <row r="92" spans="1:19" ht="45" customHeight="1" x14ac:dyDescent="0.25">
      <c r="C92" s="484">
        <v>4.2300000000000004</v>
      </c>
      <c r="D92" s="484" t="s">
        <v>435</v>
      </c>
      <c r="E92" s="551" t="s">
        <v>354</v>
      </c>
      <c r="F92" s="551" t="s">
        <v>413</v>
      </c>
      <c r="G92" s="481" t="s">
        <v>499</v>
      </c>
      <c r="H92" s="481" t="s">
        <v>108</v>
      </c>
      <c r="I92" s="481"/>
      <c r="J92" s="480">
        <v>9204.9952440857905</v>
      </c>
      <c r="K92" s="483">
        <v>0</v>
      </c>
      <c r="L92" s="483">
        <v>1</v>
      </c>
      <c r="M92" s="484" t="s">
        <v>311</v>
      </c>
      <c r="N92" s="481" t="s">
        <v>500</v>
      </c>
      <c r="O92" s="533">
        <v>42948</v>
      </c>
      <c r="P92" s="533">
        <v>43040</v>
      </c>
      <c r="Q92" s="481" t="s">
        <v>501</v>
      </c>
      <c r="R92" s="484"/>
      <c r="S92" s="481" t="s">
        <v>433</v>
      </c>
    </row>
    <row r="93" spans="1:19" ht="45" customHeight="1" x14ac:dyDescent="0.25">
      <c r="C93" s="553">
        <v>4.24</v>
      </c>
      <c r="D93" s="484" t="s">
        <v>435</v>
      </c>
      <c r="E93" s="551" t="s">
        <v>489</v>
      </c>
      <c r="F93" s="551" t="s">
        <v>490</v>
      </c>
      <c r="G93" s="481" t="s">
        <v>499</v>
      </c>
      <c r="H93" s="481" t="s">
        <v>108</v>
      </c>
      <c r="I93" s="481" t="s">
        <v>552</v>
      </c>
      <c r="J93" s="480">
        <v>435.82584148998188</v>
      </c>
      <c r="K93" s="483">
        <v>0</v>
      </c>
      <c r="L93" s="483">
        <v>1</v>
      </c>
      <c r="M93" s="484" t="s">
        <v>312</v>
      </c>
      <c r="N93" s="481" t="s">
        <v>500</v>
      </c>
      <c r="O93" s="556">
        <v>42721</v>
      </c>
      <c r="P93" s="557">
        <v>42767</v>
      </c>
      <c r="Q93" s="481" t="s">
        <v>501</v>
      </c>
      <c r="R93" s="484"/>
      <c r="S93" s="481" t="s">
        <v>430</v>
      </c>
    </row>
    <row r="94" spans="1:19" ht="45" customHeight="1" x14ac:dyDescent="0.25">
      <c r="C94" s="484">
        <v>4.25</v>
      </c>
      <c r="D94" s="484" t="s">
        <v>435</v>
      </c>
      <c r="E94" s="551" t="s">
        <v>491</v>
      </c>
      <c r="F94" s="551" t="s">
        <v>492</v>
      </c>
      <c r="G94" s="481" t="s">
        <v>499</v>
      </c>
      <c r="H94" s="481" t="s">
        <v>108</v>
      </c>
      <c r="I94" s="481" t="s">
        <v>525</v>
      </c>
      <c r="J94" s="480">
        <v>837.44978368261161</v>
      </c>
      <c r="K94" s="483">
        <v>0</v>
      </c>
      <c r="L94" s="483">
        <v>1</v>
      </c>
      <c r="M94" s="484" t="s">
        <v>312</v>
      </c>
      <c r="N94" s="481" t="s">
        <v>500</v>
      </c>
      <c r="O94" s="556">
        <v>42712</v>
      </c>
      <c r="P94" s="557">
        <v>42767</v>
      </c>
      <c r="Q94" s="481" t="s">
        <v>529</v>
      </c>
      <c r="R94" s="484"/>
      <c r="S94" s="481" t="s">
        <v>430</v>
      </c>
    </row>
    <row r="95" spans="1:19" s="66" customFormat="1" ht="45" customHeight="1" x14ac:dyDescent="0.25">
      <c r="A95" s="312"/>
      <c r="B95" s="377"/>
      <c r="C95" s="553">
        <v>4.26</v>
      </c>
      <c r="D95" s="484" t="s">
        <v>435</v>
      </c>
      <c r="E95" s="551" t="s">
        <v>348</v>
      </c>
      <c r="F95" s="551" t="s">
        <v>413</v>
      </c>
      <c r="G95" s="535" t="s">
        <v>499</v>
      </c>
      <c r="H95" s="481" t="s">
        <v>108</v>
      </c>
      <c r="I95" s="555"/>
      <c r="J95" s="558">
        <f>9204.99524408578-827.42415</f>
        <v>8377.5710940857789</v>
      </c>
      <c r="K95" s="483">
        <v>0</v>
      </c>
      <c r="L95" s="483">
        <v>1</v>
      </c>
      <c r="M95" s="484" t="s">
        <v>309</v>
      </c>
      <c r="N95" s="535" t="s">
        <v>500</v>
      </c>
      <c r="O95" s="556">
        <v>42979</v>
      </c>
      <c r="P95" s="557">
        <v>43101</v>
      </c>
      <c r="Q95" s="535" t="s">
        <v>501</v>
      </c>
      <c r="R95" s="484"/>
      <c r="S95" s="481" t="s">
        <v>433</v>
      </c>
    </row>
    <row r="96" spans="1:19" s="66" customFormat="1" ht="45" customHeight="1" thickBot="1" x14ac:dyDescent="0.3">
      <c r="C96" s="559">
        <v>4.2699999999999996</v>
      </c>
      <c r="D96" s="560" t="s">
        <v>435</v>
      </c>
      <c r="E96" s="561" t="s">
        <v>557</v>
      </c>
      <c r="F96" s="561" t="s">
        <v>558</v>
      </c>
      <c r="G96" s="562" t="s">
        <v>499</v>
      </c>
      <c r="H96" s="563" t="s">
        <v>108</v>
      </c>
      <c r="I96" s="563" t="s">
        <v>556</v>
      </c>
      <c r="J96" s="564">
        <v>827.42415000000005</v>
      </c>
      <c r="K96" s="565">
        <v>0</v>
      </c>
      <c r="L96" s="565">
        <v>1</v>
      </c>
      <c r="M96" s="560" t="s">
        <v>309</v>
      </c>
      <c r="N96" s="562" t="s">
        <v>500</v>
      </c>
      <c r="O96" s="566">
        <v>42614</v>
      </c>
      <c r="P96" s="567">
        <v>42887</v>
      </c>
      <c r="Q96" s="562" t="s">
        <v>501</v>
      </c>
      <c r="R96" s="560"/>
      <c r="S96" s="563" t="s">
        <v>555</v>
      </c>
    </row>
    <row r="97" spans="3:19" s="148" customFormat="1" ht="24.95" customHeight="1" thickBot="1" x14ac:dyDescent="0.3">
      <c r="C97" s="738"/>
      <c r="D97" s="739"/>
      <c r="E97" s="740"/>
      <c r="F97" s="740"/>
      <c r="G97" s="501"/>
      <c r="H97" s="502"/>
      <c r="I97" s="503" t="s">
        <v>4</v>
      </c>
      <c r="J97" s="504">
        <f>SUM(J70:J96)</f>
        <v>154852.63234685967</v>
      </c>
      <c r="K97" s="505"/>
      <c r="L97" s="506"/>
      <c r="M97" s="507"/>
      <c r="N97" s="539"/>
      <c r="O97" s="508"/>
      <c r="P97" s="508"/>
      <c r="Q97" s="501"/>
      <c r="R97" s="501"/>
      <c r="S97" s="509"/>
    </row>
    <row r="98" spans="3:19" s="148" customFormat="1" ht="27" customHeight="1" thickBot="1" x14ac:dyDescent="0.3">
      <c r="C98" s="731" t="s">
        <v>320</v>
      </c>
      <c r="D98" s="732"/>
      <c r="E98" s="732"/>
      <c r="F98" s="732"/>
      <c r="G98" s="732"/>
      <c r="H98" s="732"/>
      <c r="I98" s="732"/>
      <c r="J98" s="510">
        <f>J97+J64+J58+J49</f>
        <v>1337685.2657137958</v>
      </c>
      <c r="K98" s="511"/>
      <c r="L98" s="511"/>
      <c r="M98" s="512"/>
      <c r="N98" s="513"/>
      <c r="O98" s="514"/>
      <c r="P98" s="514"/>
      <c r="Q98" s="515"/>
      <c r="R98" s="515"/>
      <c r="S98" s="516"/>
    </row>
    <row r="99" spans="3:19" ht="15.75" x14ac:dyDescent="0.25">
      <c r="C99" s="448"/>
      <c r="D99" s="448"/>
      <c r="E99" s="448"/>
      <c r="F99" s="448"/>
      <c r="G99" s="448"/>
      <c r="H99" s="448"/>
      <c r="I99" s="448"/>
      <c r="J99" s="475"/>
      <c r="K99" s="448"/>
      <c r="L99" s="448"/>
      <c r="M99" s="448"/>
      <c r="N99" s="448"/>
      <c r="O99" s="474"/>
      <c r="P99" s="474"/>
      <c r="Q99" s="474"/>
      <c r="R99" s="474"/>
      <c r="S99" s="448"/>
    </row>
    <row r="100" spans="3:19" ht="15.75" x14ac:dyDescent="0.25">
      <c r="C100" s="522" t="s">
        <v>559</v>
      </c>
      <c r="D100" s="448"/>
      <c r="E100" s="448"/>
      <c r="F100" s="448"/>
      <c r="G100" s="448"/>
      <c r="H100" s="448"/>
      <c r="I100" s="448"/>
      <c r="J100" s="475"/>
      <c r="K100" s="448"/>
      <c r="L100" s="448"/>
      <c r="M100" s="448"/>
      <c r="N100" s="448"/>
      <c r="O100" s="474"/>
      <c r="P100" s="474"/>
      <c r="Q100" s="474"/>
      <c r="R100" s="474"/>
      <c r="S100" s="448"/>
    </row>
    <row r="101" spans="3:19" ht="15.75" x14ac:dyDescent="0.25">
      <c r="C101" s="545" t="s">
        <v>560</v>
      </c>
      <c r="D101" s="448"/>
      <c r="E101" s="448"/>
      <c r="F101" s="448"/>
      <c r="G101" s="448"/>
      <c r="H101" s="448"/>
      <c r="I101" s="448"/>
      <c r="J101" s="475"/>
      <c r="K101" s="448"/>
      <c r="L101" s="448"/>
      <c r="M101" s="448"/>
      <c r="N101" s="448"/>
      <c r="O101" s="474"/>
      <c r="P101" s="474"/>
      <c r="Q101" s="474"/>
      <c r="R101" s="474"/>
      <c r="S101" s="448"/>
    </row>
    <row r="102" spans="3:19" ht="15.75" x14ac:dyDescent="0.25">
      <c r="C102" s="545" t="s">
        <v>565</v>
      </c>
      <c r="D102" s="448"/>
      <c r="E102" s="448"/>
      <c r="F102" s="448"/>
      <c r="G102" s="448"/>
      <c r="H102" s="448"/>
      <c r="I102" s="448"/>
      <c r="J102" s="475"/>
      <c r="K102" s="448"/>
      <c r="L102" s="448"/>
      <c r="M102" s="448"/>
      <c r="N102" s="448"/>
      <c r="O102" s="474"/>
      <c r="P102" s="474"/>
      <c r="Q102" s="474"/>
      <c r="R102" s="474"/>
      <c r="S102" s="448"/>
    </row>
    <row r="103" spans="3:19" ht="15.75" x14ac:dyDescent="0.25">
      <c r="C103" s="545"/>
      <c r="D103" s="448"/>
      <c r="E103" s="448"/>
      <c r="F103" s="448"/>
      <c r="G103" s="448"/>
      <c r="H103" s="448"/>
      <c r="I103" s="448"/>
      <c r="J103" s="475"/>
      <c r="K103" s="448"/>
      <c r="L103" s="448"/>
      <c r="M103" s="448"/>
      <c r="N103" s="448"/>
      <c r="O103" s="474"/>
      <c r="P103" s="474"/>
      <c r="Q103" s="474"/>
      <c r="R103" s="474"/>
      <c r="S103" s="448"/>
    </row>
    <row r="104" spans="3:19" ht="15.75" x14ac:dyDescent="0.25">
      <c r="C104" s="545"/>
      <c r="D104" s="448"/>
      <c r="E104" s="448"/>
      <c r="F104" s="448"/>
      <c r="G104" s="448"/>
      <c r="H104" s="448"/>
      <c r="I104" s="448"/>
      <c r="J104" s="475"/>
      <c r="K104" s="448"/>
      <c r="L104" s="448"/>
      <c r="M104" s="448"/>
      <c r="N104" s="448"/>
      <c r="O104" s="474"/>
      <c r="P104" s="474"/>
      <c r="Q104" s="474"/>
      <c r="R104" s="474"/>
      <c r="S104" s="448"/>
    </row>
    <row r="105" spans="3:19" ht="15.75" x14ac:dyDescent="0.25">
      <c r="C105" s="545"/>
      <c r="D105" s="448"/>
      <c r="E105" s="448"/>
      <c r="F105" s="448"/>
      <c r="G105" s="448"/>
      <c r="H105" s="448"/>
      <c r="I105" s="448"/>
      <c r="J105" s="475"/>
      <c r="K105" s="448"/>
      <c r="L105" s="448"/>
      <c r="M105" s="448"/>
      <c r="N105" s="448"/>
      <c r="O105" s="474"/>
      <c r="P105" s="474"/>
      <c r="Q105" s="474"/>
      <c r="R105" s="474"/>
      <c r="S105" s="448"/>
    </row>
    <row r="106" spans="3:19" ht="15.75" x14ac:dyDescent="0.25">
      <c r="C106" s="448"/>
      <c r="D106" s="448"/>
      <c r="E106" s="448"/>
      <c r="F106" s="448"/>
      <c r="G106" s="448"/>
      <c r="H106" s="448"/>
      <c r="I106" s="448"/>
      <c r="J106" s="475"/>
      <c r="K106" s="448"/>
      <c r="L106" s="448"/>
      <c r="M106" s="448"/>
      <c r="N106" s="448"/>
      <c r="O106" s="474"/>
      <c r="P106" s="474"/>
      <c r="Q106" s="474"/>
      <c r="R106" s="474"/>
      <c r="S106" s="448"/>
    </row>
    <row r="107" spans="3:19" ht="15.75" x14ac:dyDescent="0.25">
      <c r="C107" s="448"/>
      <c r="D107" s="448"/>
      <c r="E107" s="448"/>
      <c r="F107" s="448"/>
      <c r="G107" s="448"/>
      <c r="H107" s="448"/>
      <c r="I107" s="448"/>
      <c r="J107" s="475"/>
      <c r="K107" s="448"/>
      <c r="L107" s="448"/>
      <c r="M107" s="448"/>
      <c r="N107" s="448"/>
      <c r="O107" s="474"/>
      <c r="P107" s="474"/>
      <c r="Q107" s="474"/>
      <c r="R107" s="474"/>
      <c r="S107" s="448"/>
    </row>
    <row r="108" spans="3:19" ht="15.75" x14ac:dyDescent="0.25">
      <c r="C108" s="448"/>
      <c r="D108" s="448"/>
      <c r="E108" s="448"/>
      <c r="F108" s="448"/>
      <c r="G108" s="448"/>
      <c r="H108" s="448"/>
      <c r="I108" s="448"/>
      <c r="J108" s="475"/>
      <c r="K108" s="448"/>
      <c r="L108" s="448"/>
      <c r="M108" s="448"/>
      <c r="N108" s="448"/>
      <c r="O108" s="474"/>
      <c r="P108" s="474"/>
      <c r="Q108" s="474"/>
      <c r="R108" s="474"/>
      <c r="S108" s="448"/>
    </row>
    <row r="109" spans="3:19" ht="15.75" x14ac:dyDescent="0.25">
      <c r="C109" s="448"/>
      <c r="D109" s="448"/>
      <c r="E109" s="448"/>
      <c r="F109" s="448"/>
      <c r="G109" s="448"/>
      <c r="H109" s="448"/>
      <c r="I109" s="448"/>
      <c r="J109" s="475"/>
      <c r="K109" s="448"/>
      <c r="L109" s="448"/>
      <c r="M109" s="448"/>
      <c r="N109" s="448"/>
      <c r="O109" s="474"/>
      <c r="P109" s="474"/>
      <c r="Q109" s="474"/>
      <c r="R109" s="474"/>
      <c r="S109" s="448"/>
    </row>
    <row r="110" spans="3:19" ht="15.75" x14ac:dyDescent="0.25">
      <c r="C110" s="448"/>
      <c r="D110" s="448"/>
      <c r="E110" s="448"/>
      <c r="F110" s="448"/>
      <c r="G110" s="448"/>
      <c r="H110" s="448"/>
      <c r="I110" s="448"/>
      <c r="J110" s="475"/>
      <c r="K110" s="448"/>
      <c r="L110" s="448"/>
      <c r="M110" s="448"/>
      <c r="N110" s="448"/>
      <c r="O110" s="474"/>
      <c r="P110" s="474"/>
      <c r="Q110" s="474"/>
      <c r="R110" s="474"/>
      <c r="S110" s="448"/>
    </row>
    <row r="111" spans="3:19" ht="15.75" x14ac:dyDescent="0.25">
      <c r="C111" s="448"/>
      <c r="D111" s="448"/>
      <c r="E111" s="448"/>
      <c r="F111" s="448"/>
      <c r="G111" s="448"/>
      <c r="H111" s="448"/>
      <c r="I111" s="448"/>
      <c r="J111" s="475"/>
      <c r="K111" s="448"/>
      <c r="L111" s="448"/>
      <c r="M111" s="448"/>
      <c r="N111" s="448"/>
      <c r="O111" s="474"/>
      <c r="P111" s="474"/>
      <c r="Q111" s="474"/>
      <c r="R111" s="474"/>
      <c r="S111" s="448"/>
    </row>
    <row r="112" spans="3:19" ht="15.75" x14ac:dyDescent="0.25">
      <c r="C112" s="448"/>
      <c r="D112" s="448"/>
      <c r="E112" s="448"/>
      <c r="F112" s="448"/>
      <c r="G112" s="448"/>
      <c r="H112" s="448"/>
      <c r="I112" s="448"/>
      <c r="J112" s="475"/>
      <c r="K112" s="448"/>
      <c r="L112" s="448"/>
      <c r="M112" s="448"/>
      <c r="N112" s="448"/>
      <c r="O112" s="474"/>
      <c r="P112" s="474"/>
      <c r="Q112" s="474"/>
      <c r="R112" s="474"/>
      <c r="S112" s="448"/>
    </row>
    <row r="113" spans="3:19" ht="15.75" x14ac:dyDescent="0.25">
      <c r="C113" s="448"/>
      <c r="D113" s="448"/>
      <c r="E113" s="448"/>
      <c r="F113" s="448"/>
      <c r="G113" s="448"/>
      <c r="H113" s="448"/>
      <c r="I113" s="448"/>
      <c r="J113" s="475"/>
      <c r="K113" s="448"/>
      <c r="L113" s="448"/>
      <c r="M113" s="448"/>
      <c r="N113" s="448"/>
      <c r="O113" s="474"/>
      <c r="P113" s="474"/>
      <c r="Q113" s="474"/>
      <c r="R113" s="474"/>
      <c r="S113" s="448"/>
    </row>
    <row r="114" spans="3:19" ht="15.75" x14ac:dyDescent="0.25">
      <c r="C114" s="448"/>
      <c r="D114" s="448"/>
      <c r="E114" s="448"/>
      <c r="F114" s="448"/>
      <c r="G114" s="448"/>
      <c r="H114" s="448"/>
      <c r="I114" s="448"/>
      <c r="J114" s="475"/>
      <c r="K114" s="448"/>
      <c r="L114" s="448"/>
      <c r="M114" s="448"/>
      <c r="N114" s="448"/>
      <c r="O114" s="474"/>
      <c r="P114" s="474"/>
      <c r="Q114" s="474"/>
      <c r="R114" s="474"/>
      <c r="S114" s="448"/>
    </row>
    <row r="115" spans="3:19" ht="15.75" x14ac:dyDescent="0.25">
      <c r="C115" s="448"/>
      <c r="D115" s="448"/>
      <c r="E115" s="448"/>
      <c r="F115" s="448"/>
      <c r="G115" s="448"/>
      <c r="H115" s="448"/>
      <c r="I115" s="448"/>
      <c r="J115" s="475"/>
      <c r="K115" s="448"/>
      <c r="L115" s="448"/>
      <c r="M115" s="448"/>
      <c r="N115" s="448"/>
      <c r="O115" s="474"/>
      <c r="P115" s="474"/>
      <c r="Q115" s="474"/>
      <c r="R115" s="474"/>
      <c r="S115" s="448"/>
    </row>
    <row r="116" spans="3:19" ht="15.75" x14ac:dyDescent="0.25">
      <c r="C116" s="448"/>
      <c r="D116" s="448"/>
      <c r="E116" s="448"/>
      <c r="F116" s="448"/>
      <c r="G116" s="448"/>
      <c r="H116" s="448"/>
      <c r="I116" s="448"/>
      <c r="J116" s="475"/>
      <c r="K116" s="448"/>
      <c r="L116" s="448"/>
      <c r="M116" s="448"/>
      <c r="N116" s="448"/>
      <c r="O116" s="474"/>
      <c r="P116" s="474"/>
      <c r="Q116" s="474"/>
      <c r="R116" s="474"/>
      <c r="S116" s="448"/>
    </row>
    <row r="117" spans="3:19" ht="15.75" x14ac:dyDescent="0.25">
      <c r="C117" s="448"/>
      <c r="D117" s="448"/>
      <c r="E117" s="448"/>
      <c r="F117" s="448"/>
      <c r="G117" s="448"/>
      <c r="H117" s="448"/>
      <c r="I117" s="448"/>
      <c r="J117" s="475"/>
      <c r="K117" s="448"/>
      <c r="L117" s="448"/>
      <c r="M117" s="448"/>
      <c r="N117" s="448"/>
      <c r="O117" s="474"/>
      <c r="P117" s="474"/>
      <c r="Q117" s="474"/>
      <c r="R117" s="474"/>
      <c r="S117" s="448"/>
    </row>
    <row r="118" spans="3:19" ht="15.75" x14ac:dyDescent="0.25">
      <c r="C118" s="448"/>
      <c r="D118" s="448"/>
      <c r="E118" s="448"/>
      <c r="F118" s="448"/>
      <c r="G118" s="448"/>
      <c r="H118" s="448"/>
      <c r="I118" s="448"/>
      <c r="J118" s="475"/>
      <c r="K118" s="448"/>
      <c r="L118" s="448"/>
      <c r="M118" s="448"/>
      <c r="N118" s="448"/>
      <c r="O118" s="474"/>
      <c r="P118" s="474"/>
      <c r="Q118" s="474"/>
      <c r="R118" s="474"/>
      <c r="S118" s="448"/>
    </row>
    <row r="119" spans="3:19" ht="15.75" x14ac:dyDescent="0.25">
      <c r="C119" s="448"/>
      <c r="D119" s="448"/>
      <c r="E119" s="448"/>
      <c r="F119" s="448"/>
      <c r="G119" s="448"/>
      <c r="H119" s="448"/>
      <c r="I119" s="448"/>
      <c r="J119" s="475"/>
      <c r="K119" s="448"/>
      <c r="L119" s="448"/>
      <c r="M119" s="448"/>
      <c r="N119" s="448"/>
      <c r="O119" s="474"/>
      <c r="P119" s="474"/>
      <c r="Q119" s="474"/>
      <c r="R119" s="474"/>
      <c r="S119" s="448"/>
    </row>
    <row r="120" spans="3:19" ht="15.75" x14ac:dyDescent="0.25">
      <c r="C120" s="448"/>
      <c r="D120" s="448"/>
      <c r="E120" s="448"/>
      <c r="F120" s="448"/>
      <c r="G120" s="448"/>
      <c r="H120" s="448"/>
      <c r="I120" s="448"/>
      <c r="J120" s="475"/>
      <c r="K120" s="448"/>
      <c r="L120" s="448"/>
      <c r="M120" s="448"/>
      <c r="N120" s="448"/>
      <c r="O120" s="474"/>
      <c r="P120" s="474"/>
      <c r="Q120" s="474"/>
      <c r="R120" s="474"/>
      <c r="S120" s="448"/>
    </row>
    <row r="121" spans="3:19" ht="15.75" x14ac:dyDescent="0.25">
      <c r="C121" s="448"/>
      <c r="D121" s="448"/>
      <c r="E121" s="448"/>
      <c r="F121" s="448"/>
      <c r="G121" s="448"/>
      <c r="H121" s="448"/>
      <c r="I121" s="448"/>
      <c r="J121" s="475"/>
      <c r="K121" s="448"/>
      <c r="L121" s="448"/>
      <c r="M121" s="448"/>
      <c r="N121" s="448"/>
      <c r="O121" s="474"/>
      <c r="P121" s="474"/>
      <c r="Q121" s="474"/>
      <c r="R121" s="474"/>
      <c r="S121" s="448"/>
    </row>
    <row r="122" spans="3:19" ht="15.75" x14ac:dyDescent="0.25">
      <c r="C122" s="448"/>
      <c r="D122" s="448"/>
      <c r="E122" s="448"/>
      <c r="F122" s="448"/>
      <c r="G122" s="448"/>
      <c r="H122" s="448"/>
      <c r="I122" s="448"/>
      <c r="J122" s="475"/>
      <c r="K122" s="448"/>
      <c r="L122" s="448"/>
      <c r="M122" s="448"/>
      <c r="N122" s="448"/>
      <c r="O122" s="474"/>
      <c r="P122" s="474"/>
      <c r="Q122" s="474"/>
      <c r="R122" s="474"/>
      <c r="S122" s="448"/>
    </row>
    <row r="123" spans="3:19" ht="15.75" x14ac:dyDescent="0.25">
      <c r="C123" s="448"/>
      <c r="D123" s="448"/>
      <c r="E123" s="448"/>
      <c r="F123" s="448"/>
      <c r="G123" s="448"/>
      <c r="H123" s="448"/>
      <c r="I123" s="448"/>
      <c r="J123" s="475"/>
      <c r="K123" s="448"/>
      <c r="L123" s="448"/>
      <c r="M123" s="448"/>
      <c r="N123" s="448"/>
      <c r="O123" s="474"/>
      <c r="P123" s="474"/>
      <c r="Q123" s="474"/>
      <c r="R123" s="474"/>
      <c r="S123" s="448"/>
    </row>
    <row r="124" spans="3:19" ht="15.75" x14ac:dyDescent="0.25">
      <c r="C124" s="448"/>
      <c r="D124" s="448"/>
      <c r="E124" s="448"/>
      <c r="F124" s="448"/>
      <c r="G124" s="448"/>
      <c r="H124" s="448"/>
      <c r="I124" s="448"/>
      <c r="J124" s="475"/>
      <c r="K124" s="448"/>
      <c r="L124" s="448"/>
      <c r="M124" s="448"/>
      <c r="N124" s="448"/>
      <c r="O124" s="474"/>
      <c r="P124" s="474"/>
      <c r="Q124" s="474"/>
      <c r="R124" s="474"/>
      <c r="S124" s="448"/>
    </row>
    <row r="125" spans="3:19" ht="15.75" x14ac:dyDescent="0.25">
      <c r="C125" s="448"/>
      <c r="D125" s="448"/>
      <c r="E125" s="448"/>
      <c r="F125" s="448"/>
      <c r="G125" s="448"/>
      <c r="H125" s="448"/>
      <c r="I125" s="448"/>
      <c r="J125" s="475"/>
      <c r="K125" s="448"/>
      <c r="L125" s="448"/>
      <c r="M125" s="448"/>
      <c r="N125" s="448"/>
      <c r="O125" s="474"/>
      <c r="P125" s="474"/>
      <c r="Q125" s="474"/>
      <c r="R125" s="474"/>
      <c r="S125" s="448"/>
    </row>
    <row r="126" spans="3:19" ht="15.75" x14ac:dyDescent="0.25">
      <c r="C126" s="448"/>
      <c r="D126" s="448"/>
      <c r="E126" s="448"/>
      <c r="F126" s="448"/>
      <c r="G126" s="448"/>
      <c r="H126" s="448"/>
      <c r="I126" s="448"/>
      <c r="J126" s="475"/>
      <c r="K126" s="448"/>
      <c r="L126" s="448"/>
      <c r="M126" s="448"/>
      <c r="N126" s="448"/>
      <c r="O126" s="474"/>
      <c r="P126" s="474"/>
      <c r="Q126" s="474"/>
      <c r="R126" s="474"/>
      <c r="S126" s="448"/>
    </row>
    <row r="127" spans="3:19" ht="15.75" x14ac:dyDescent="0.25">
      <c r="C127" s="448"/>
      <c r="D127" s="448"/>
      <c r="E127" s="448"/>
      <c r="F127" s="448"/>
      <c r="G127" s="448"/>
      <c r="H127" s="448"/>
      <c r="I127" s="448"/>
      <c r="J127" s="475"/>
      <c r="K127" s="448"/>
      <c r="L127" s="448"/>
      <c r="M127" s="448"/>
      <c r="N127" s="448"/>
      <c r="O127" s="474"/>
      <c r="P127" s="474"/>
      <c r="Q127" s="474"/>
      <c r="R127" s="474"/>
      <c r="S127" s="448"/>
    </row>
    <row r="128" spans="3:19" ht="15.75" x14ac:dyDescent="0.25">
      <c r="C128" s="448"/>
      <c r="D128" s="448"/>
      <c r="E128" s="448"/>
      <c r="F128" s="448"/>
      <c r="G128" s="448"/>
      <c r="H128" s="448"/>
      <c r="I128" s="448"/>
      <c r="J128" s="475"/>
      <c r="K128" s="448"/>
      <c r="L128" s="448"/>
      <c r="M128" s="448"/>
      <c r="N128" s="448"/>
      <c r="O128" s="474"/>
      <c r="P128" s="474"/>
      <c r="Q128" s="474"/>
      <c r="R128" s="474"/>
      <c r="S128" s="448"/>
    </row>
    <row r="129" spans="3:19" ht="15.75" x14ac:dyDescent="0.25">
      <c r="C129" s="448"/>
      <c r="D129" s="448"/>
      <c r="E129" s="448"/>
      <c r="F129" s="448"/>
      <c r="G129" s="448"/>
      <c r="H129" s="448"/>
      <c r="I129" s="448"/>
      <c r="J129" s="475"/>
      <c r="K129" s="448"/>
      <c r="L129" s="448"/>
      <c r="M129" s="448"/>
      <c r="N129" s="448"/>
      <c r="O129" s="474"/>
      <c r="P129" s="474"/>
      <c r="Q129" s="474"/>
      <c r="R129" s="474"/>
      <c r="S129" s="448"/>
    </row>
    <row r="130" spans="3:19" ht="15.75" x14ac:dyDescent="0.25">
      <c r="C130" s="448"/>
      <c r="D130" s="448"/>
      <c r="E130" s="448"/>
      <c r="F130" s="448"/>
      <c r="G130" s="448"/>
      <c r="H130" s="448"/>
      <c r="I130" s="448"/>
      <c r="J130" s="475"/>
      <c r="K130" s="448"/>
      <c r="L130" s="448"/>
      <c r="M130" s="448"/>
      <c r="N130" s="448"/>
      <c r="O130" s="474"/>
      <c r="P130" s="474"/>
      <c r="Q130" s="474"/>
      <c r="R130" s="474"/>
      <c r="S130" s="448"/>
    </row>
    <row r="131" spans="3:19" ht="15.75" x14ac:dyDescent="0.25">
      <c r="C131" s="448"/>
      <c r="D131" s="448"/>
      <c r="E131" s="448"/>
      <c r="F131" s="448"/>
      <c r="G131" s="448"/>
      <c r="H131" s="448"/>
      <c r="I131" s="448"/>
      <c r="J131" s="475"/>
      <c r="K131" s="448"/>
      <c r="L131" s="448"/>
      <c r="M131" s="448"/>
      <c r="N131" s="448"/>
      <c r="O131" s="474"/>
      <c r="P131" s="474"/>
      <c r="Q131" s="474"/>
      <c r="R131" s="474"/>
      <c r="S131" s="448"/>
    </row>
    <row r="132" spans="3:19" ht="15.75" x14ac:dyDescent="0.25">
      <c r="C132" s="448"/>
      <c r="D132" s="448"/>
      <c r="E132" s="448"/>
      <c r="F132" s="448"/>
      <c r="G132" s="448"/>
      <c r="H132" s="448"/>
      <c r="I132" s="448"/>
      <c r="J132" s="475"/>
      <c r="K132" s="448"/>
      <c r="L132" s="448"/>
      <c r="M132" s="448"/>
      <c r="N132" s="448"/>
      <c r="O132" s="474"/>
      <c r="P132" s="474"/>
      <c r="Q132" s="474"/>
      <c r="R132" s="474"/>
      <c r="S132" s="448"/>
    </row>
    <row r="133" spans="3:19" ht="15.75" x14ac:dyDescent="0.25">
      <c r="C133" s="448"/>
      <c r="D133" s="448"/>
      <c r="E133" s="448"/>
      <c r="F133" s="448"/>
      <c r="G133" s="448"/>
      <c r="H133" s="448"/>
      <c r="I133" s="448"/>
      <c r="J133" s="475"/>
      <c r="K133" s="448"/>
      <c r="L133" s="448"/>
      <c r="M133" s="448"/>
      <c r="N133" s="448"/>
      <c r="O133" s="474"/>
      <c r="P133" s="474"/>
      <c r="Q133" s="474"/>
      <c r="R133" s="474"/>
      <c r="S133" s="448"/>
    </row>
    <row r="134" spans="3:19" ht="15.75" x14ac:dyDescent="0.25">
      <c r="C134" s="448"/>
      <c r="D134" s="448"/>
      <c r="E134" s="448"/>
      <c r="F134" s="448"/>
      <c r="G134" s="448"/>
      <c r="H134" s="448"/>
      <c r="I134" s="448"/>
      <c r="J134" s="475"/>
      <c r="K134" s="448"/>
      <c r="L134" s="448"/>
      <c r="M134" s="448"/>
      <c r="N134" s="448"/>
      <c r="O134" s="474"/>
      <c r="P134" s="474"/>
      <c r="Q134" s="474"/>
      <c r="R134" s="474"/>
      <c r="S134" s="448"/>
    </row>
    <row r="135" spans="3:19" ht="15.75" x14ac:dyDescent="0.25">
      <c r="C135" s="448"/>
      <c r="D135" s="448"/>
      <c r="E135" s="448"/>
      <c r="F135" s="448"/>
      <c r="G135" s="448"/>
      <c r="H135" s="448"/>
      <c r="I135" s="448"/>
      <c r="J135" s="475"/>
      <c r="K135" s="448"/>
      <c r="L135" s="448"/>
      <c r="M135" s="448"/>
      <c r="N135" s="448"/>
      <c r="O135" s="474"/>
      <c r="P135" s="474"/>
      <c r="Q135" s="474"/>
      <c r="R135" s="474"/>
      <c r="S135" s="448"/>
    </row>
    <row r="136" spans="3:19" ht="15.75" x14ac:dyDescent="0.25">
      <c r="C136" s="448"/>
      <c r="D136" s="448"/>
      <c r="E136" s="448"/>
      <c r="F136" s="448"/>
      <c r="G136" s="448"/>
      <c r="H136" s="448"/>
      <c r="I136" s="448"/>
      <c r="J136" s="475"/>
      <c r="K136" s="448"/>
      <c r="L136" s="448"/>
      <c r="M136" s="448"/>
      <c r="N136" s="448"/>
      <c r="O136" s="474"/>
      <c r="P136" s="474"/>
      <c r="Q136" s="474"/>
      <c r="R136" s="474"/>
      <c r="S136" s="448"/>
    </row>
    <row r="137" spans="3:19" ht="15.75" x14ac:dyDescent="0.25">
      <c r="C137" s="448"/>
      <c r="D137" s="448"/>
      <c r="E137" s="448"/>
      <c r="F137" s="448"/>
      <c r="G137" s="448"/>
      <c r="H137" s="448"/>
      <c r="I137" s="448"/>
      <c r="J137" s="475"/>
      <c r="K137" s="448"/>
      <c r="L137" s="448"/>
      <c r="M137" s="448"/>
      <c r="N137" s="448"/>
      <c r="O137" s="474"/>
      <c r="P137" s="474"/>
      <c r="Q137" s="474"/>
      <c r="R137" s="474"/>
      <c r="S137" s="448"/>
    </row>
    <row r="138" spans="3:19" ht="15.75" x14ac:dyDescent="0.25">
      <c r="C138" s="448"/>
      <c r="D138" s="448"/>
      <c r="E138" s="448"/>
      <c r="F138" s="448"/>
      <c r="G138" s="448"/>
      <c r="H138" s="448"/>
      <c r="I138" s="448"/>
      <c r="J138" s="475"/>
      <c r="K138" s="448"/>
      <c r="L138" s="448"/>
      <c r="M138" s="448"/>
      <c r="N138" s="448"/>
      <c r="O138" s="474"/>
      <c r="P138" s="474"/>
      <c r="Q138" s="474"/>
      <c r="R138" s="474"/>
      <c r="S138" s="448"/>
    </row>
    <row r="139" spans="3:19" ht="15.75" x14ac:dyDescent="0.25">
      <c r="C139" s="448"/>
      <c r="D139" s="448"/>
      <c r="E139" s="448"/>
      <c r="F139" s="448"/>
      <c r="G139" s="448"/>
      <c r="H139" s="448"/>
      <c r="I139" s="448"/>
      <c r="J139" s="475"/>
      <c r="K139" s="448"/>
      <c r="L139" s="448"/>
      <c r="M139" s="448"/>
      <c r="N139" s="448"/>
      <c r="O139" s="474"/>
      <c r="P139" s="474"/>
      <c r="Q139" s="474"/>
      <c r="R139" s="474"/>
      <c r="S139" s="448"/>
    </row>
    <row r="140" spans="3:19" ht="15.75" x14ac:dyDescent="0.25">
      <c r="C140" s="448"/>
      <c r="D140" s="448"/>
      <c r="E140" s="448"/>
      <c r="F140" s="448"/>
      <c r="G140" s="448"/>
      <c r="H140" s="448"/>
      <c r="I140" s="448"/>
      <c r="J140" s="475"/>
      <c r="K140" s="448"/>
      <c r="L140" s="448"/>
      <c r="M140" s="448"/>
      <c r="N140" s="448"/>
      <c r="O140" s="474"/>
      <c r="P140" s="474"/>
      <c r="Q140" s="474"/>
      <c r="R140" s="474"/>
      <c r="S140" s="448"/>
    </row>
    <row r="141" spans="3:19" ht="15.75" x14ac:dyDescent="0.25">
      <c r="C141" s="448"/>
      <c r="D141" s="448"/>
      <c r="E141" s="448"/>
      <c r="F141" s="448"/>
      <c r="G141" s="448"/>
      <c r="H141" s="448"/>
      <c r="I141" s="448"/>
      <c r="J141" s="475"/>
      <c r="K141" s="448"/>
      <c r="L141" s="448"/>
      <c r="M141" s="448"/>
      <c r="N141" s="448"/>
      <c r="O141" s="474"/>
      <c r="P141" s="474"/>
      <c r="Q141" s="474"/>
      <c r="R141" s="474"/>
      <c r="S141" s="448"/>
    </row>
    <row r="142" spans="3:19" ht="15.75" x14ac:dyDescent="0.25">
      <c r="C142" s="448"/>
      <c r="D142" s="448"/>
      <c r="E142" s="448"/>
      <c r="F142" s="448"/>
      <c r="G142" s="448"/>
      <c r="H142" s="448"/>
      <c r="I142" s="448"/>
      <c r="J142" s="475"/>
      <c r="K142" s="448"/>
      <c r="L142" s="448"/>
      <c r="M142" s="448"/>
      <c r="N142" s="448"/>
      <c r="O142" s="474"/>
      <c r="P142" s="474"/>
      <c r="Q142" s="474"/>
      <c r="R142" s="474"/>
      <c r="S142" s="448"/>
    </row>
    <row r="143" spans="3:19" ht="15.75" x14ac:dyDescent="0.25">
      <c r="C143" s="448"/>
      <c r="D143" s="448"/>
      <c r="E143" s="448"/>
      <c r="F143" s="448"/>
      <c r="G143" s="448"/>
      <c r="H143" s="448"/>
      <c r="I143" s="448"/>
      <c r="J143" s="475"/>
      <c r="K143" s="448"/>
      <c r="L143" s="448"/>
      <c r="M143" s="448"/>
      <c r="N143" s="448"/>
      <c r="O143" s="474"/>
      <c r="P143" s="474"/>
      <c r="Q143" s="474"/>
      <c r="R143" s="474"/>
      <c r="S143" s="448"/>
    </row>
    <row r="144" spans="3:19" ht="15.75" x14ac:dyDescent="0.25">
      <c r="C144" s="448"/>
      <c r="D144" s="448"/>
      <c r="E144" s="448"/>
      <c r="F144" s="448"/>
      <c r="G144" s="448"/>
      <c r="H144" s="448"/>
      <c r="I144" s="448"/>
      <c r="J144" s="475"/>
      <c r="K144" s="448"/>
      <c r="L144" s="448"/>
      <c r="M144" s="448"/>
      <c r="N144" s="448"/>
      <c r="O144" s="474"/>
      <c r="P144" s="474"/>
      <c r="Q144" s="474"/>
      <c r="R144" s="474"/>
      <c r="S144" s="448"/>
    </row>
    <row r="145" spans="3:19" ht="15.75" x14ac:dyDescent="0.25">
      <c r="C145" s="448"/>
      <c r="D145" s="448"/>
      <c r="E145" s="448"/>
      <c r="F145" s="448"/>
      <c r="G145" s="448"/>
      <c r="H145" s="448"/>
      <c r="I145" s="448"/>
      <c r="J145" s="475"/>
      <c r="K145" s="448"/>
      <c r="L145" s="448"/>
      <c r="M145" s="448"/>
      <c r="N145" s="448"/>
      <c r="O145" s="474"/>
      <c r="P145" s="474"/>
      <c r="Q145" s="474"/>
      <c r="R145" s="474"/>
      <c r="S145" s="448"/>
    </row>
    <row r="146" spans="3:19" ht="15.75" x14ac:dyDescent="0.25">
      <c r="C146" s="448"/>
      <c r="D146" s="448"/>
      <c r="E146" s="448"/>
      <c r="F146" s="448"/>
      <c r="G146" s="448"/>
      <c r="H146" s="448"/>
      <c r="I146" s="448"/>
      <c r="J146" s="475"/>
      <c r="K146" s="448"/>
      <c r="L146" s="448"/>
      <c r="M146" s="448"/>
      <c r="N146" s="448"/>
      <c r="O146" s="474"/>
      <c r="P146" s="474"/>
      <c r="Q146" s="474"/>
      <c r="R146" s="474"/>
      <c r="S146" s="448"/>
    </row>
    <row r="147" spans="3:19" ht="15.75" x14ac:dyDescent="0.25">
      <c r="C147" s="448"/>
      <c r="D147" s="448"/>
      <c r="E147" s="448"/>
      <c r="F147" s="448"/>
      <c r="G147" s="448"/>
      <c r="H147" s="448"/>
      <c r="I147" s="448"/>
      <c r="J147" s="475"/>
      <c r="K147" s="448"/>
      <c r="L147" s="448"/>
      <c r="M147" s="448"/>
      <c r="N147" s="448"/>
      <c r="O147" s="474"/>
      <c r="P147" s="474"/>
      <c r="Q147" s="474"/>
      <c r="R147" s="474"/>
      <c r="S147" s="448"/>
    </row>
    <row r="148" spans="3:19" ht="15.75" x14ac:dyDescent="0.25">
      <c r="C148" s="448"/>
      <c r="D148" s="448"/>
      <c r="E148" s="448"/>
      <c r="F148" s="448"/>
      <c r="G148" s="448"/>
      <c r="H148" s="448"/>
      <c r="I148" s="448"/>
      <c r="J148" s="475"/>
      <c r="K148" s="448"/>
      <c r="L148" s="448"/>
      <c r="M148" s="448"/>
      <c r="N148" s="448"/>
      <c r="O148" s="474"/>
      <c r="P148" s="474"/>
      <c r="Q148" s="474"/>
      <c r="R148" s="474"/>
      <c r="S148" s="448"/>
    </row>
    <row r="149" spans="3:19" ht="15.75" x14ac:dyDescent="0.25">
      <c r="C149" s="448"/>
      <c r="D149" s="448"/>
      <c r="E149" s="448"/>
      <c r="F149" s="448"/>
      <c r="G149" s="448"/>
      <c r="H149" s="448"/>
      <c r="I149" s="448"/>
      <c r="J149" s="475"/>
      <c r="K149" s="448"/>
      <c r="L149" s="448"/>
      <c r="M149" s="448"/>
      <c r="N149" s="448"/>
      <c r="O149" s="474"/>
      <c r="P149" s="474"/>
      <c r="Q149" s="474"/>
      <c r="R149" s="474"/>
      <c r="S149" s="448"/>
    </row>
    <row r="150" spans="3:19" ht="15.75" x14ac:dyDescent="0.25">
      <c r="C150" s="448"/>
      <c r="D150" s="448"/>
      <c r="E150" s="448"/>
      <c r="F150" s="448"/>
      <c r="G150" s="448"/>
      <c r="H150" s="448"/>
      <c r="I150" s="448"/>
      <c r="J150" s="475"/>
      <c r="K150" s="448"/>
      <c r="L150" s="448"/>
      <c r="M150" s="448"/>
      <c r="N150" s="448"/>
      <c r="O150" s="474"/>
      <c r="P150" s="474"/>
      <c r="Q150" s="474"/>
      <c r="R150" s="474"/>
      <c r="S150" s="448"/>
    </row>
    <row r="151" spans="3:19" ht="15.75" x14ac:dyDescent="0.25">
      <c r="C151" s="448"/>
      <c r="D151" s="448"/>
      <c r="E151" s="448"/>
      <c r="F151" s="448"/>
      <c r="G151" s="448"/>
      <c r="H151" s="448"/>
      <c r="I151" s="448"/>
      <c r="J151" s="475"/>
      <c r="K151" s="448"/>
      <c r="L151" s="448"/>
      <c r="M151" s="448"/>
      <c r="N151" s="448"/>
      <c r="O151" s="474"/>
      <c r="P151" s="474"/>
      <c r="Q151" s="474"/>
      <c r="R151" s="474"/>
      <c r="S151" s="448"/>
    </row>
    <row r="152" spans="3:19" ht="15.75" x14ac:dyDescent="0.25">
      <c r="C152" s="448"/>
      <c r="D152" s="448"/>
      <c r="E152" s="448"/>
      <c r="F152" s="448"/>
      <c r="G152" s="448"/>
      <c r="H152" s="448"/>
      <c r="I152" s="448"/>
      <c r="J152" s="475"/>
      <c r="K152" s="448"/>
      <c r="L152" s="448"/>
      <c r="M152" s="448"/>
      <c r="N152" s="448"/>
      <c r="O152" s="474"/>
      <c r="P152" s="474"/>
      <c r="Q152" s="474"/>
      <c r="R152" s="474"/>
      <c r="S152" s="448"/>
    </row>
    <row r="153" spans="3:19" ht="15.75" x14ac:dyDescent="0.25">
      <c r="C153" s="448"/>
      <c r="D153" s="448"/>
      <c r="E153" s="448"/>
      <c r="F153" s="448"/>
      <c r="G153" s="448"/>
      <c r="H153" s="448"/>
      <c r="I153" s="448"/>
      <c r="J153" s="475"/>
      <c r="K153" s="448"/>
      <c r="L153" s="448"/>
      <c r="M153" s="448"/>
      <c r="N153" s="448"/>
      <c r="O153" s="474"/>
      <c r="P153" s="474"/>
      <c r="Q153" s="474"/>
      <c r="R153" s="474"/>
      <c r="S153" s="448"/>
    </row>
    <row r="154" spans="3:19" ht="15.75" x14ac:dyDescent="0.25">
      <c r="C154" s="448"/>
      <c r="D154" s="448"/>
      <c r="E154" s="448"/>
      <c r="F154" s="448"/>
      <c r="G154" s="448"/>
      <c r="H154" s="448"/>
      <c r="I154" s="448"/>
      <c r="J154" s="475"/>
      <c r="K154" s="448"/>
      <c r="L154" s="448"/>
      <c r="M154" s="448"/>
      <c r="N154" s="448"/>
      <c r="O154" s="474"/>
      <c r="P154" s="474"/>
      <c r="Q154" s="474"/>
      <c r="R154" s="474"/>
      <c r="S154" s="448"/>
    </row>
    <row r="155" spans="3:19" ht="15.75" x14ac:dyDescent="0.25">
      <c r="C155" s="448"/>
      <c r="D155" s="448"/>
      <c r="E155" s="448"/>
      <c r="F155" s="448"/>
      <c r="G155" s="448"/>
      <c r="H155" s="448"/>
      <c r="I155" s="448"/>
      <c r="J155" s="475"/>
      <c r="K155" s="448"/>
      <c r="L155" s="448"/>
      <c r="M155" s="448"/>
      <c r="N155" s="448"/>
      <c r="O155" s="474"/>
      <c r="P155" s="474"/>
      <c r="Q155" s="474"/>
      <c r="R155" s="474"/>
      <c r="S155" s="448"/>
    </row>
    <row r="156" spans="3:19" ht="15.75" x14ac:dyDescent="0.25">
      <c r="C156" s="448"/>
      <c r="D156" s="448"/>
      <c r="E156" s="448"/>
      <c r="F156" s="448"/>
      <c r="G156" s="448"/>
      <c r="H156" s="448"/>
      <c r="I156" s="448"/>
      <c r="J156" s="475"/>
      <c r="K156" s="448"/>
      <c r="L156" s="448"/>
      <c r="M156" s="448"/>
      <c r="N156" s="448"/>
      <c r="O156" s="474"/>
      <c r="P156" s="474"/>
      <c r="Q156" s="474"/>
      <c r="R156" s="474"/>
      <c r="S156" s="448"/>
    </row>
    <row r="157" spans="3:19" ht="15.75" x14ac:dyDescent="0.25">
      <c r="C157" s="448"/>
      <c r="D157" s="448"/>
      <c r="E157" s="448"/>
      <c r="F157" s="448"/>
      <c r="G157" s="448"/>
      <c r="H157" s="448"/>
      <c r="I157" s="448"/>
      <c r="J157" s="475"/>
      <c r="K157" s="448"/>
      <c r="L157" s="448"/>
      <c r="M157" s="448"/>
      <c r="N157" s="448"/>
      <c r="O157" s="474"/>
      <c r="P157" s="474"/>
      <c r="Q157" s="474"/>
      <c r="R157" s="474"/>
      <c r="S157" s="448"/>
    </row>
    <row r="158" spans="3:19" ht="15.75" x14ac:dyDescent="0.25">
      <c r="C158" s="448"/>
      <c r="D158" s="448"/>
      <c r="E158" s="448"/>
      <c r="F158" s="448"/>
      <c r="G158" s="448"/>
      <c r="H158" s="448"/>
      <c r="I158" s="448"/>
      <c r="J158" s="475"/>
      <c r="K158" s="448"/>
      <c r="L158" s="448"/>
      <c r="M158" s="448"/>
      <c r="N158" s="448"/>
      <c r="O158" s="474"/>
      <c r="P158" s="474"/>
      <c r="Q158" s="474"/>
      <c r="R158" s="474"/>
      <c r="S158" s="448"/>
    </row>
    <row r="159" spans="3:19" ht="15.75" x14ac:dyDescent="0.25">
      <c r="C159" s="448"/>
      <c r="D159" s="448"/>
      <c r="E159" s="448"/>
      <c r="F159" s="448"/>
      <c r="G159" s="448"/>
      <c r="H159" s="448"/>
      <c r="I159" s="448"/>
      <c r="J159" s="475"/>
      <c r="K159" s="448"/>
      <c r="L159" s="448"/>
      <c r="M159" s="448"/>
      <c r="N159" s="448"/>
      <c r="O159" s="474"/>
      <c r="P159" s="474"/>
      <c r="Q159" s="474"/>
      <c r="R159" s="474"/>
      <c r="S159" s="448"/>
    </row>
    <row r="160" spans="3:19" ht="15.75" x14ac:dyDescent="0.25">
      <c r="C160" s="448"/>
      <c r="D160" s="448"/>
      <c r="E160" s="448"/>
      <c r="F160" s="448"/>
      <c r="G160" s="448"/>
      <c r="H160" s="448"/>
      <c r="I160" s="448"/>
      <c r="J160" s="475"/>
      <c r="K160" s="448"/>
      <c r="L160" s="448"/>
      <c r="M160" s="448"/>
      <c r="N160" s="448"/>
      <c r="O160" s="474"/>
      <c r="P160" s="474"/>
      <c r="Q160" s="474"/>
      <c r="R160" s="474"/>
      <c r="S160" s="448"/>
    </row>
    <row r="161" spans="3:19" ht="15.75" x14ac:dyDescent="0.25">
      <c r="C161" s="448"/>
      <c r="D161" s="448"/>
      <c r="E161" s="448"/>
      <c r="F161" s="448"/>
      <c r="G161" s="448"/>
      <c r="H161" s="448"/>
      <c r="I161" s="448"/>
      <c r="J161" s="475"/>
      <c r="K161" s="448"/>
      <c r="L161" s="448"/>
      <c r="M161" s="448"/>
      <c r="N161" s="448"/>
      <c r="O161" s="474"/>
      <c r="P161" s="474"/>
      <c r="Q161" s="474"/>
      <c r="R161" s="474"/>
      <c r="S161" s="448"/>
    </row>
    <row r="162" spans="3:19" ht="15.75" x14ac:dyDescent="0.25">
      <c r="C162" s="448"/>
      <c r="D162" s="448"/>
      <c r="E162" s="448"/>
      <c r="F162" s="448"/>
      <c r="G162" s="448"/>
      <c r="H162" s="448"/>
      <c r="I162" s="448"/>
      <c r="J162" s="475"/>
      <c r="K162" s="448"/>
      <c r="L162" s="448"/>
      <c r="M162" s="448"/>
      <c r="N162" s="448"/>
      <c r="O162" s="474"/>
      <c r="P162" s="474"/>
      <c r="Q162" s="474"/>
      <c r="R162" s="474"/>
      <c r="S162" s="448"/>
    </row>
    <row r="163" spans="3:19" ht="15.75" x14ac:dyDescent="0.25">
      <c r="C163" s="448"/>
      <c r="D163" s="448"/>
      <c r="E163" s="448"/>
      <c r="F163" s="448"/>
      <c r="G163" s="448"/>
      <c r="H163" s="448"/>
      <c r="I163" s="448"/>
      <c r="J163" s="475"/>
      <c r="K163" s="448"/>
      <c r="L163" s="448"/>
      <c r="M163" s="448"/>
      <c r="N163" s="448"/>
      <c r="O163" s="474"/>
      <c r="P163" s="474"/>
      <c r="Q163" s="474"/>
      <c r="R163" s="474"/>
      <c r="S163" s="448"/>
    </row>
    <row r="164" spans="3:19" ht="15.75" x14ac:dyDescent="0.25">
      <c r="C164" s="448"/>
      <c r="D164" s="448"/>
      <c r="E164" s="448"/>
      <c r="F164" s="448"/>
      <c r="G164" s="448"/>
      <c r="H164" s="448"/>
      <c r="I164" s="448"/>
      <c r="J164" s="475"/>
      <c r="K164" s="448"/>
      <c r="L164" s="448"/>
      <c r="M164" s="448"/>
      <c r="N164" s="448"/>
      <c r="O164" s="474"/>
      <c r="P164" s="474"/>
      <c r="Q164" s="474"/>
      <c r="R164" s="474"/>
      <c r="S164" s="448"/>
    </row>
    <row r="165" spans="3:19" ht="15.75" x14ac:dyDescent="0.25">
      <c r="C165" s="448"/>
      <c r="D165" s="448"/>
      <c r="E165" s="448"/>
      <c r="F165" s="448"/>
      <c r="G165" s="448"/>
      <c r="H165" s="448"/>
      <c r="I165" s="448"/>
      <c r="J165" s="475"/>
      <c r="K165" s="448"/>
      <c r="L165" s="448"/>
      <c r="M165" s="448"/>
      <c r="N165" s="448"/>
      <c r="O165" s="474"/>
      <c r="P165" s="474"/>
      <c r="Q165" s="474"/>
      <c r="R165" s="474"/>
      <c r="S165" s="448"/>
    </row>
    <row r="166" spans="3:19" ht="15.75" x14ac:dyDescent="0.25">
      <c r="C166" s="448"/>
      <c r="D166" s="448"/>
      <c r="E166" s="448"/>
      <c r="F166" s="448"/>
      <c r="G166" s="448"/>
      <c r="H166" s="448"/>
      <c r="I166" s="448"/>
      <c r="J166" s="475"/>
      <c r="K166" s="448"/>
      <c r="L166" s="448"/>
      <c r="M166" s="448"/>
      <c r="N166" s="448"/>
      <c r="O166" s="474"/>
      <c r="P166" s="474"/>
      <c r="Q166" s="474"/>
      <c r="R166" s="474"/>
      <c r="S166" s="448"/>
    </row>
    <row r="167" spans="3:19" ht="15.75" x14ac:dyDescent="0.25">
      <c r="C167" s="448"/>
      <c r="D167" s="448"/>
      <c r="E167" s="448"/>
      <c r="F167" s="448"/>
      <c r="G167" s="448"/>
      <c r="H167" s="448"/>
      <c r="I167" s="448"/>
      <c r="J167" s="448"/>
      <c r="K167" s="448"/>
      <c r="L167" s="448"/>
      <c r="M167" s="448"/>
      <c r="N167" s="448"/>
      <c r="O167" s="474"/>
      <c r="P167" s="474"/>
      <c r="Q167" s="474"/>
      <c r="R167" s="474"/>
      <c r="S167" s="448"/>
    </row>
    <row r="168" spans="3:19" ht="15.75" x14ac:dyDescent="0.25">
      <c r="C168" s="448"/>
      <c r="D168" s="448"/>
      <c r="E168" s="448"/>
      <c r="F168" s="448"/>
      <c r="G168" s="448"/>
      <c r="H168" s="448"/>
      <c r="I168" s="448"/>
      <c r="J168" s="448"/>
      <c r="K168" s="448"/>
      <c r="L168" s="448"/>
      <c r="M168" s="448"/>
      <c r="N168" s="448"/>
      <c r="O168" s="474"/>
      <c r="P168" s="474"/>
      <c r="Q168" s="474"/>
      <c r="R168" s="474"/>
      <c r="S168" s="448"/>
    </row>
    <row r="169" spans="3:19" ht="15.75" x14ac:dyDescent="0.25">
      <c r="C169" s="448"/>
      <c r="D169" s="448"/>
      <c r="E169" s="448"/>
      <c r="F169" s="448"/>
      <c r="G169" s="448"/>
      <c r="H169" s="448"/>
      <c r="I169" s="448"/>
      <c r="J169" s="448"/>
      <c r="K169" s="448"/>
      <c r="L169" s="448"/>
      <c r="M169" s="448"/>
      <c r="N169" s="448"/>
      <c r="O169" s="474"/>
      <c r="P169" s="474"/>
      <c r="Q169" s="474"/>
      <c r="R169" s="474"/>
      <c r="S169" s="448"/>
    </row>
    <row r="170" spans="3:19" ht="15.75" x14ac:dyDescent="0.25">
      <c r="C170" s="448"/>
      <c r="D170" s="448"/>
      <c r="E170" s="448"/>
      <c r="F170" s="448"/>
      <c r="G170" s="448"/>
      <c r="H170" s="448"/>
      <c r="I170" s="448"/>
      <c r="J170" s="448"/>
      <c r="K170" s="448"/>
      <c r="L170" s="448"/>
      <c r="M170" s="448"/>
      <c r="N170" s="448"/>
      <c r="O170" s="474"/>
      <c r="P170" s="474"/>
      <c r="Q170" s="474"/>
      <c r="R170" s="474"/>
      <c r="S170" s="448"/>
    </row>
    <row r="171" spans="3:19" ht="15.75" x14ac:dyDescent="0.25"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74"/>
      <c r="P171" s="474"/>
      <c r="Q171" s="474"/>
      <c r="R171" s="474"/>
      <c r="S171" s="448"/>
    </row>
    <row r="172" spans="3:19" ht="15.75" x14ac:dyDescent="0.25">
      <c r="C172" s="448"/>
      <c r="D172" s="448"/>
      <c r="E172" s="448"/>
      <c r="F172" s="448"/>
      <c r="G172" s="448"/>
      <c r="H172" s="448"/>
      <c r="I172" s="448"/>
      <c r="J172" s="448"/>
      <c r="K172" s="448"/>
      <c r="L172" s="448"/>
      <c r="M172" s="448"/>
      <c r="N172" s="448"/>
      <c r="O172" s="474"/>
      <c r="P172" s="474"/>
      <c r="Q172" s="474"/>
      <c r="R172" s="474"/>
      <c r="S172" s="448"/>
    </row>
    <row r="173" spans="3:19" ht="15.75" x14ac:dyDescent="0.25">
      <c r="C173" s="448"/>
      <c r="D173" s="448"/>
      <c r="E173" s="448"/>
      <c r="F173" s="448"/>
      <c r="G173" s="448"/>
      <c r="H173" s="448"/>
      <c r="I173" s="448"/>
      <c r="J173" s="448"/>
      <c r="K173" s="448"/>
      <c r="L173" s="448"/>
      <c r="M173" s="448"/>
      <c r="N173" s="448"/>
      <c r="O173" s="474"/>
      <c r="P173" s="474"/>
      <c r="Q173" s="474"/>
      <c r="R173" s="474"/>
      <c r="S173" s="448"/>
    </row>
    <row r="174" spans="3:19" ht="15.75" x14ac:dyDescent="0.25">
      <c r="C174" s="448"/>
      <c r="D174" s="448"/>
      <c r="E174" s="448"/>
      <c r="F174" s="448"/>
      <c r="G174" s="448"/>
      <c r="H174" s="448"/>
      <c r="I174" s="448"/>
      <c r="J174" s="448"/>
      <c r="K174" s="448"/>
      <c r="L174" s="448"/>
      <c r="M174" s="448"/>
      <c r="N174" s="448"/>
      <c r="O174" s="474"/>
      <c r="P174" s="474"/>
      <c r="Q174" s="474"/>
      <c r="R174" s="474"/>
      <c r="S174" s="448"/>
    </row>
    <row r="175" spans="3:19" ht="15.75" x14ac:dyDescent="0.25">
      <c r="C175" s="448"/>
      <c r="D175" s="448"/>
      <c r="E175" s="448"/>
      <c r="F175" s="448"/>
      <c r="G175" s="448"/>
      <c r="H175" s="448"/>
      <c r="I175" s="448"/>
      <c r="J175" s="448"/>
      <c r="K175" s="448"/>
      <c r="L175" s="448"/>
      <c r="M175" s="448"/>
      <c r="N175" s="448"/>
      <c r="O175" s="474"/>
      <c r="P175" s="474"/>
      <c r="Q175" s="474"/>
      <c r="R175" s="474"/>
      <c r="S175" s="448"/>
    </row>
    <row r="176" spans="3:19" ht="15.75" x14ac:dyDescent="0.25"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74"/>
      <c r="P176" s="474"/>
      <c r="Q176" s="474"/>
      <c r="R176" s="474"/>
      <c r="S176" s="448"/>
    </row>
    <row r="177" spans="3:19" ht="15.75" x14ac:dyDescent="0.25">
      <c r="C177" s="448"/>
      <c r="D177" s="448"/>
      <c r="E177" s="448"/>
      <c r="F177" s="448"/>
      <c r="G177" s="448"/>
      <c r="H177" s="448"/>
      <c r="I177" s="448"/>
      <c r="J177" s="448"/>
      <c r="K177" s="448"/>
      <c r="L177" s="448"/>
      <c r="M177" s="448"/>
      <c r="N177" s="448"/>
      <c r="O177" s="474"/>
      <c r="P177" s="474"/>
      <c r="Q177" s="474"/>
      <c r="R177" s="474"/>
      <c r="S177" s="448"/>
    </row>
    <row r="178" spans="3:19" ht="15.75" x14ac:dyDescent="0.25">
      <c r="C178" s="448"/>
      <c r="D178" s="448"/>
      <c r="E178" s="448"/>
      <c r="F178" s="448"/>
      <c r="G178" s="448"/>
      <c r="H178" s="448"/>
      <c r="I178" s="448"/>
      <c r="J178" s="448"/>
      <c r="K178" s="448"/>
      <c r="L178" s="448"/>
      <c r="M178" s="448"/>
      <c r="N178" s="448"/>
      <c r="O178" s="474"/>
      <c r="P178" s="474"/>
      <c r="Q178" s="474"/>
      <c r="R178" s="474"/>
      <c r="S178" s="448"/>
    </row>
    <row r="179" spans="3:19" ht="15.75" x14ac:dyDescent="0.25">
      <c r="C179" s="448"/>
      <c r="D179" s="448"/>
      <c r="E179" s="448"/>
      <c r="F179" s="448"/>
      <c r="G179" s="448"/>
      <c r="H179" s="448"/>
      <c r="I179" s="448"/>
      <c r="J179" s="448"/>
      <c r="K179" s="448"/>
      <c r="L179" s="448"/>
      <c r="M179" s="448"/>
      <c r="N179" s="448"/>
      <c r="O179" s="474"/>
      <c r="P179" s="474"/>
      <c r="Q179" s="474"/>
      <c r="R179" s="474"/>
      <c r="S179" s="448"/>
    </row>
    <row r="180" spans="3:19" ht="15.75" x14ac:dyDescent="0.25">
      <c r="C180" s="448"/>
      <c r="D180" s="448"/>
      <c r="E180" s="448"/>
      <c r="F180" s="448"/>
      <c r="G180" s="448"/>
      <c r="H180" s="448"/>
      <c r="I180" s="448"/>
      <c r="J180" s="448"/>
      <c r="K180" s="448"/>
      <c r="L180" s="448"/>
      <c r="M180" s="448"/>
      <c r="N180" s="448"/>
      <c r="O180" s="474"/>
      <c r="P180" s="474"/>
      <c r="Q180" s="474"/>
      <c r="R180" s="474"/>
      <c r="S180" s="448"/>
    </row>
    <row r="181" spans="3:19" ht="15.75" x14ac:dyDescent="0.25">
      <c r="C181" s="448"/>
      <c r="D181" s="448"/>
      <c r="E181" s="448"/>
      <c r="F181" s="448"/>
      <c r="G181" s="448"/>
      <c r="H181" s="448"/>
      <c r="I181" s="448"/>
      <c r="J181" s="448"/>
      <c r="K181" s="448"/>
      <c r="L181" s="448"/>
      <c r="M181" s="448"/>
      <c r="N181" s="448"/>
      <c r="O181" s="474"/>
      <c r="P181" s="474"/>
      <c r="Q181" s="474"/>
      <c r="R181" s="474"/>
      <c r="S181" s="448"/>
    </row>
  </sheetData>
  <mergeCells count="66">
    <mergeCell ref="C98:I98"/>
    <mergeCell ref="N10:N13"/>
    <mergeCell ref="O11:O13"/>
    <mergeCell ref="P11:P13"/>
    <mergeCell ref="O10:P10"/>
    <mergeCell ref="L11:L13"/>
    <mergeCell ref="J10:L10"/>
    <mergeCell ref="M10:M13"/>
    <mergeCell ref="C49:F49"/>
    <mergeCell ref="C58:F58"/>
    <mergeCell ref="C64:F64"/>
    <mergeCell ref="C97:F97"/>
    <mergeCell ref="J11:J13"/>
    <mergeCell ref="D10:D13"/>
    <mergeCell ref="E10:E13"/>
    <mergeCell ref="C50:C53"/>
    <mergeCell ref="C1:S1"/>
    <mergeCell ref="C3:S3"/>
    <mergeCell ref="C4:S4"/>
    <mergeCell ref="C5:S5"/>
    <mergeCell ref="F10:F13"/>
    <mergeCell ref="G10:G13"/>
    <mergeCell ref="H10:H13"/>
    <mergeCell ref="I10:I13"/>
    <mergeCell ref="K11:K13"/>
    <mergeCell ref="C10:C13"/>
    <mergeCell ref="Q10:Q13"/>
    <mergeCell ref="R10:R13"/>
    <mergeCell ref="S10:S13"/>
    <mergeCell ref="I50:I53"/>
    <mergeCell ref="J50:L50"/>
    <mergeCell ref="M50:M53"/>
    <mergeCell ref="N50:N53"/>
    <mergeCell ref="D50:D53"/>
    <mergeCell ref="E50:E53"/>
    <mergeCell ref="F50:F53"/>
    <mergeCell ref="G50:G53"/>
    <mergeCell ref="H50:H53"/>
    <mergeCell ref="Q50:Q53"/>
    <mergeCell ref="R50:R53"/>
    <mergeCell ref="S50:S53"/>
    <mergeCell ref="J51:J53"/>
    <mergeCell ref="K51:K53"/>
    <mergeCell ref="L51:L53"/>
    <mergeCell ref="O51:O53"/>
    <mergeCell ref="P51:P53"/>
    <mergeCell ref="O50:P50"/>
    <mergeCell ref="C65:C68"/>
    <mergeCell ref="D65:D68"/>
    <mergeCell ref="E65:E68"/>
    <mergeCell ref="F65:F68"/>
    <mergeCell ref="G65:G68"/>
    <mergeCell ref="H65:H68"/>
    <mergeCell ref="I65:I68"/>
    <mergeCell ref="J65:L65"/>
    <mergeCell ref="M65:M68"/>
    <mergeCell ref="N65:N68"/>
    <mergeCell ref="O65:P65"/>
    <mergeCell ref="Q65:Q68"/>
    <mergeCell ref="R65:R68"/>
    <mergeCell ref="S65:S68"/>
    <mergeCell ref="J66:J68"/>
    <mergeCell ref="K66:K68"/>
    <mergeCell ref="L66:L68"/>
    <mergeCell ref="O66:O68"/>
    <mergeCell ref="P66:P68"/>
  </mergeCells>
  <printOptions horizontalCentered="1"/>
  <pageMargins left="0.51181102362204722" right="0.11811023622047245" top="0.78740157480314965" bottom="0.39370078740157483" header="0.31496062992125984" footer="0.31496062992125984"/>
  <pageSetup paperSize="9" scale="42" orientation="landscape" horizontalDpi="4294967293" verticalDpi="4294967293" r:id="rId1"/>
  <rowBreaks count="1" manualBreakCount="1">
    <brk id="49" min="2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2:AD44"/>
  <sheetViews>
    <sheetView topLeftCell="A24" zoomScale="80" zoomScaleNormal="80" workbookViewId="0">
      <selection activeCell="M37" sqref="M37"/>
    </sheetView>
  </sheetViews>
  <sheetFormatPr defaultRowHeight="15" x14ac:dyDescent="0.25"/>
  <cols>
    <col min="1" max="1" width="47.7109375" customWidth="1"/>
    <col min="2" max="9" width="12.7109375" customWidth="1"/>
    <col min="10" max="10" width="15" customWidth="1"/>
    <col min="11" max="12" width="12.7109375" customWidth="1"/>
    <col min="13" max="13" width="15" customWidth="1"/>
    <col min="14" max="15" width="12.7109375" customWidth="1"/>
    <col min="16" max="16" width="15.42578125" customWidth="1"/>
    <col min="17" max="17" width="1.7109375" customWidth="1"/>
    <col min="18" max="23" width="12.7109375" hidden="1" customWidth="1"/>
    <col min="24" max="24" width="1.7109375" hidden="1" customWidth="1"/>
    <col min="25" max="26" width="12.7109375" hidden="1" customWidth="1"/>
    <col min="28" max="28" width="9.5703125" bestFit="1" customWidth="1"/>
  </cols>
  <sheetData>
    <row r="2" spans="1:30" ht="20.25" x14ac:dyDescent="0.3">
      <c r="A2" s="623" t="s">
        <v>110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</row>
    <row r="3" spans="1:30" ht="20.25" x14ac:dyDescent="0.3">
      <c r="A3" s="623" t="s">
        <v>111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</row>
    <row r="4" spans="1:30" ht="18.75" x14ac:dyDescent="0.3">
      <c r="A4" s="67" t="s">
        <v>345</v>
      </c>
      <c r="I4" s="64"/>
      <c r="J4" s="64"/>
      <c r="K4" s="64"/>
      <c r="L4" s="64"/>
      <c r="M4" s="64"/>
      <c r="N4" s="65"/>
      <c r="O4" s="65"/>
      <c r="Q4" s="66"/>
      <c r="X4" s="66"/>
    </row>
    <row r="5" spans="1:30" ht="19.5" thickBot="1" x14ac:dyDescent="0.35">
      <c r="A5" s="67" t="s">
        <v>331</v>
      </c>
      <c r="E5" s="68"/>
      <c r="F5" s="68"/>
      <c r="G5" s="69"/>
      <c r="H5" s="68"/>
      <c r="I5" s="68"/>
      <c r="J5" s="69"/>
      <c r="K5" s="69"/>
      <c r="L5" s="69"/>
      <c r="N5" s="68"/>
      <c r="O5" s="68"/>
      <c r="P5" s="70" t="s">
        <v>112</v>
      </c>
      <c r="Q5" s="71"/>
      <c r="R5" s="68"/>
      <c r="S5" s="68"/>
      <c r="T5" s="68"/>
      <c r="U5" s="68"/>
      <c r="V5" s="68"/>
      <c r="W5" s="68"/>
      <c r="X5" s="66"/>
      <c r="Y5" s="68"/>
    </row>
    <row r="6" spans="1:30" ht="27.75" customHeight="1" x14ac:dyDescent="0.25">
      <c r="A6" s="764" t="s">
        <v>113</v>
      </c>
      <c r="B6" s="767" t="s">
        <v>114</v>
      </c>
      <c r="C6" s="768"/>
      <c r="D6" s="769"/>
      <c r="E6" s="773" t="s">
        <v>329</v>
      </c>
      <c r="F6" s="774"/>
      <c r="G6" s="774"/>
      <c r="H6" s="774"/>
      <c r="I6" s="774"/>
      <c r="J6" s="774"/>
      <c r="K6" s="774"/>
      <c r="L6" s="774"/>
      <c r="M6" s="775"/>
      <c r="N6" s="767" t="s">
        <v>115</v>
      </c>
      <c r="O6" s="768"/>
      <c r="P6" s="769"/>
      <c r="Q6" s="73"/>
      <c r="R6" s="741" t="s">
        <v>116</v>
      </c>
      <c r="S6" s="742"/>
      <c r="T6" s="742"/>
      <c r="U6" s="742"/>
      <c r="V6" s="742"/>
      <c r="W6" s="743"/>
      <c r="X6" s="72"/>
      <c r="Y6" s="744" t="s">
        <v>117</v>
      </c>
      <c r="Z6" s="745"/>
    </row>
    <row r="7" spans="1:30" ht="15" customHeight="1" x14ac:dyDescent="0.25">
      <c r="A7" s="765"/>
      <c r="B7" s="770"/>
      <c r="C7" s="771"/>
      <c r="D7" s="772"/>
      <c r="E7" s="746" t="s">
        <v>344</v>
      </c>
      <c r="F7" s="747"/>
      <c r="G7" s="748"/>
      <c r="H7" s="752" t="s">
        <v>295</v>
      </c>
      <c r="I7" s="747"/>
      <c r="J7" s="748"/>
      <c r="K7" s="752" t="s">
        <v>328</v>
      </c>
      <c r="L7" s="747"/>
      <c r="M7" s="748"/>
      <c r="N7" s="770"/>
      <c r="O7" s="771"/>
      <c r="P7" s="772"/>
      <c r="Q7" s="73"/>
      <c r="R7" s="746" t="s">
        <v>120</v>
      </c>
      <c r="S7" s="747"/>
      <c r="T7" s="754"/>
      <c r="U7" s="746" t="s">
        <v>121</v>
      </c>
      <c r="V7" s="747"/>
      <c r="W7" s="754"/>
      <c r="X7" s="73"/>
      <c r="Y7" s="756" t="s">
        <v>122</v>
      </c>
      <c r="Z7" s="759" t="s">
        <v>123</v>
      </c>
    </row>
    <row r="8" spans="1:30" ht="15.75" x14ac:dyDescent="0.25">
      <c r="A8" s="765"/>
      <c r="B8" s="749"/>
      <c r="C8" s="750"/>
      <c r="D8" s="755"/>
      <c r="E8" s="749"/>
      <c r="F8" s="750"/>
      <c r="G8" s="751"/>
      <c r="H8" s="753"/>
      <c r="I8" s="750"/>
      <c r="J8" s="751"/>
      <c r="K8" s="753"/>
      <c r="L8" s="750"/>
      <c r="M8" s="751"/>
      <c r="N8" s="749"/>
      <c r="O8" s="750"/>
      <c r="P8" s="755"/>
      <c r="Q8" s="73"/>
      <c r="R8" s="749"/>
      <c r="S8" s="750"/>
      <c r="T8" s="755"/>
      <c r="U8" s="749"/>
      <c r="V8" s="750"/>
      <c r="W8" s="755"/>
      <c r="X8" s="73"/>
      <c r="Y8" s="757"/>
      <c r="Z8" s="760"/>
    </row>
    <row r="9" spans="1:30" ht="21.75" customHeight="1" thickBot="1" x14ac:dyDescent="0.3">
      <c r="A9" s="766"/>
      <c r="B9" s="74" t="s">
        <v>2</v>
      </c>
      <c r="C9" s="75" t="s">
        <v>3</v>
      </c>
      <c r="D9" s="76" t="s">
        <v>4</v>
      </c>
      <c r="E9" s="74" t="s">
        <v>2</v>
      </c>
      <c r="F9" s="75" t="s">
        <v>3</v>
      </c>
      <c r="G9" s="77" t="s">
        <v>4</v>
      </c>
      <c r="H9" s="75" t="s">
        <v>2</v>
      </c>
      <c r="I9" s="75" t="s">
        <v>3</v>
      </c>
      <c r="J9" s="77" t="s">
        <v>4</v>
      </c>
      <c r="K9" s="75" t="s">
        <v>2</v>
      </c>
      <c r="L9" s="75" t="s">
        <v>3</v>
      </c>
      <c r="M9" s="77" t="s">
        <v>4</v>
      </c>
      <c r="N9" s="74" t="s">
        <v>2</v>
      </c>
      <c r="O9" s="75" t="s">
        <v>3</v>
      </c>
      <c r="P9" s="78" t="s">
        <v>4</v>
      </c>
      <c r="Q9" s="72"/>
      <c r="R9" s="79" t="s">
        <v>124</v>
      </c>
      <c r="S9" s="77" t="s">
        <v>125</v>
      </c>
      <c r="T9" s="77" t="s">
        <v>126</v>
      </c>
      <c r="U9" s="79" t="s">
        <v>124</v>
      </c>
      <c r="V9" s="77" t="s">
        <v>125</v>
      </c>
      <c r="W9" s="78" t="s">
        <v>126</v>
      </c>
      <c r="X9" s="80"/>
      <c r="Y9" s="758"/>
      <c r="Z9" s="761"/>
      <c r="AA9" s="66"/>
      <c r="AB9" s="66"/>
      <c r="AC9" s="66"/>
    </row>
    <row r="10" spans="1:30" ht="18.75" customHeight="1" x14ac:dyDescent="0.3">
      <c r="A10" s="81" t="s">
        <v>127</v>
      </c>
      <c r="B10" s="355">
        <f t="shared" ref="B10:C10" si="0">B11+B12</f>
        <v>54450</v>
      </c>
      <c r="C10" s="356">
        <f t="shared" si="0"/>
        <v>6050</v>
      </c>
      <c r="D10" s="357">
        <f>B10+C10</f>
        <v>60500</v>
      </c>
      <c r="E10" s="355" t="e">
        <f>E11+E12</f>
        <v>#REF!</v>
      </c>
      <c r="F10" s="356" t="e">
        <f>F11+F12</f>
        <v>#REF!</v>
      </c>
      <c r="G10" s="356" t="e">
        <f>E10+F10</f>
        <v>#REF!</v>
      </c>
      <c r="H10" s="355" t="e">
        <f>+H11+H12</f>
        <v>#REF!</v>
      </c>
      <c r="I10" s="356" t="e">
        <f>+I11+I12</f>
        <v>#REF!</v>
      </c>
      <c r="J10" s="356" t="e">
        <f>H10+I10</f>
        <v>#REF!</v>
      </c>
      <c r="K10" s="355" t="e">
        <f>+K11+K12</f>
        <v>#REF!</v>
      </c>
      <c r="L10" s="356" t="e">
        <f>+L11+L12</f>
        <v>#REF!</v>
      </c>
      <c r="M10" s="356" t="e">
        <f>K10+L10</f>
        <v>#REF!</v>
      </c>
      <c r="N10" s="355" t="e">
        <f>N11+N12</f>
        <v>#REF!</v>
      </c>
      <c r="O10" s="356" t="e">
        <f>O11+O12</f>
        <v>#REF!</v>
      </c>
      <c r="P10" s="357" t="e">
        <f>N10+O10</f>
        <v>#REF!</v>
      </c>
      <c r="Q10" s="354"/>
      <c r="R10" s="82" t="e">
        <f>#REF!/D10</f>
        <v>#REF!</v>
      </c>
      <c r="S10" s="82" t="e">
        <f>#REF!/D10</f>
        <v>#REF!</v>
      </c>
      <c r="T10" s="82" t="e">
        <f>#REF!/D10</f>
        <v>#REF!</v>
      </c>
      <c r="U10" s="82" t="e">
        <f>E10/D10</f>
        <v>#REF!</v>
      </c>
      <c r="V10" s="82" t="e">
        <f>F10/D10</f>
        <v>#REF!</v>
      </c>
      <c r="W10" s="82" t="e">
        <f>G10/D10</f>
        <v>#REF!</v>
      </c>
      <c r="X10" s="83"/>
      <c r="Y10" s="83"/>
      <c r="Z10" s="84"/>
      <c r="AA10" s="66"/>
      <c r="AB10" s="95"/>
      <c r="AC10" s="66"/>
    </row>
    <row r="11" spans="1:30" ht="18.75" customHeight="1" x14ac:dyDescent="0.25">
      <c r="A11" s="85" t="s">
        <v>128</v>
      </c>
      <c r="B11" s="358">
        <f>11250</f>
        <v>11250</v>
      </c>
      <c r="C11" s="359">
        <v>1250</v>
      </c>
      <c r="D11" s="360">
        <f t="shared" ref="D11:D28" si="1">B11+C11</f>
        <v>12500</v>
      </c>
      <c r="E11" s="358" t="e">
        <f>#REF!/1000</f>
        <v>#REF!</v>
      </c>
      <c r="F11" s="359" t="e">
        <f>#REF!/1000</f>
        <v>#REF!</v>
      </c>
      <c r="G11" s="359" t="e">
        <f t="shared" ref="G11:G30" si="2">E11+F11</f>
        <v>#REF!</v>
      </c>
      <c r="H11" s="358" t="e">
        <f>#REF!/1000*0%</f>
        <v>#REF!</v>
      </c>
      <c r="I11" s="359" t="e">
        <f>#REF!/1000*100%</f>
        <v>#REF!</v>
      </c>
      <c r="J11" s="359" t="e">
        <f t="shared" ref="J11:J30" si="3">H11+I11</f>
        <v>#REF!</v>
      </c>
      <c r="K11" s="358" t="e">
        <f>#REF!/1000*K43</f>
        <v>#REF!</v>
      </c>
      <c r="L11" s="359" t="e">
        <f>#REF!/1000*L43</f>
        <v>#REF!</v>
      </c>
      <c r="M11" s="359" t="e">
        <f t="shared" ref="M11:M14" si="4">K11+L11</f>
        <v>#REF!</v>
      </c>
      <c r="N11" s="358" t="e">
        <f>+E11+H11+K11</f>
        <v>#REF!</v>
      </c>
      <c r="O11" s="359" t="e">
        <f>+F11+I11+L11</f>
        <v>#REF!</v>
      </c>
      <c r="P11" s="360" t="e">
        <f t="shared" ref="P11:P28" si="5">N11+O11</f>
        <v>#REF!</v>
      </c>
      <c r="Q11" s="95"/>
      <c r="R11" s="86" t="e">
        <f>#REF!/D11</f>
        <v>#REF!</v>
      </c>
      <c r="S11" s="86" t="e">
        <f>#REF!/D11</f>
        <v>#REF!</v>
      </c>
      <c r="T11" s="86" t="e">
        <f>#REF!/D11</f>
        <v>#REF!</v>
      </c>
      <c r="U11" s="86" t="e">
        <f>E11/D11</f>
        <v>#REF!</v>
      </c>
      <c r="V11" s="86" t="e">
        <f>F11/D11</f>
        <v>#REF!</v>
      </c>
      <c r="W11" s="86" t="e">
        <f>G11/D11</f>
        <v>#REF!</v>
      </c>
      <c r="X11" s="87"/>
      <c r="Y11" s="86">
        <v>0.95</v>
      </c>
      <c r="Z11" s="88" t="s">
        <v>108</v>
      </c>
      <c r="AA11" s="66"/>
      <c r="AB11" s="66"/>
      <c r="AC11" s="66"/>
    </row>
    <row r="12" spans="1:30" ht="18.75" customHeight="1" x14ac:dyDescent="0.25">
      <c r="A12" s="85" t="s">
        <v>129</v>
      </c>
      <c r="B12" s="358">
        <v>43200</v>
      </c>
      <c r="C12" s="359">
        <v>4800</v>
      </c>
      <c r="D12" s="360">
        <f t="shared" si="1"/>
        <v>48000</v>
      </c>
      <c r="E12" s="358" t="e">
        <f>#REF!/1000</f>
        <v>#REF!</v>
      </c>
      <c r="F12" s="359" t="e">
        <f>#REF!/1000</f>
        <v>#REF!</v>
      </c>
      <c r="G12" s="359" t="e">
        <f t="shared" si="2"/>
        <v>#REF!</v>
      </c>
      <c r="H12" s="358" t="e">
        <f>#REF!/1000*0%</f>
        <v>#REF!</v>
      </c>
      <c r="I12" s="359" t="e">
        <f>#REF!/1000*100%</f>
        <v>#REF!</v>
      </c>
      <c r="J12" s="359" t="e">
        <f t="shared" si="3"/>
        <v>#REF!</v>
      </c>
      <c r="K12" s="358" t="e">
        <f>#REF!/1000*K44</f>
        <v>#REF!</v>
      </c>
      <c r="L12" s="359" t="e">
        <f>#REF!/1000*L44</f>
        <v>#REF!</v>
      </c>
      <c r="M12" s="359" t="e">
        <f t="shared" si="4"/>
        <v>#REF!</v>
      </c>
      <c r="N12" s="358" t="e">
        <f>+E12+H12+K12</f>
        <v>#REF!</v>
      </c>
      <c r="O12" s="359" t="e">
        <f>+F12+I12+L12</f>
        <v>#REF!</v>
      </c>
      <c r="P12" s="360" t="e">
        <f>+N12+O12</f>
        <v>#REF!</v>
      </c>
      <c r="Q12" s="95"/>
      <c r="R12" s="89" t="e">
        <f>#REF!/D12</f>
        <v>#REF!</v>
      </c>
      <c r="S12" s="86" t="e">
        <f>#REF!/D12</f>
        <v>#REF!</v>
      </c>
      <c r="T12" s="86" t="e">
        <f>#REF!/D12</f>
        <v>#REF!</v>
      </c>
      <c r="U12" s="86" t="e">
        <f>E12/D12</f>
        <v>#REF!</v>
      </c>
      <c r="V12" s="86" t="e">
        <f>F12/D12</f>
        <v>#REF!</v>
      </c>
      <c r="W12" s="86" t="e">
        <f>G12/D12</f>
        <v>#REF!</v>
      </c>
      <c r="X12" s="87"/>
      <c r="Y12" s="89">
        <v>0.76</v>
      </c>
      <c r="Z12" s="88" t="s">
        <v>108</v>
      </c>
      <c r="AA12" s="66"/>
      <c r="AB12" s="95"/>
      <c r="AC12" s="66"/>
    </row>
    <row r="13" spans="1:30" ht="18.75" customHeight="1" x14ac:dyDescent="0.25">
      <c r="A13" s="85"/>
      <c r="B13" s="358"/>
      <c r="C13" s="359"/>
      <c r="D13" s="360">
        <f t="shared" si="1"/>
        <v>0</v>
      </c>
      <c r="E13" s="358"/>
      <c r="F13" s="359"/>
      <c r="G13" s="359">
        <f t="shared" si="2"/>
        <v>0</v>
      </c>
      <c r="H13" s="358"/>
      <c r="I13" s="359"/>
      <c r="J13" s="359">
        <f t="shared" si="3"/>
        <v>0</v>
      </c>
      <c r="K13" s="358"/>
      <c r="L13" s="359"/>
      <c r="M13" s="359">
        <f t="shared" si="4"/>
        <v>0</v>
      </c>
      <c r="N13" s="358"/>
      <c r="O13" s="359"/>
      <c r="P13" s="360">
        <f t="shared" si="5"/>
        <v>0</v>
      </c>
      <c r="Q13" s="95"/>
      <c r="R13" s="89"/>
      <c r="S13" s="86"/>
      <c r="T13" s="86"/>
      <c r="U13" s="86"/>
      <c r="V13" s="86"/>
      <c r="W13" s="86"/>
      <c r="X13" s="87"/>
      <c r="Y13" s="89"/>
      <c r="Z13" s="88"/>
      <c r="AA13" s="66"/>
      <c r="AB13" s="66"/>
      <c r="AC13" s="66"/>
    </row>
    <row r="14" spans="1:30" ht="18.75" customHeight="1" x14ac:dyDescent="0.3">
      <c r="A14" s="81" t="s">
        <v>130</v>
      </c>
      <c r="B14" s="355">
        <f t="shared" ref="B14:F14" si="6">B15+B20</f>
        <v>510150</v>
      </c>
      <c r="C14" s="356">
        <f t="shared" si="6"/>
        <v>93765</v>
      </c>
      <c r="D14" s="357">
        <f t="shared" si="1"/>
        <v>603915</v>
      </c>
      <c r="E14" s="355" t="e">
        <f>E15+E20</f>
        <v>#REF!</v>
      </c>
      <c r="F14" s="356" t="e">
        <f t="shared" si="6"/>
        <v>#REF!</v>
      </c>
      <c r="G14" s="356" t="e">
        <f t="shared" si="2"/>
        <v>#REF!</v>
      </c>
      <c r="H14" s="355" t="e">
        <f>H15+H20</f>
        <v>#REF!</v>
      </c>
      <c r="I14" s="356" t="e">
        <f>I15+I20</f>
        <v>#REF!</v>
      </c>
      <c r="J14" s="356" t="e">
        <f t="shared" si="3"/>
        <v>#REF!</v>
      </c>
      <c r="K14" s="355" t="e">
        <f>K15+K20</f>
        <v>#REF!</v>
      </c>
      <c r="L14" s="356" t="e">
        <f>L15+L20</f>
        <v>#REF!</v>
      </c>
      <c r="M14" s="356" t="e">
        <f t="shared" si="4"/>
        <v>#REF!</v>
      </c>
      <c r="N14" s="355" t="e">
        <f>N15+N20</f>
        <v>#REF!</v>
      </c>
      <c r="O14" s="356" t="e">
        <f>O15+O20</f>
        <v>#REF!</v>
      </c>
      <c r="P14" s="357" t="e">
        <f t="shared" si="5"/>
        <v>#REF!</v>
      </c>
      <c r="Q14" s="354"/>
      <c r="R14" s="82" t="e">
        <f>#REF!/D14</f>
        <v>#REF!</v>
      </c>
      <c r="S14" s="82" t="e">
        <f>#REF!/D14</f>
        <v>#REF!</v>
      </c>
      <c r="T14" s="82" t="e">
        <f>#REF!/D14</f>
        <v>#REF!</v>
      </c>
      <c r="U14" s="82" t="e">
        <f t="shared" ref="U14:U20" si="7">E14/D14</f>
        <v>#REF!</v>
      </c>
      <c r="V14" s="82" t="e">
        <f t="shared" ref="V14:V20" si="8">F14/D14</f>
        <v>#REF!</v>
      </c>
      <c r="W14" s="82" t="e">
        <f t="shared" ref="W14:W20" si="9">G14/D14</f>
        <v>#REF!</v>
      </c>
      <c r="X14" s="83"/>
      <c r="Y14" s="82"/>
      <c r="Z14" s="88"/>
      <c r="AA14" s="66"/>
      <c r="AB14" s="66"/>
      <c r="AC14" s="66"/>
    </row>
    <row r="15" spans="1:30" ht="18.75" customHeight="1" x14ac:dyDescent="0.25">
      <c r="A15" s="90" t="s">
        <v>131</v>
      </c>
      <c r="B15" s="361">
        <f>B16+B17+B18+B19</f>
        <v>482940</v>
      </c>
      <c r="C15" s="362">
        <f>C16+C17+C18+C19</f>
        <v>75625</v>
      </c>
      <c r="D15" s="363">
        <f t="shared" si="1"/>
        <v>558565</v>
      </c>
      <c r="E15" s="361" t="e">
        <f>SUM(E16:E18)</f>
        <v>#REF!</v>
      </c>
      <c r="F15" s="362" t="e">
        <f>SUM(F16:F18)</f>
        <v>#REF!</v>
      </c>
      <c r="G15" s="362" t="e">
        <f>E15+F15</f>
        <v>#REF!</v>
      </c>
      <c r="H15" s="361" t="e">
        <f>+H16+H17+H18+H19</f>
        <v>#REF!</v>
      </c>
      <c r="I15" s="362" t="e">
        <f>+I16+I17+I18+I19</f>
        <v>#REF!</v>
      </c>
      <c r="J15" s="362" t="e">
        <f>H15+I15</f>
        <v>#REF!</v>
      </c>
      <c r="K15" s="361" t="e">
        <f>+K16+K17+K18+K19</f>
        <v>#REF!</v>
      </c>
      <c r="L15" s="362" t="e">
        <f>+L16+L17+L18+L19</f>
        <v>#REF!</v>
      </c>
      <c r="M15" s="362" t="e">
        <f>K15+L15</f>
        <v>#REF!</v>
      </c>
      <c r="N15" s="361" t="e">
        <f>N16+N17+N18+N19</f>
        <v>#REF!</v>
      </c>
      <c r="O15" s="362" t="e">
        <f>O16+O17+O18+O19</f>
        <v>#REF!</v>
      </c>
      <c r="P15" s="363" t="e">
        <f t="shared" si="5"/>
        <v>#REF!</v>
      </c>
      <c r="Q15" s="91"/>
      <c r="R15" s="92" t="e">
        <f>#REF!/D15</f>
        <v>#REF!</v>
      </c>
      <c r="S15" s="93" t="e">
        <f>#REF!/D15</f>
        <v>#REF!</v>
      </c>
      <c r="T15" s="93" t="e">
        <f>#REF!/D15</f>
        <v>#REF!</v>
      </c>
      <c r="U15" s="93" t="e">
        <f t="shared" si="7"/>
        <v>#REF!</v>
      </c>
      <c r="V15" s="93" t="e">
        <f t="shared" si="8"/>
        <v>#REF!</v>
      </c>
      <c r="W15" s="93" t="e">
        <f t="shared" si="9"/>
        <v>#REF!</v>
      </c>
      <c r="X15" s="94"/>
      <c r="Y15" s="92"/>
      <c r="Z15" s="88"/>
      <c r="AA15" s="66"/>
      <c r="AB15" s="66"/>
      <c r="AC15" s="66"/>
      <c r="AD15" s="66"/>
    </row>
    <row r="16" spans="1:30" ht="18.75" customHeight="1" x14ac:dyDescent="0.25">
      <c r="A16" s="85" t="s">
        <v>132</v>
      </c>
      <c r="B16" s="364">
        <v>225891</v>
      </c>
      <c r="C16" s="359">
        <v>16609</v>
      </c>
      <c r="D16" s="360">
        <f t="shared" si="1"/>
        <v>242500</v>
      </c>
      <c r="E16" s="364" t="e">
        <f>#REF!/1000</f>
        <v>#REF!</v>
      </c>
      <c r="F16" s="359" t="e">
        <f>#REF!/1000</f>
        <v>#REF!</v>
      </c>
      <c r="G16" s="359" t="e">
        <f>+E16+F16</f>
        <v>#REF!</v>
      </c>
      <c r="H16" s="364" t="e">
        <f>#REF!/1000*I41</f>
        <v>#REF!</v>
      </c>
      <c r="I16" s="359" t="e">
        <f>#REF!/1000*J41</f>
        <v>#REF!</v>
      </c>
      <c r="J16" s="359" t="e">
        <f t="shared" si="3"/>
        <v>#REF!</v>
      </c>
      <c r="K16" s="364" t="e">
        <f>(#REF!/1000)*K41</f>
        <v>#REF!</v>
      </c>
      <c r="L16" s="359" t="e">
        <f>(#REF!/1000)*L41</f>
        <v>#REF!</v>
      </c>
      <c r="M16" s="359" t="e">
        <f t="shared" ref="M16:M30" si="10">K16+L16</f>
        <v>#REF!</v>
      </c>
      <c r="N16" s="358" t="e">
        <f t="shared" ref="N16:N20" si="11">+E16+H16+K16</f>
        <v>#REF!</v>
      </c>
      <c r="O16" s="359" t="e">
        <f t="shared" ref="O16:O20" si="12">+F16+I16+L16</f>
        <v>#REF!</v>
      </c>
      <c r="P16" s="360" t="e">
        <f t="shared" si="5"/>
        <v>#REF!</v>
      </c>
      <c r="Q16" s="95"/>
      <c r="R16" s="89" t="e">
        <f>#REF!/D16</f>
        <v>#REF!</v>
      </c>
      <c r="S16" s="86" t="e">
        <f>#REF!/D16</f>
        <v>#REF!</v>
      </c>
      <c r="T16" s="86" t="e">
        <f>#REF!/D16</f>
        <v>#REF!</v>
      </c>
      <c r="U16" s="86" t="e">
        <f t="shared" si="7"/>
        <v>#REF!</v>
      </c>
      <c r="V16" s="86" t="e">
        <f t="shared" si="8"/>
        <v>#REF!</v>
      </c>
      <c r="W16" s="86" t="e">
        <f t="shared" si="9"/>
        <v>#REF!</v>
      </c>
      <c r="X16" s="87"/>
      <c r="Y16" s="89">
        <v>0.55000000000000004</v>
      </c>
      <c r="Z16" s="96">
        <v>185720</v>
      </c>
      <c r="AA16" s="66"/>
      <c r="AB16" s="66"/>
      <c r="AC16" s="66"/>
      <c r="AD16" s="66"/>
    </row>
    <row r="17" spans="1:30" ht="18.75" customHeight="1" x14ac:dyDescent="0.25">
      <c r="A17" s="85" t="s">
        <v>133</v>
      </c>
      <c r="B17" s="364">
        <v>88699</v>
      </c>
      <c r="C17" s="359">
        <v>29566</v>
      </c>
      <c r="D17" s="360">
        <f t="shared" si="1"/>
        <v>118265</v>
      </c>
      <c r="E17" s="364" t="e">
        <f>#REF!/1000</f>
        <v>#REF!</v>
      </c>
      <c r="F17" s="359" t="e">
        <f>#REF!/1000</f>
        <v>#REF!</v>
      </c>
      <c r="G17" s="359" t="e">
        <f>E17+F17</f>
        <v>#REF!</v>
      </c>
      <c r="H17" s="364" t="e">
        <f>#REF!/1000*I41</f>
        <v>#REF!</v>
      </c>
      <c r="I17" s="359" t="e">
        <f>#REF!/1000*J41</f>
        <v>#REF!</v>
      </c>
      <c r="J17" s="359" t="e">
        <f t="shared" si="3"/>
        <v>#REF!</v>
      </c>
      <c r="K17" s="364" t="e">
        <f>(#REF!/1000)*K41</f>
        <v>#REF!</v>
      </c>
      <c r="L17" s="359" t="e">
        <f>(#REF!/1000)*L41</f>
        <v>#REF!</v>
      </c>
      <c r="M17" s="359" t="e">
        <f t="shared" si="10"/>
        <v>#REF!</v>
      </c>
      <c r="N17" s="358" t="e">
        <f t="shared" si="11"/>
        <v>#REF!</v>
      </c>
      <c r="O17" s="359" t="e">
        <f t="shared" si="12"/>
        <v>#REF!</v>
      </c>
      <c r="P17" s="360" t="e">
        <f t="shared" si="5"/>
        <v>#REF!</v>
      </c>
      <c r="Q17" s="95"/>
      <c r="R17" s="89" t="e">
        <f>#REF!/D17</f>
        <v>#REF!</v>
      </c>
      <c r="S17" s="86" t="e">
        <f>#REF!/D17</f>
        <v>#REF!</v>
      </c>
      <c r="T17" s="86" t="e">
        <f>#REF!/D17</f>
        <v>#REF!</v>
      </c>
      <c r="U17" s="86" t="e">
        <f t="shared" si="7"/>
        <v>#REF!</v>
      </c>
      <c r="V17" s="86" t="e">
        <f t="shared" si="8"/>
        <v>#REF!</v>
      </c>
      <c r="W17" s="86" t="e">
        <f t="shared" si="9"/>
        <v>#REF!</v>
      </c>
      <c r="X17" s="87"/>
      <c r="Y17" s="89">
        <v>0.87</v>
      </c>
      <c r="Z17" s="96">
        <v>239405</v>
      </c>
      <c r="AA17" s="66"/>
      <c r="AB17" s="66"/>
      <c r="AC17" s="66"/>
      <c r="AD17" s="66"/>
    </row>
    <row r="18" spans="1:30" ht="18.75" customHeight="1" x14ac:dyDescent="0.25">
      <c r="A18" s="85" t="s">
        <v>134</v>
      </c>
      <c r="B18" s="364">
        <v>138350</v>
      </c>
      <c r="C18" s="359">
        <v>19450</v>
      </c>
      <c r="D18" s="360">
        <f t="shared" si="1"/>
        <v>157800</v>
      </c>
      <c r="E18" s="364" t="e">
        <f>#REF!/1000</f>
        <v>#REF!</v>
      </c>
      <c r="F18" s="359" t="e">
        <f>#REF!/1000</f>
        <v>#REF!</v>
      </c>
      <c r="G18" s="359" t="e">
        <f>E18+F18</f>
        <v>#REF!</v>
      </c>
      <c r="H18" s="364" t="e">
        <f>#REF!/1000*I42</f>
        <v>#REF!</v>
      </c>
      <c r="I18" s="359" t="e">
        <f>#REF!/1000*J42</f>
        <v>#REF!</v>
      </c>
      <c r="J18" s="359" t="e">
        <f t="shared" si="3"/>
        <v>#REF!</v>
      </c>
      <c r="K18" s="364" t="e">
        <f>(#REF!/1000)*K42</f>
        <v>#REF!</v>
      </c>
      <c r="L18" s="359" t="e">
        <f>(#REF!/1000)*L42</f>
        <v>#REF!</v>
      </c>
      <c r="M18" s="359" t="e">
        <f t="shared" si="10"/>
        <v>#REF!</v>
      </c>
      <c r="N18" s="358" t="e">
        <f t="shared" si="11"/>
        <v>#REF!</v>
      </c>
      <c r="O18" s="359" t="e">
        <f t="shared" si="12"/>
        <v>#REF!</v>
      </c>
      <c r="P18" s="360" t="e">
        <f t="shared" si="5"/>
        <v>#REF!</v>
      </c>
      <c r="Q18" s="95"/>
      <c r="R18" s="86" t="e">
        <f>#REF!/D18</f>
        <v>#REF!</v>
      </c>
      <c r="S18" s="86" t="e">
        <f>#REF!/D18</f>
        <v>#REF!</v>
      </c>
      <c r="T18" s="86" t="e">
        <f>#REF!/D18</f>
        <v>#REF!</v>
      </c>
      <c r="U18" s="86" t="e">
        <f t="shared" si="7"/>
        <v>#REF!</v>
      </c>
      <c r="V18" s="86" t="e">
        <f t="shared" si="8"/>
        <v>#REF!</v>
      </c>
      <c r="W18" s="86" t="e">
        <f t="shared" si="9"/>
        <v>#REF!</v>
      </c>
      <c r="X18" s="87"/>
      <c r="Y18" s="86">
        <v>0.64</v>
      </c>
      <c r="Z18" s="88" t="s">
        <v>108</v>
      </c>
      <c r="AA18" s="66"/>
      <c r="AB18" s="66"/>
      <c r="AC18" s="66"/>
    </row>
    <row r="19" spans="1:30" ht="18.75" customHeight="1" x14ac:dyDescent="0.25">
      <c r="A19" s="85" t="s">
        <v>135</v>
      </c>
      <c r="B19" s="364">
        <v>30000</v>
      </c>
      <c r="C19" s="359">
        <v>10000</v>
      </c>
      <c r="D19" s="360">
        <f t="shared" si="1"/>
        <v>40000</v>
      </c>
      <c r="E19" s="364">
        <v>0</v>
      </c>
      <c r="F19" s="359">
        <v>0</v>
      </c>
      <c r="G19" s="359">
        <f t="shared" si="2"/>
        <v>0</v>
      </c>
      <c r="H19" s="364">
        <v>0</v>
      </c>
      <c r="I19" s="359">
        <v>0</v>
      </c>
      <c r="J19" s="359">
        <f t="shared" si="3"/>
        <v>0</v>
      </c>
      <c r="K19" s="364" t="e">
        <f>#REF!/1000</f>
        <v>#REF!</v>
      </c>
      <c r="L19" s="359" t="e">
        <f>#REF!/1000</f>
        <v>#REF!</v>
      </c>
      <c r="M19" s="359" t="e">
        <f t="shared" si="10"/>
        <v>#REF!</v>
      </c>
      <c r="N19" s="358" t="e">
        <f t="shared" si="11"/>
        <v>#REF!</v>
      </c>
      <c r="O19" s="359" t="e">
        <f t="shared" si="12"/>
        <v>#REF!</v>
      </c>
      <c r="P19" s="360" t="e">
        <f t="shared" si="5"/>
        <v>#REF!</v>
      </c>
      <c r="Q19" s="95"/>
      <c r="R19" s="86" t="e">
        <f>#REF!/D19</f>
        <v>#REF!</v>
      </c>
      <c r="S19" s="86" t="e">
        <f>#REF!/D19</f>
        <v>#REF!</v>
      </c>
      <c r="T19" s="86" t="e">
        <f>#REF!/D19</f>
        <v>#REF!</v>
      </c>
      <c r="U19" s="86">
        <f t="shared" si="7"/>
        <v>0</v>
      </c>
      <c r="V19" s="86">
        <f t="shared" si="8"/>
        <v>0</v>
      </c>
      <c r="W19" s="86">
        <f t="shared" si="9"/>
        <v>0</v>
      </c>
      <c r="X19" s="87"/>
      <c r="Y19" s="86" t="s">
        <v>108</v>
      </c>
      <c r="Z19" s="88" t="s">
        <v>108</v>
      </c>
      <c r="AA19" s="66"/>
      <c r="AB19" s="66"/>
      <c r="AC19" s="66"/>
      <c r="AD19" s="66"/>
    </row>
    <row r="20" spans="1:30" ht="18.75" customHeight="1" x14ac:dyDescent="0.25">
      <c r="A20" s="90" t="s">
        <v>136</v>
      </c>
      <c r="B20" s="361">
        <v>27210</v>
      </c>
      <c r="C20" s="362">
        <v>18140</v>
      </c>
      <c r="D20" s="363">
        <f t="shared" si="1"/>
        <v>45350</v>
      </c>
      <c r="E20" s="361" t="e">
        <f>#REF!/1000</f>
        <v>#REF!</v>
      </c>
      <c r="F20" s="362" t="e">
        <f>#REF!/1000</f>
        <v>#REF!</v>
      </c>
      <c r="G20" s="362" t="e">
        <f t="shared" si="2"/>
        <v>#REF!</v>
      </c>
      <c r="H20" s="361" t="e">
        <f>#REF!/1000*0%</f>
        <v>#REF!</v>
      </c>
      <c r="I20" s="362" t="e">
        <f>#REF!/1000*100%</f>
        <v>#REF!</v>
      </c>
      <c r="J20" s="362" t="e">
        <f t="shared" si="3"/>
        <v>#REF!</v>
      </c>
      <c r="K20" s="361" t="e">
        <f>#REF!/1000*0%</f>
        <v>#REF!</v>
      </c>
      <c r="L20" s="362" t="e">
        <f>#REF!/1000*100%</f>
        <v>#REF!</v>
      </c>
      <c r="M20" s="362" t="e">
        <f t="shared" si="10"/>
        <v>#REF!</v>
      </c>
      <c r="N20" s="358" t="e">
        <f t="shared" si="11"/>
        <v>#REF!</v>
      </c>
      <c r="O20" s="359" t="e">
        <f t="shared" si="12"/>
        <v>#REF!</v>
      </c>
      <c r="P20" s="363" t="e">
        <f t="shared" si="5"/>
        <v>#REF!</v>
      </c>
      <c r="Q20" s="91"/>
      <c r="R20" s="93" t="e">
        <f>#REF!/D20</f>
        <v>#REF!</v>
      </c>
      <c r="S20" s="93" t="e">
        <f>#REF!/D20</f>
        <v>#REF!</v>
      </c>
      <c r="T20" s="93" t="e">
        <f>#REF!/D20</f>
        <v>#REF!</v>
      </c>
      <c r="U20" s="93" t="e">
        <f t="shared" si="7"/>
        <v>#REF!</v>
      </c>
      <c r="V20" s="93" t="e">
        <f t="shared" si="8"/>
        <v>#REF!</v>
      </c>
      <c r="W20" s="93" t="e">
        <f t="shared" si="9"/>
        <v>#REF!</v>
      </c>
      <c r="X20" s="94"/>
      <c r="Y20" s="93">
        <v>1</v>
      </c>
      <c r="Z20" s="88" t="s">
        <v>108</v>
      </c>
      <c r="AA20" s="66"/>
      <c r="AB20" s="66"/>
      <c r="AC20" s="66"/>
      <c r="AD20" s="66"/>
    </row>
    <row r="21" spans="1:30" ht="18.75" customHeight="1" x14ac:dyDescent="0.25">
      <c r="A21" s="85"/>
      <c r="B21" s="364"/>
      <c r="C21" s="359"/>
      <c r="D21" s="360">
        <f t="shared" si="1"/>
        <v>0</v>
      </c>
      <c r="E21" s="364"/>
      <c r="F21" s="359"/>
      <c r="G21" s="359">
        <f t="shared" si="2"/>
        <v>0</v>
      </c>
      <c r="H21" s="364"/>
      <c r="I21" s="359"/>
      <c r="J21" s="359">
        <f t="shared" si="3"/>
        <v>0</v>
      </c>
      <c r="K21" s="364"/>
      <c r="L21" s="359"/>
      <c r="M21" s="359">
        <f t="shared" si="10"/>
        <v>0</v>
      </c>
      <c r="N21" s="364"/>
      <c r="O21" s="359"/>
      <c r="P21" s="360">
        <f t="shared" si="5"/>
        <v>0</v>
      </c>
      <c r="Q21" s="95"/>
      <c r="R21" s="86"/>
      <c r="S21" s="86"/>
      <c r="T21" s="86"/>
      <c r="U21" s="86"/>
      <c r="V21" s="86"/>
      <c r="W21" s="86"/>
      <c r="X21" s="87"/>
      <c r="Y21" s="87"/>
      <c r="Z21" s="66"/>
      <c r="AA21" s="66"/>
      <c r="AB21" s="66"/>
      <c r="AC21" s="66"/>
    </row>
    <row r="22" spans="1:30" ht="18.75" customHeight="1" x14ac:dyDescent="0.3">
      <c r="A22" s="365" t="s">
        <v>137</v>
      </c>
      <c r="B22" s="366">
        <f>B10+B14</f>
        <v>564600</v>
      </c>
      <c r="C22" s="367">
        <f>C10+C14</f>
        <v>99815</v>
      </c>
      <c r="D22" s="368">
        <f t="shared" si="1"/>
        <v>664415</v>
      </c>
      <c r="E22" s="366" t="e">
        <f>E10+E14</f>
        <v>#REF!</v>
      </c>
      <c r="F22" s="367" t="e">
        <f>F10+F14</f>
        <v>#REF!</v>
      </c>
      <c r="G22" s="369" t="e">
        <f t="shared" si="2"/>
        <v>#REF!</v>
      </c>
      <c r="H22" s="366" t="e">
        <f>H10+H14</f>
        <v>#REF!</v>
      </c>
      <c r="I22" s="367" t="e">
        <f>I10+I14</f>
        <v>#REF!</v>
      </c>
      <c r="J22" s="369" t="e">
        <f t="shared" si="3"/>
        <v>#REF!</v>
      </c>
      <c r="K22" s="366" t="e">
        <f>K10+K14</f>
        <v>#REF!</v>
      </c>
      <c r="L22" s="367" t="e">
        <f>L10+L14</f>
        <v>#REF!</v>
      </c>
      <c r="M22" s="369" t="e">
        <f t="shared" si="10"/>
        <v>#REF!</v>
      </c>
      <c r="N22" s="366" t="e">
        <f>N10+N14</f>
        <v>#REF!</v>
      </c>
      <c r="O22" s="367" t="e">
        <f>O10+O14</f>
        <v>#REF!</v>
      </c>
      <c r="P22" s="368" t="e">
        <f t="shared" si="5"/>
        <v>#REF!</v>
      </c>
      <c r="Q22" s="100"/>
      <c r="R22" s="97" t="e">
        <f>#REF!/D22</f>
        <v>#REF!</v>
      </c>
      <c r="S22" s="97" t="e">
        <f>#REF!/D22</f>
        <v>#REF!</v>
      </c>
      <c r="T22" s="97" t="e">
        <f>#REF!/D22</f>
        <v>#REF!</v>
      </c>
      <c r="U22" s="97" t="e">
        <f>E22/D22</f>
        <v>#REF!</v>
      </c>
      <c r="V22" s="97" t="e">
        <f>F22/D22</f>
        <v>#REF!</v>
      </c>
      <c r="W22" s="97" t="e">
        <f>G22/D22</f>
        <v>#REF!</v>
      </c>
      <c r="X22" s="98"/>
      <c r="Y22" s="97" t="s">
        <v>108</v>
      </c>
      <c r="Z22" s="97" t="s">
        <v>108</v>
      </c>
      <c r="AA22" s="66"/>
      <c r="AB22" s="66"/>
      <c r="AC22" s="66"/>
    </row>
    <row r="23" spans="1:30" ht="18.75" customHeight="1" x14ac:dyDescent="0.25">
      <c r="A23" s="85"/>
      <c r="B23" s="364"/>
      <c r="C23" s="359"/>
      <c r="D23" s="360">
        <f t="shared" si="1"/>
        <v>0</v>
      </c>
      <c r="E23" s="364"/>
      <c r="F23" s="359"/>
      <c r="G23" s="359">
        <f t="shared" si="2"/>
        <v>0</v>
      </c>
      <c r="H23" s="364"/>
      <c r="I23" s="359"/>
      <c r="J23" s="359">
        <f t="shared" si="3"/>
        <v>0</v>
      </c>
      <c r="K23" s="364"/>
      <c r="L23" s="359"/>
      <c r="M23" s="359">
        <f t="shared" si="10"/>
        <v>0</v>
      </c>
      <c r="N23" s="364"/>
      <c r="O23" s="359"/>
      <c r="P23" s="360">
        <f t="shared" si="5"/>
        <v>0</v>
      </c>
      <c r="Q23" s="95"/>
      <c r="R23" s="86"/>
      <c r="S23" s="86"/>
      <c r="T23" s="86"/>
      <c r="U23" s="86"/>
      <c r="V23" s="86"/>
      <c r="W23" s="86"/>
      <c r="X23" s="87"/>
      <c r="Y23" s="87"/>
      <c r="Z23" s="66"/>
      <c r="AA23" s="66"/>
      <c r="AB23" s="66"/>
      <c r="AC23" s="66"/>
    </row>
    <row r="24" spans="1:30" ht="18.75" customHeight="1" x14ac:dyDescent="0.3">
      <c r="A24" s="81" t="s">
        <v>138</v>
      </c>
      <c r="B24" s="355">
        <v>5400</v>
      </c>
      <c r="C24" s="356">
        <v>3100</v>
      </c>
      <c r="D24" s="357">
        <f t="shared" si="1"/>
        <v>8500</v>
      </c>
      <c r="E24" s="355" t="e">
        <f>#REF!/1000</f>
        <v>#REF!</v>
      </c>
      <c r="F24" s="356" t="e">
        <f>#REF!/1000</f>
        <v>#REF!</v>
      </c>
      <c r="G24" s="356" t="e">
        <f t="shared" si="2"/>
        <v>#REF!</v>
      </c>
      <c r="H24" s="355" t="e">
        <f>#REF!/1000*0%</f>
        <v>#REF!</v>
      </c>
      <c r="I24" s="356" t="e">
        <f>#REF!/1000*100%</f>
        <v>#REF!</v>
      </c>
      <c r="J24" s="356" t="e">
        <f t="shared" si="3"/>
        <v>#REF!</v>
      </c>
      <c r="K24" s="355" t="e">
        <f>#REF!/1000*0%</f>
        <v>#REF!</v>
      </c>
      <c r="L24" s="356" t="e">
        <f>#REF!/1000*100%</f>
        <v>#REF!</v>
      </c>
      <c r="M24" s="356" t="e">
        <f t="shared" si="10"/>
        <v>#REF!</v>
      </c>
      <c r="N24" s="355" t="e">
        <f t="shared" ref="N24:N28" si="13">+E24+H24+K24</f>
        <v>#REF!</v>
      </c>
      <c r="O24" s="356" t="e">
        <f t="shared" ref="O24:O28" si="14">+F24+I24+L24</f>
        <v>#REF!</v>
      </c>
      <c r="P24" s="357" t="e">
        <f t="shared" si="5"/>
        <v>#REF!</v>
      </c>
      <c r="Q24" s="354"/>
      <c r="R24" s="82" t="e">
        <f>#REF!/D24</f>
        <v>#REF!</v>
      </c>
      <c r="S24" s="82" t="e">
        <f>#REF!/D24</f>
        <v>#REF!</v>
      </c>
      <c r="T24" s="82" t="e">
        <f>#REF!/D24</f>
        <v>#REF!</v>
      </c>
      <c r="U24" s="82" t="e">
        <f>E24/D24</f>
        <v>#REF!</v>
      </c>
      <c r="V24" s="82" t="e">
        <f>F24/D24</f>
        <v>#REF!</v>
      </c>
      <c r="W24" s="82" t="e">
        <f>G24/D24</f>
        <v>#REF!</v>
      </c>
      <c r="X24" s="83"/>
      <c r="Y24" s="83">
        <v>0.4</v>
      </c>
      <c r="Z24" s="99" t="s">
        <v>108</v>
      </c>
      <c r="AA24" s="66"/>
      <c r="AB24" s="66"/>
      <c r="AC24" s="66"/>
    </row>
    <row r="25" spans="1:30" ht="18.75" customHeight="1" x14ac:dyDescent="0.25">
      <c r="A25" s="85"/>
      <c r="B25" s="364"/>
      <c r="C25" s="359"/>
      <c r="D25" s="360">
        <f t="shared" si="1"/>
        <v>0</v>
      </c>
      <c r="E25" s="364"/>
      <c r="F25" s="359"/>
      <c r="G25" s="359">
        <f t="shared" si="2"/>
        <v>0</v>
      </c>
      <c r="H25" s="364"/>
      <c r="I25" s="359"/>
      <c r="J25" s="359">
        <f t="shared" si="3"/>
        <v>0</v>
      </c>
      <c r="K25" s="364"/>
      <c r="L25" s="359"/>
      <c r="M25" s="359">
        <f t="shared" si="10"/>
        <v>0</v>
      </c>
      <c r="N25" s="364"/>
      <c r="O25" s="359"/>
      <c r="P25" s="360">
        <f t="shared" si="5"/>
        <v>0</v>
      </c>
      <c r="Q25" s="95"/>
      <c r="R25" s="86"/>
      <c r="S25" s="86"/>
      <c r="T25" s="86"/>
      <c r="U25" s="86"/>
      <c r="V25" s="86"/>
      <c r="W25" s="86"/>
      <c r="X25" s="87"/>
      <c r="Y25" s="87"/>
      <c r="Z25" s="66"/>
      <c r="AA25" s="66"/>
      <c r="AB25" s="66"/>
      <c r="AC25" s="66"/>
    </row>
    <row r="26" spans="1:30" ht="18.75" customHeight="1" x14ac:dyDescent="0.3">
      <c r="A26" s="81" t="s">
        <v>139</v>
      </c>
      <c r="B26" s="355">
        <v>30000</v>
      </c>
      <c r="C26" s="356">
        <v>10000</v>
      </c>
      <c r="D26" s="357">
        <f t="shared" si="1"/>
        <v>40000</v>
      </c>
      <c r="E26" s="355" t="e">
        <f>#REF!/1000</f>
        <v>#REF!</v>
      </c>
      <c r="F26" s="356">
        <v>0</v>
      </c>
      <c r="G26" s="356" t="e">
        <f t="shared" si="2"/>
        <v>#REF!</v>
      </c>
      <c r="H26" s="355" t="e">
        <f>#REF!/1000*0%</f>
        <v>#REF!</v>
      </c>
      <c r="I26" s="356" t="e">
        <f>#REF!/1000*100%</f>
        <v>#REF!</v>
      </c>
      <c r="J26" s="356" t="e">
        <f t="shared" si="3"/>
        <v>#REF!</v>
      </c>
      <c r="K26" s="355">
        <v>0</v>
      </c>
      <c r="L26" s="356">
        <v>0</v>
      </c>
      <c r="M26" s="356">
        <f t="shared" si="10"/>
        <v>0</v>
      </c>
      <c r="N26" s="355" t="e">
        <f t="shared" si="13"/>
        <v>#REF!</v>
      </c>
      <c r="O26" s="356" t="e">
        <f t="shared" si="14"/>
        <v>#REF!</v>
      </c>
      <c r="P26" s="357" t="e">
        <f t="shared" si="5"/>
        <v>#REF!</v>
      </c>
      <c r="Q26" s="354"/>
      <c r="R26" s="82" t="e">
        <f>#REF!/D26</f>
        <v>#REF!</v>
      </c>
      <c r="S26" s="82" t="e">
        <f>#REF!/D26</f>
        <v>#REF!</v>
      </c>
      <c r="T26" s="82" t="e">
        <f>#REF!/D26</f>
        <v>#REF!</v>
      </c>
      <c r="U26" s="82" t="e">
        <f>E26/D26</f>
        <v>#REF!</v>
      </c>
      <c r="V26" s="82">
        <f>F26/D26</f>
        <v>0</v>
      </c>
      <c r="W26" s="82" t="e">
        <f>G26/D26</f>
        <v>#REF!</v>
      </c>
      <c r="X26" s="83"/>
      <c r="Y26" s="82" t="s">
        <v>108</v>
      </c>
      <c r="Z26" s="99" t="s">
        <v>108</v>
      </c>
      <c r="AA26" s="66"/>
      <c r="AB26" s="66"/>
      <c r="AC26" s="66"/>
    </row>
    <row r="27" spans="1:30" ht="18.75" customHeight="1" x14ac:dyDescent="0.25">
      <c r="A27" s="85"/>
      <c r="B27" s="364"/>
      <c r="C27" s="359"/>
      <c r="D27" s="360">
        <f t="shared" si="1"/>
        <v>0</v>
      </c>
      <c r="E27" s="364"/>
      <c r="F27" s="359"/>
      <c r="G27" s="359">
        <f t="shared" si="2"/>
        <v>0</v>
      </c>
      <c r="H27" s="364"/>
      <c r="I27" s="359"/>
      <c r="J27" s="359">
        <f t="shared" si="3"/>
        <v>0</v>
      </c>
      <c r="K27" s="364"/>
      <c r="L27" s="359"/>
      <c r="M27" s="359">
        <f t="shared" si="10"/>
        <v>0</v>
      </c>
      <c r="N27" s="364"/>
      <c r="O27" s="359"/>
      <c r="P27" s="360">
        <f t="shared" si="5"/>
        <v>0</v>
      </c>
      <c r="Q27" s="95"/>
      <c r="R27" s="86"/>
      <c r="S27" s="86"/>
      <c r="T27" s="86"/>
      <c r="U27" s="86"/>
      <c r="V27" s="86"/>
      <c r="W27" s="86"/>
      <c r="X27" s="87"/>
      <c r="Y27" s="86"/>
      <c r="Z27" s="99"/>
      <c r="AA27" s="66"/>
      <c r="AB27" s="66"/>
      <c r="AC27" s="66"/>
    </row>
    <row r="28" spans="1:30" ht="18.75" customHeight="1" x14ac:dyDescent="0.3">
      <c r="A28" s="322" t="s">
        <v>140</v>
      </c>
      <c r="B28" s="355">
        <v>0</v>
      </c>
      <c r="C28" s="356">
        <v>87085</v>
      </c>
      <c r="D28" s="357">
        <f t="shared" si="1"/>
        <v>87085</v>
      </c>
      <c r="E28" s="355" t="e">
        <f>#REF!/1000</f>
        <v>#REF!</v>
      </c>
      <c r="F28" s="356" t="e">
        <f>#REF!/1000</f>
        <v>#REF!</v>
      </c>
      <c r="G28" s="356" t="e">
        <f>E28+F28</f>
        <v>#REF!</v>
      </c>
      <c r="H28" s="355" t="e">
        <f>(#REF!+#REF!+#REF!)/1000*0</f>
        <v>#REF!</v>
      </c>
      <c r="I28" s="370" t="e">
        <f>(#REF!+#REF!+#REF!)/1000*100%</f>
        <v>#REF!</v>
      </c>
      <c r="J28" s="356" t="e">
        <f t="shared" si="3"/>
        <v>#REF!</v>
      </c>
      <c r="K28" s="355" t="e">
        <f>(#REF!+#REF!)/100*0</f>
        <v>#REF!</v>
      </c>
      <c r="L28" s="370" t="e">
        <f>(#REF!+#REF!)/1000*100%</f>
        <v>#REF!</v>
      </c>
      <c r="M28" s="356" t="e">
        <f t="shared" si="10"/>
        <v>#REF!</v>
      </c>
      <c r="N28" s="355" t="e">
        <f t="shared" si="13"/>
        <v>#REF!</v>
      </c>
      <c r="O28" s="356" t="e">
        <f t="shared" si="14"/>
        <v>#REF!</v>
      </c>
      <c r="P28" s="357" t="e">
        <f t="shared" si="5"/>
        <v>#REF!</v>
      </c>
      <c r="Q28" s="354"/>
      <c r="R28" s="82" t="e">
        <f>#REF!/D28</f>
        <v>#REF!</v>
      </c>
      <c r="S28" s="82" t="e">
        <f>#REF!/D28</f>
        <v>#REF!</v>
      </c>
      <c r="T28" s="82" t="e">
        <f>#REF!/D28</f>
        <v>#REF!</v>
      </c>
      <c r="U28" s="82" t="e">
        <f>E28/D28</f>
        <v>#REF!</v>
      </c>
      <c r="V28" s="82" t="e">
        <f>F28/D28</f>
        <v>#REF!</v>
      </c>
      <c r="W28" s="82" t="e">
        <f>G28/D28</f>
        <v>#REF!</v>
      </c>
      <c r="X28" s="83"/>
      <c r="Y28" s="82" t="s">
        <v>108</v>
      </c>
      <c r="Z28" s="99" t="s">
        <v>108</v>
      </c>
      <c r="AA28" s="66"/>
      <c r="AB28" s="66"/>
      <c r="AC28" s="66"/>
    </row>
    <row r="29" spans="1:30" ht="18.75" customHeight="1" x14ac:dyDescent="0.25">
      <c r="A29" s="85"/>
      <c r="B29" s="364"/>
      <c r="C29" s="359"/>
      <c r="D29" s="360"/>
      <c r="E29" s="364"/>
      <c r="F29" s="359"/>
      <c r="G29" s="359">
        <f t="shared" si="2"/>
        <v>0</v>
      </c>
      <c r="H29" s="364"/>
      <c r="I29" s="359"/>
      <c r="J29" s="359">
        <f t="shared" si="3"/>
        <v>0</v>
      </c>
      <c r="K29" s="364"/>
      <c r="L29" s="359"/>
      <c r="M29" s="359">
        <f t="shared" si="10"/>
        <v>0</v>
      </c>
      <c r="N29" s="364"/>
      <c r="O29" s="359"/>
      <c r="P29" s="360"/>
      <c r="Q29" s="95"/>
      <c r="R29" s="86"/>
      <c r="S29" s="86"/>
      <c r="T29" s="86"/>
      <c r="U29" s="86"/>
      <c r="V29" s="86"/>
      <c r="W29" s="86"/>
      <c r="X29" s="87"/>
      <c r="Y29" s="87"/>
      <c r="Z29" s="66"/>
      <c r="AA29" s="66"/>
      <c r="AB29" s="66"/>
      <c r="AC29" s="66"/>
    </row>
    <row r="30" spans="1:30" ht="18.75" customHeight="1" thickBot="1" x14ac:dyDescent="0.35">
      <c r="A30" s="365" t="s">
        <v>141</v>
      </c>
      <c r="B30" s="366">
        <f>B24+B26+B28</f>
        <v>35400</v>
      </c>
      <c r="C30" s="367">
        <f>C24+C26+C28</f>
        <v>100185</v>
      </c>
      <c r="D30" s="368">
        <f>B30+C30</f>
        <v>135585</v>
      </c>
      <c r="E30" s="366" t="e">
        <f t="shared" ref="E30:F30" si="15">E24+E26+E28</f>
        <v>#REF!</v>
      </c>
      <c r="F30" s="367" t="e">
        <f t="shared" si="15"/>
        <v>#REF!</v>
      </c>
      <c r="G30" s="369" t="e">
        <f t="shared" si="2"/>
        <v>#REF!</v>
      </c>
      <c r="H30" s="366" t="e">
        <f t="shared" ref="H30:I30" si="16">H24+H26+H28</f>
        <v>#REF!</v>
      </c>
      <c r="I30" s="367" t="e">
        <f t="shared" si="16"/>
        <v>#REF!</v>
      </c>
      <c r="J30" s="369" t="e">
        <f t="shared" si="3"/>
        <v>#REF!</v>
      </c>
      <c r="K30" s="366" t="e">
        <f t="shared" ref="K30" si="17">K24+K26+K28</f>
        <v>#REF!</v>
      </c>
      <c r="L30" s="367" t="e">
        <f t="shared" ref="L30" si="18">L24+L26+L28</f>
        <v>#REF!</v>
      </c>
      <c r="M30" s="369" t="e">
        <f t="shared" si="10"/>
        <v>#REF!</v>
      </c>
      <c r="N30" s="366" t="e">
        <f t="shared" ref="N30:O30" si="19">N24+N26+N28</f>
        <v>#REF!</v>
      </c>
      <c r="O30" s="367" t="e">
        <f t="shared" si="19"/>
        <v>#REF!</v>
      </c>
      <c r="P30" s="368" t="e">
        <f t="shared" ref="P30" si="20">N30+O30</f>
        <v>#REF!</v>
      </c>
      <c r="Q30" s="100"/>
      <c r="R30" s="101" t="e">
        <f>#REF!/D30</f>
        <v>#REF!</v>
      </c>
      <c r="S30" s="102" t="e">
        <f>#REF!/D30</f>
        <v>#REF!</v>
      </c>
      <c r="T30" s="102" t="e">
        <f>#REF!/D30</f>
        <v>#REF!</v>
      </c>
      <c r="U30" s="101" t="e">
        <f>E30/D30</f>
        <v>#REF!</v>
      </c>
      <c r="V30" s="102" t="e">
        <f>F30/D30</f>
        <v>#REF!</v>
      </c>
      <c r="W30" s="103" t="e">
        <f>G30/D30</f>
        <v>#REF!</v>
      </c>
      <c r="X30" s="104"/>
      <c r="Y30" s="101" t="s">
        <v>108</v>
      </c>
      <c r="Z30" s="103" t="s">
        <v>108</v>
      </c>
    </row>
    <row r="31" spans="1:30" ht="18" thickBot="1" x14ac:dyDescent="0.35">
      <c r="A31" s="371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372"/>
      <c r="Q31" s="100"/>
      <c r="R31" s="105"/>
      <c r="S31" s="105"/>
      <c r="T31" s="105"/>
      <c r="U31" s="105"/>
      <c r="V31" s="105"/>
      <c r="W31" s="105"/>
      <c r="X31" s="66"/>
    </row>
    <row r="32" spans="1:30" ht="19.5" thickBot="1" x14ac:dyDescent="0.35">
      <c r="A32" s="373" t="s">
        <v>142</v>
      </c>
      <c r="B32" s="374">
        <f>B30+B22</f>
        <v>600000</v>
      </c>
      <c r="C32" s="375">
        <f>C30+C22</f>
        <v>200000</v>
      </c>
      <c r="D32" s="352">
        <f>B32+C32</f>
        <v>800000</v>
      </c>
      <c r="E32" s="374" t="e">
        <f t="shared" ref="E32:F32" si="21">E30+E22</f>
        <v>#REF!</v>
      </c>
      <c r="F32" s="375" t="e">
        <f t="shared" si="21"/>
        <v>#REF!</v>
      </c>
      <c r="G32" s="352" t="e">
        <f t="shared" ref="G32" si="22">E32+F32</f>
        <v>#REF!</v>
      </c>
      <c r="H32" s="374" t="e">
        <f t="shared" ref="H32:I32" si="23">H30+H22</f>
        <v>#REF!</v>
      </c>
      <c r="I32" s="375" t="e">
        <f t="shared" si="23"/>
        <v>#REF!</v>
      </c>
      <c r="J32" s="352" t="e">
        <f t="shared" ref="J32" si="24">H32+I32</f>
        <v>#REF!</v>
      </c>
      <c r="K32" s="374" t="e">
        <f t="shared" ref="K32:L32" si="25">K30+K22</f>
        <v>#REF!</v>
      </c>
      <c r="L32" s="375" t="e">
        <f t="shared" si="25"/>
        <v>#REF!</v>
      </c>
      <c r="M32" s="352" t="e">
        <f t="shared" ref="M32" si="26">K32+L32</f>
        <v>#REF!</v>
      </c>
      <c r="N32" s="374" t="e">
        <f t="shared" ref="N32:O32" si="27">N30+N22</f>
        <v>#REF!</v>
      </c>
      <c r="O32" s="375" t="e">
        <f t="shared" si="27"/>
        <v>#REF!</v>
      </c>
      <c r="P32" s="376" t="e">
        <f>N32+O32</f>
        <v>#REF!</v>
      </c>
      <c r="Q32" s="106"/>
      <c r="R32" s="107" t="e">
        <f>#REF!/D32</f>
        <v>#REF!</v>
      </c>
      <c r="S32" s="108" t="e">
        <f>#REF!/D32</f>
        <v>#REF!</v>
      </c>
      <c r="T32" s="108" t="e">
        <f>#REF!/D32</f>
        <v>#REF!</v>
      </c>
      <c r="U32" s="107" t="e">
        <f>E32/D32</f>
        <v>#REF!</v>
      </c>
      <c r="V32" s="108" t="e">
        <f>F32/D32</f>
        <v>#REF!</v>
      </c>
      <c r="W32" s="108" t="e">
        <f>G32/D32</f>
        <v>#REF!</v>
      </c>
      <c r="X32" s="66"/>
    </row>
    <row r="33" spans="1:24" ht="15.75" customHeight="1" thickBot="1" x14ac:dyDescent="0.3">
      <c r="A33" s="312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377"/>
      <c r="S33" s="64"/>
      <c r="T33" s="64"/>
      <c r="X33" s="66"/>
    </row>
    <row r="34" spans="1:24" ht="20.25" customHeight="1" thickBot="1" x14ac:dyDescent="0.35">
      <c r="A34" s="373" t="s">
        <v>143</v>
      </c>
      <c r="B34" s="378">
        <f>B32/D32</f>
        <v>0.75</v>
      </c>
      <c r="C34" s="379">
        <f>C32/D32</f>
        <v>0.25</v>
      </c>
      <c r="D34" s="353">
        <f>B34+C34</f>
        <v>1</v>
      </c>
      <c r="E34" s="378" t="e">
        <f>E32/G32</f>
        <v>#REF!</v>
      </c>
      <c r="F34" s="379" t="e">
        <f>F32/G32</f>
        <v>#REF!</v>
      </c>
      <c r="G34" s="353" t="e">
        <f>E34+F34</f>
        <v>#REF!</v>
      </c>
      <c r="H34" s="378" t="e">
        <f>H32/J32</f>
        <v>#REF!</v>
      </c>
      <c r="I34" s="379" t="e">
        <f>I32/J32</f>
        <v>#REF!</v>
      </c>
      <c r="J34" s="353" t="e">
        <f>H34+I34</f>
        <v>#REF!</v>
      </c>
      <c r="K34" s="378" t="e">
        <f>K32/M32</f>
        <v>#REF!</v>
      </c>
      <c r="L34" s="379" t="e">
        <f>L32/M32</f>
        <v>#REF!</v>
      </c>
      <c r="M34" s="353" t="e">
        <f>K34+L34</f>
        <v>#REF!</v>
      </c>
      <c r="N34" s="378" t="e">
        <f>N32/P32</f>
        <v>#REF!</v>
      </c>
      <c r="O34" s="379" t="e">
        <f>O32/P32</f>
        <v>#REF!</v>
      </c>
      <c r="P34" s="380" t="e">
        <f>N34+O34</f>
        <v>#REF!</v>
      </c>
      <c r="S34" s="64"/>
      <c r="T34" s="64"/>
      <c r="X34" s="66"/>
    </row>
    <row r="35" spans="1:24" x14ac:dyDescent="0.25">
      <c r="H35" s="109"/>
      <c r="N35" s="109"/>
      <c r="O35" s="109"/>
      <c r="S35" s="64"/>
      <c r="T35" s="64"/>
      <c r="X35" s="66"/>
    </row>
    <row r="36" spans="1:24" x14ac:dyDescent="0.25">
      <c r="A36" s="323" t="s">
        <v>341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09"/>
      <c r="O36" s="111" t="s">
        <v>144</v>
      </c>
      <c r="P36" s="112" t="e">
        <f>#REF!</f>
        <v>#REF!</v>
      </c>
    </row>
    <row r="37" spans="1:24" x14ac:dyDescent="0.25">
      <c r="A37" s="323" t="s">
        <v>349</v>
      </c>
      <c r="H37" s="113"/>
      <c r="J37" s="110"/>
      <c r="K37" s="110"/>
      <c r="L37" s="110"/>
      <c r="M37" s="110"/>
      <c r="N37" s="110"/>
      <c r="O37" s="110"/>
    </row>
    <row r="38" spans="1:24" ht="11.25" customHeight="1" x14ac:dyDescent="0.25">
      <c r="A38" s="114"/>
      <c r="M38" s="110"/>
      <c r="N38" s="110"/>
    </row>
    <row r="39" spans="1:24" ht="15.75" x14ac:dyDescent="0.25">
      <c r="A39" s="114"/>
      <c r="H39" s="113"/>
      <c r="J39" s="110"/>
      <c r="K39" s="110"/>
      <c r="L39" s="110"/>
      <c r="M39" s="110"/>
    </row>
    <row r="40" spans="1:24" x14ac:dyDescent="0.25">
      <c r="H40" s="762" t="s">
        <v>295</v>
      </c>
      <c r="I40" s="762"/>
      <c r="J40" s="762"/>
      <c r="K40" s="763" t="s">
        <v>335</v>
      </c>
      <c r="L40" s="763"/>
      <c r="N40" s="110"/>
      <c r="P40" s="110"/>
    </row>
    <row r="41" spans="1:24" x14ac:dyDescent="0.25">
      <c r="H41" s="445" t="s">
        <v>346</v>
      </c>
      <c r="I41" s="446">
        <v>0.85</v>
      </c>
      <c r="J41" s="446">
        <f>1-I41</f>
        <v>0.15000000000000002</v>
      </c>
      <c r="K41" s="447">
        <v>0.24019969999999999</v>
      </c>
      <c r="L41" s="447">
        <f>1-K41</f>
        <v>0.75980029999999998</v>
      </c>
      <c r="N41" s="110"/>
    </row>
    <row r="42" spans="1:24" x14ac:dyDescent="0.25">
      <c r="H42" s="445" t="s">
        <v>347</v>
      </c>
      <c r="I42" s="446">
        <v>0.75</v>
      </c>
      <c r="J42" s="446">
        <f>1-I42</f>
        <v>0.25</v>
      </c>
      <c r="K42" s="447">
        <v>0.12794</v>
      </c>
      <c r="L42" s="447">
        <f>1-K42</f>
        <v>0.87206000000000006</v>
      </c>
      <c r="N42" s="110"/>
    </row>
    <row r="43" spans="1:24" x14ac:dyDescent="0.25">
      <c r="H43" t="s">
        <v>348</v>
      </c>
      <c r="K43" s="447">
        <v>0</v>
      </c>
      <c r="L43" s="447">
        <f>1-K43</f>
        <v>1</v>
      </c>
    </row>
    <row r="44" spans="1:24" x14ac:dyDescent="0.25">
      <c r="H44" t="s">
        <v>324</v>
      </c>
      <c r="K44" s="447">
        <v>0.65</v>
      </c>
      <c r="L44" s="447">
        <f>1-K44</f>
        <v>0.35</v>
      </c>
    </row>
  </sheetData>
  <mergeCells count="17">
    <mergeCell ref="H40:J40"/>
    <mergeCell ref="K40:L40"/>
    <mergeCell ref="A2:P2"/>
    <mergeCell ref="A3:P3"/>
    <mergeCell ref="A6:A9"/>
    <mergeCell ref="B6:D8"/>
    <mergeCell ref="N6:P8"/>
    <mergeCell ref="E6:M6"/>
    <mergeCell ref="R6:W6"/>
    <mergeCell ref="Y6:Z6"/>
    <mergeCell ref="E7:G8"/>
    <mergeCell ref="H7:J8"/>
    <mergeCell ref="R7:T8"/>
    <mergeCell ref="U7:W8"/>
    <mergeCell ref="Y7:Y9"/>
    <mergeCell ref="Z7:Z9"/>
    <mergeCell ref="K7:M8"/>
  </mergeCells>
  <pageMargins left="0.51181102362204722" right="0.51181102362204722" top="0.78740157480314965" bottom="0.78740157480314965" header="0.51181102362204722" footer="0.31496062992125984"/>
  <pageSetup paperSize="9" scale="55" orientation="landscape" r:id="rId1"/>
  <headerFooter>
    <oddHeader>&amp;L&amp;G&amp;R&amp;9Superintendência de Gestão de Projetos Especiais - TG
Departamento de Planejamento e Controle - TGC</oddHeader>
  </headerFooter>
  <ignoredErrors>
    <ignoredError sqref="D10:K10 D25:H25 D15:D23 M14:O23 P12 D31:O34 D13:K14 D11 G11 D12 G12 D24 G24 D27:H27 D26 F26:G26 J11 J12 J24 J26 J25:K25 J27:K27 D30:K30 M30:O30" formula="1"/>
    <ignoredError sqref="E15:K15 E19:G19 G16 G17 G18 E21:K23 G20 J16 J17 J18 J19 J20" formula="1" formulaRange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pageSetUpPr fitToPage="1"/>
  </sheetPr>
  <dimension ref="A1:J35"/>
  <sheetViews>
    <sheetView topLeftCell="A10" zoomScale="150" zoomScaleNormal="150" workbookViewId="0">
      <selection activeCell="I20" sqref="I20"/>
    </sheetView>
  </sheetViews>
  <sheetFormatPr defaultRowHeight="15" x14ac:dyDescent="0.25"/>
  <cols>
    <col min="1" max="1" width="16.85546875" style="148" customWidth="1"/>
    <col min="2" max="2" width="15.5703125" style="148" customWidth="1"/>
    <col min="3" max="3" width="14.7109375" style="148" customWidth="1"/>
    <col min="4" max="9" width="12.7109375" style="148" customWidth="1"/>
    <col min="10" max="10" width="10.7109375" style="469" customWidth="1"/>
    <col min="11" max="16384" width="9.140625" style="148"/>
  </cols>
  <sheetData>
    <row r="1" spans="1:10" x14ac:dyDescent="0.25">
      <c r="A1" s="785" t="s">
        <v>362</v>
      </c>
      <c r="B1" s="785"/>
      <c r="C1" s="785"/>
      <c r="D1" s="785"/>
      <c r="E1" s="785"/>
      <c r="F1" s="785"/>
      <c r="G1" s="785"/>
      <c r="H1" s="785"/>
      <c r="I1" s="785"/>
      <c r="J1" s="452"/>
    </row>
    <row r="2" spans="1:10" x14ac:dyDescent="0.25">
      <c r="A2" s="785" t="s">
        <v>363</v>
      </c>
      <c r="B2" s="786"/>
      <c r="C2" s="786"/>
      <c r="D2" s="786"/>
      <c r="E2" s="786"/>
      <c r="F2" s="786"/>
      <c r="G2" s="786"/>
      <c r="H2" s="786"/>
      <c r="I2" s="786"/>
      <c r="J2" s="453"/>
    </row>
    <row r="5" spans="1:10" ht="21" x14ac:dyDescent="0.25">
      <c r="A5" s="787" t="s">
        <v>364</v>
      </c>
      <c r="B5" s="787"/>
      <c r="C5" s="787"/>
      <c r="D5" s="787"/>
      <c r="E5" s="787"/>
      <c r="F5" s="787"/>
      <c r="G5" s="787"/>
      <c r="H5" s="787"/>
      <c r="I5" s="787"/>
      <c r="J5" s="454"/>
    </row>
    <row r="6" spans="1:10" ht="18.75" x14ac:dyDescent="0.25">
      <c r="A6" s="788" t="s">
        <v>365</v>
      </c>
      <c r="B6" s="788"/>
      <c r="C6" s="788"/>
      <c r="D6" s="788"/>
      <c r="E6" s="788"/>
      <c r="F6" s="788"/>
      <c r="G6" s="788"/>
      <c r="H6" s="788"/>
      <c r="I6" s="788"/>
      <c r="J6" s="455"/>
    </row>
    <row r="7" spans="1:10" ht="18.75" x14ac:dyDescent="0.25">
      <c r="A7" s="788" t="s">
        <v>366</v>
      </c>
      <c r="B7" s="788"/>
      <c r="C7" s="788"/>
      <c r="D7" s="788"/>
      <c r="E7" s="788"/>
      <c r="F7" s="788"/>
      <c r="G7" s="788"/>
      <c r="H7" s="788"/>
      <c r="I7" s="788"/>
      <c r="J7" s="451"/>
    </row>
    <row r="8" spans="1:10" x14ac:dyDescent="0.25">
      <c r="A8" s="451"/>
      <c r="B8" s="451"/>
      <c r="C8" s="451"/>
      <c r="D8" s="451"/>
      <c r="E8" s="451"/>
      <c r="F8" s="451"/>
      <c r="G8" s="451"/>
      <c r="H8" s="451"/>
      <c r="I8" s="451"/>
      <c r="J8" s="451"/>
    </row>
    <row r="9" spans="1:10" x14ac:dyDescent="0.25">
      <c r="A9" s="451"/>
      <c r="B9" s="451"/>
      <c r="C9" s="451"/>
      <c r="D9" s="451"/>
      <c r="E9" s="451"/>
      <c r="F9" s="451"/>
      <c r="G9" s="451"/>
      <c r="H9" s="451"/>
      <c r="I9" s="452" t="s">
        <v>367</v>
      </c>
      <c r="J9" s="452"/>
    </row>
    <row r="10" spans="1:10" ht="23.25" customHeight="1" x14ac:dyDescent="0.25">
      <c r="A10" s="776" t="s">
        <v>368</v>
      </c>
      <c r="B10" s="777"/>
      <c r="C10" s="780" t="s">
        <v>377</v>
      </c>
      <c r="D10" s="782" t="s">
        <v>369</v>
      </c>
      <c r="E10" s="782"/>
      <c r="F10" s="782"/>
      <c r="G10" s="782"/>
      <c r="H10" s="782"/>
      <c r="I10" s="783" t="s">
        <v>119</v>
      </c>
      <c r="J10" s="148"/>
    </row>
    <row r="11" spans="1:10" ht="30" x14ac:dyDescent="0.25">
      <c r="A11" s="778"/>
      <c r="B11" s="779"/>
      <c r="C11" s="781"/>
      <c r="D11" s="456" t="s">
        <v>378</v>
      </c>
      <c r="E11" s="457">
        <v>2017</v>
      </c>
      <c r="F11" s="457">
        <v>2018</v>
      </c>
      <c r="G11" s="457">
        <v>2019</v>
      </c>
      <c r="H11" s="458">
        <v>2020</v>
      </c>
      <c r="I11" s="784"/>
      <c r="J11" s="148"/>
    </row>
    <row r="12" spans="1:10" ht="24.95" customHeight="1" x14ac:dyDescent="0.25">
      <c r="A12" s="789" t="s">
        <v>119</v>
      </c>
      <c r="B12" s="459" t="s">
        <v>370</v>
      </c>
      <c r="C12" s="791" t="e">
        <f>C14+C16</f>
        <v>#REF!</v>
      </c>
      <c r="D12" s="460" t="e">
        <f>D14+D16</f>
        <v>#REF!</v>
      </c>
      <c r="E12" s="460" t="e">
        <f t="shared" ref="E12:H12" si="0">E14+E16</f>
        <v>#REF!</v>
      </c>
      <c r="F12" s="460" t="e">
        <f t="shared" si="0"/>
        <v>#REF!</v>
      </c>
      <c r="G12" s="460" t="e">
        <f t="shared" si="0"/>
        <v>#REF!</v>
      </c>
      <c r="H12" s="460" t="e">
        <f t="shared" si="0"/>
        <v>#REF!</v>
      </c>
      <c r="I12" s="793" t="e">
        <f>I14+I16</f>
        <v>#REF!</v>
      </c>
      <c r="J12" s="148"/>
    </row>
    <row r="13" spans="1:10" ht="24.95" customHeight="1" x14ac:dyDescent="0.25">
      <c r="A13" s="790"/>
      <c r="B13" s="461" t="s">
        <v>371</v>
      </c>
      <c r="C13" s="792"/>
      <c r="D13" s="462" t="e">
        <f>C12+D12</f>
        <v>#REF!</v>
      </c>
      <c r="E13" s="462" t="e">
        <f>D13+E12</f>
        <v>#REF!</v>
      </c>
      <c r="F13" s="462" t="e">
        <f t="shared" ref="F13:H13" si="1">E13+F12</f>
        <v>#REF!</v>
      </c>
      <c r="G13" s="462" t="e">
        <f t="shared" si="1"/>
        <v>#REF!</v>
      </c>
      <c r="H13" s="462" t="e">
        <f t="shared" si="1"/>
        <v>#REF!</v>
      </c>
      <c r="I13" s="794"/>
      <c r="J13" s="148"/>
    </row>
    <row r="14" spans="1:10" ht="24.95" customHeight="1" x14ac:dyDescent="0.25">
      <c r="A14" s="789" t="s">
        <v>2</v>
      </c>
      <c r="B14" s="459" t="s">
        <v>370</v>
      </c>
      <c r="C14" s="791" t="e">
        <f>'02_resumo US$ 4 ANOS 90%'!E56</f>
        <v>#REF!</v>
      </c>
      <c r="D14" s="460" t="e">
        <f>'02_resumo US$ 4 ANOS 90%'!F56</f>
        <v>#REF!</v>
      </c>
      <c r="E14" s="460" t="e">
        <f>'02_resumo US$ 4 ANOS 90%'!G56</f>
        <v>#REF!</v>
      </c>
      <c r="F14" s="460" t="e">
        <f>'02_resumo US$ 4 ANOS 90%'!H56</f>
        <v>#REF!</v>
      </c>
      <c r="G14" s="460" t="e">
        <f>'02_resumo US$ 4 ANOS 90%'!I56</f>
        <v>#REF!</v>
      </c>
      <c r="H14" s="460" t="e">
        <f>'02_resumo US$ 4 ANOS 90%'!J56</f>
        <v>#REF!</v>
      </c>
      <c r="I14" s="793" t="e">
        <f>SUM(D14:H14)+C14</f>
        <v>#REF!</v>
      </c>
      <c r="J14" s="148"/>
    </row>
    <row r="15" spans="1:10" ht="24.95" customHeight="1" x14ac:dyDescent="0.25">
      <c r="A15" s="790"/>
      <c r="B15" s="461" t="s">
        <v>371</v>
      </c>
      <c r="C15" s="792"/>
      <c r="D15" s="462" t="e">
        <f>C14+D14</f>
        <v>#REF!</v>
      </c>
      <c r="E15" s="462" t="e">
        <f>D15+E14</f>
        <v>#REF!</v>
      </c>
      <c r="F15" s="462" t="e">
        <f t="shared" ref="F15:H15" si="2">E15+F14</f>
        <v>#REF!</v>
      </c>
      <c r="G15" s="462" t="e">
        <f t="shared" si="2"/>
        <v>#REF!</v>
      </c>
      <c r="H15" s="462" t="e">
        <f t="shared" si="2"/>
        <v>#REF!</v>
      </c>
      <c r="I15" s="794"/>
      <c r="J15" s="148"/>
    </row>
    <row r="16" spans="1:10" ht="24.95" customHeight="1" x14ac:dyDescent="0.25">
      <c r="A16" s="795" t="s">
        <v>372</v>
      </c>
      <c r="B16" s="463" t="s">
        <v>370</v>
      </c>
      <c r="C16" s="797" t="e">
        <f>'02_resumo US$ 4 ANOS 90%'!E58</f>
        <v>#REF!</v>
      </c>
      <c r="D16" s="464" t="e">
        <f>'02_resumo US$ 4 ANOS 90%'!F58</f>
        <v>#REF!</v>
      </c>
      <c r="E16" s="464" t="e">
        <f>'02_resumo US$ 4 ANOS 90%'!G58</f>
        <v>#REF!</v>
      </c>
      <c r="F16" s="464" t="e">
        <f>'02_resumo US$ 4 ANOS 90%'!H58</f>
        <v>#REF!</v>
      </c>
      <c r="G16" s="464" t="e">
        <f>'02_resumo US$ 4 ANOS 90%'!I58</f>
        <v>#REF!</v>
      </c>
      <c r="H16" s="464" t="e">
        <f>'02_resumo US$ 4 ANOS 90%'!J58</f>
        <v>#REF!</v>
      </c>
      <c r="I16" s="798" t="e">
        <f>SUM(D16:H16)+C16</f>
        <v>#REF!</v>
      </c>
      <c r="J16" s="148"/>
    </row>
    <row r="17" spans="1:10" ht="24.95" customHeight="1" x14ac:dyDescent="0.25">
      <c r="A17" s="796"/>
      <c r="B17" s="461" t="s">
        <v>371</v>
      </c>
      <c r="C17" s="792"/>
      <c r="D17" s="462" t="e">
        <f>C16+D16</f>
        <v>#REF!</v>
      </c>
      <c r="E17" s="462" t="e">
        <f>D17+E16</f>
        <v>#REF!</v>
      </c>
      <c r="F17" s="462" t="e">
        <f t="shared" ref="F17:H17" si="3">E17+F16</f>
        <v>#REF!</v>
      </c>
      <c r="G17" s="462" t="e">
        <f t="shared" si="3"/>
        <v>#REF!</v>
      </c>
      <c r="H17" s="462" t="e">
        <f t="shared" si="3"/>
        <v>#REF!</v>
      </c>
      <c r="I17" s="794"/>
      <c r="J17" s="148"/>
    </row>
    <row r="18" spans="1:10" x14ac:dyDescent="0.25">
      <c r="A18" s="465"/>
      <c r="B18" s="465"/>
      <c r="C18" s="465"/>
      <c r="D18" s="465"/>
      <c r="E18" s="465"/>
      <c r="F18" s="465"/>
      <c r="G18" s="465"/>
      <c r="H18" s="465"/>
      <c r="I18" s="465"/>
      <c r="J18" s="466"/>
    </row>
    <row r="19" spans="1:10" x14ac:dyDescent="0.25">
      <c r="J19" s="466"/>
    </row>
    <row r="20" spans="1:10" x14ac:dyDescent="0.25">
      <c r="J20" s="466"/>
    </row>
    <row r="21" spans="1:10" x14ac:dyDescent="0.25">
      <c r="A21" s="451"/>
      <c r="B21" s="451"/>
      <c r="C21" s="451"/>
      <c r="D21" s="451"/>
      <c r="E21" s="451"/>
      <c r="F21" s="451"/>
      <c r="G21" s="452" t="s">
        <v>367</v>
      </c>
      <c r="H21" s="452"/>
      <c r="J21" s="148"/>
    </row>
    <row r="22" spans="1:10" ht="23.25" customHeight="1" x14ac:dyDescent="0.25">
      <c r="A22" s="776" t="s">
        <v>373</v>
      </c>
      <c r="B22" s="777"/>
      <c r="C22" s="780" t="s">
        <v>379</v>
      </c>
      <c r="D22" s="782" t="s">
        <v>374</v>
      </c>
      <c r="E22" s="782"/>
      <c r="F22" s="782"/>
      <c r="G22" s="783" t="s">
        <v>119</v>
      </c>
      <c r="J22" s="148"/>
    </row>
    <row r="23" spans="1:10" ht="30" x14ac:dyDescent="0.25">
      <c r="A23" s="778"/>
      <c r="B23" s="779"/>
      <c r="C23" s="781"/>
      <c r="D23" s="456" t="s">
        <v>378</v>
      </c>
      <c r="E23" s="457">
        <v>2017</v>
      </c>
      <c r="F23" s="457">
        <v>2018</v>
      </c>
      <c r="G23" s="784"/>
      <c r="J23" s="148"/>
    </row>
    <row r="24" spans="1:10" ht="24.95" customHeight="1" x14ac:dyDescent="0.25">
      <c r="A24" s="789" t="s">
        <v>119</v>
      </c>
      <c r="B24" s="459" t="s">
        <v>370</v>
      </c>
      <c r="C24" s="791" t="e">
        <f>C26+C28</f>
        <v>#REF!</v>
      </c>
      <c r="D24" s="460">
        <f>D26+D28</f>
        <v>0</v>
      </c>
      <c r="E24" s="460" t="e">
        <f>E26+E28</f>
        <v>#REF!</v>
      </c>
      <c r="F24" s="460" t="e">
        <f>F26+F28</f>
        <v>#REF!</v>
      </c>
      <c r="G24" s="793" t="e">
        <f>G26+G28</f>
        <v>#REF!</v>
      </c>
      <c r="J24" s="148"/>
    </row>
    <row r="25" spans="1:10" ht="24.95" customHeight="1" x14ac:dyDescent="0.25">
      <c r="A25" s="790"/>
      <c r="B25" s="461" t="s">
        <v>371</v>
      </c>
      <c r="C25" s="792"/>
      <c r="D25" s="462" t="e">
        <f>C24+D24</f>
        <v>#REF!</v>
      </c>
      <c r="E25" s="462" t="e">
        <f>D25+E24</f>
        <v>#REF!</v>
      </c>
      <c r="F25" s="462" t="e">
        <f t="shared" ref="F25" si="4">E25+F24</f>
        <v>#REF!</v>
      </c>
      <c r="G25" s="794"/>
      <c r="J25" s="148"/>
    </row>
    <row r="26" spans="1:10" ht="24.95" customHeight="1" x14ac:dyDescent="0.25">
      <c r="A26" s="789" t="s">
        <v>2</v>
      </c>
      <c r="B26" s="459" t="s">
        <v>370</v>
      </c>
      <c r="C26" s="791" t="e">
        <f>'02_resumo US$ 4 ANOS 90%'!E66</f>
        <v>#REF!</v>
      </c>
      <c r="D26" s="460">
        <f>'02_resumo US$ 4 ANOS 90%'!F66</f>
        <v>0</v>
      </c>
      <c r="E26" s="460" t="e">
        <f>'02_resumo US$ 4 ANOS 90%'!G66</f>
        <v>#REF!</v>
      </c>
      <c r="F26" s="460" t="e">
        <f>'02_resumo US$ 4 ANOS 90%'!H66</f>
        <v>#REF!</v>
      </c>
      <c r="G26" s="793" t="e">
        <f>SUM(D26:F26)+C26</f>
        <v>#REF!</v>
      </c>
      <c r="J26" s="148"/>
    </row>
    <row r="27" spans="1:10" ht="24.95" customHeight="1" x14ac:dyDescent="0.25">
      <c r="A27" s="790"/>
      <c r="B27" s="461" t="s">
        <v>371</v>
      </c>
      <c r="C27" s="792"/>
      <c r="D27" s="462" t="e">
        <f>C26+D26</f>
        <v>#REF!</v>
      </c>
      <c r="E27" s="462" t="e">
        <f>D27+E26</f>
        <v>#REF!</v>
      </c>
      <c r="F27" s="462" t="e">
        <f t="shared" ref="F27" si="5">E27+F26</f>
        <v>#REF!</v>
      </c>
      <c r="G27" s="794"/>
      <c r="J27" s="148"/>
    </row>
    <row r="28" spans="1:10" ht="24.95" customHeight="1" x14ac:dyDescent="0.25">
      <c r="A28" s="795" t="s">
        <v>372</v>
      </c>
      <c r="B28" s="463" t="s">
        <v>370</v>
      </c>
      <c r="C28" s="797" t="e">
        <f>'02_resumo US$ 4 ANOS 90%'!E68</f>
        <v>#REF!</v>
      </c>
      <c r="D28" s="464">
        <f>'02_resumo US$ 4 ANOS 90%'!F68</f>
        <v>0</v>
      </c>
      <c r="E28" s="464" t="e">
        <f>'02_resumo US$ 4 ANOS 90%'!G68</f>
        <v>#REF!</v>
      </c>
      <c r="F28" s="464" t="e">
        <f>'02_resumo US$ 4 ANOS 90%'!H68</f>
        <v>#REF!</v>
      </c>
      <c r="G28" s="798" t="e">
        <f>SUM(D28:F28)+C28</f>
        <v>#REF!</v>
      </c>
      <c r="J28" s="148"/>
    </row>
    <row r="29" spans="1:10" ht="24.95" customHeight="1" x14ac:dyDescent="0.25">
      <c r="A29" s="796"/>
      <c r="B29" s="461" t="s">
        <v>371</v>
      </c>
      <c r="C29" s="792"/>
      <c r="D29" s="462" t="e">
        <f>C28+D28</f>
        <v>#REF!</v>
      </c>
      <c r="E29" s="462" t="e">
        <f>D29+E28</f>
        <v>#REF!</v>
      </c>
      <c r="F29" s="462" t="e">
        <f t="shared" ref="F29" si="6">E29+F28</f>
        <v>#REF!</v>
      </c>
      <c r="G29" s="794"/>
      <c r="J29" s="148"/>
    </row>
    <row r="30" spans="1:10" x14ac:dyDescent="0.25">
      <c r="J30" s="466"/>
    </row>
    <row r="31" spans="1:10" x14ac:dyDescent="0.25">
      <c r="A31" s="467" t="s">
        <v>375</v>
      </c>
      <c r="C31" s="468"/>
      <c r="J31" s="466"/>
    </row>
    <row r="32" spans="1:10" x14ac:dyDescent="0.25">
      <c r="A32" s="799" t="s">
        <v>376</v>
      </c>
      <c r="B32" s="799"/>
      <c r="C32" s="799"/>
      <c r="D32" s="799"/>
      <c r="E32" s="799"/>
      <c r="F32" s="799"/>
      <c r="G32" s="799"/>
      <c r="H32" s="799"/>
      <c r="I32" s="799"/>
      <c r="J32" s="799"/>
    </row>
    <row r="33" spans="10:10" x14ac:dyDescent="0.25">
      <c r="J33" s="466"/>
    </row>
    <row r="34" spans="10:10" x14ac:dyDescent="0.25">
      <c r="J34" s="466"/>
    </row>
    <row r="35" spans="10:10" x14ac:dyDescent="0.25">
      <c r="J35" s="466"/>
    </row>
  </sheetData>
  <mergeCells count="32">
    <mergeCell ref="A28:A29"/>
    <mergeCell ref="C28:C29"/>
    <mergeCell ref="G28:G29"/>
    <mergeCell ref="A32:J32"/>
    <mergeCell ref="A24:A25"/>
    <mergeCell ref="C24:C25"/>
    <mergeCell ref="G24:G25"/>
    <mergeCell ref="A26:A27"/>
    <mergeCell ref="C26:C27"/>
    <mergeCell ref="G26:G27"/>
    <mergeCell ref="A16:A17"/>
    <mergeCell ref="C16:C17"/>
    <mergeCell ref="I16:I17"/>
    <mergeCell ref="A22:B23"/>
    <mergeCell ref="C22:C23"/>
    <mergeCell ref="D22:F22"/>
    <mergeCell ref="G22:G23"/>
    <mergeCell ref="A12:A13"/>
    <mergeCell ref="C12:C13"/>
    <mergeCell ref="I12:I13"/>
    <mergeCell ref="A14:A15"/>
    <mergeCell ref="C14:C15"/>
    <mergeCell ref="I14:I15"/>
    <mergeCell ref="A10:B11"/>
    <mergeCell ref="C10:C11"/>
    <mergeCell ref="D10:H10"/>
    <mergeCell ref="I10:I11"/>
    <mergeCell ref="A1:I1"/>
    <mergeCell ref="A2:I2"/>
    <mergeCell ref="A5:I5"/>
    <mergeCell ref="A6:I6"/>
    <mergeCell ref="A7:I7"/>
  </mergeCells>
  <printOptions horizontalCentered="1"/>
  <pageMargins left="0.51181102362204722" right="0.51181102362204722" top="0.59055118110236227" bottom="0.59055118110236227" header="0.11811023622047245" footer="0.11811023622047245"/>
  <pageSetup paperSize="9" scale="7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B2:N97"/>
  <sheetViews>
    <sheetView zoomScale="80" zoomScaleNormal="80" workbookViewId="0">
      <selection activeCell="H76" sqref="H76"/>
    </sheetView>
  </sheetViews>
  <sheetFormatPr defaultRowHeight="15" x14ac:dyDescent="0.25"/>
  <cols>
    <col min="1" max="1" width="1.140625" customWidth="1"/>
    <col min="2" max="2" width="58.7109375" customWidth="1"/>
    <col min="3" max="3" width="21.85546875" customWidth="1"/>
    <col min="4" max="4" width="7.42578125" customWidth="1"/>
    <col min="5" max="5" width="20.7109375" customWidth="1"/>
    <col min="6" max="6" width="20.7109375" hidden="1" customWidth="1"/>
    <col min="7" max="11" width="20.7109375" customWidth="1"/>
    <col min="12" max="12" width="12" customWidth="1"/>
    <col min="13" max="13" width="15.28515625" customWidth="1"/>
    <col min="14" max="14" width="11.28515625" bestFit="1" customWidth="1"/>
  </cols>
  <sheetData>
    <row r="2" spans="2:13" ht="20.25" x14ac:dyDescent="0.3">
      <c r="B2" s="623" t="s">
        <v>110</v>
      </c>
      <c r="C2" s="623"/>
      <c r="D2" s="623"/>
      <c r="E2" s="623"/>
      <c r="F2" s="623"/>
      <c r="G2" s="623"/>
      <c r="H2" s="623"/>
      <c r="I2" s="623"/>
      <c r="J2" s="623"/>
      <c r="K2" s="623"/>
    </row>
    <row r="3" spans="2:13" ht="20.25" x14ac:dyDescent="0.3">
      <c r="B3" s="623" t="s">
        <v>111</v>
      </c>
      <c r="C3" s="623"/>
      <c r="D3" s="623"/>
      <c r="E3" s="623"/>
      <c r="F3" s="623"/>
      <c r="G3" s="623"/>
      <c r="H3" s="623"/>
      <c r="I3" s="623"/>
      <c r="J3" s="623"/>
      <c r="K3" s="623"/>
    </row>
    <row r="5" spans="2:13" ht="28.5" customHeight="1" thickBot="1" x14ac:dyDescent="0.35">
      <c r="H5" s="111"/>
      <c r="I5" s="111"/>
      <c r="J5" s="111"/>
      <c r="K5" s="201" t="s">
        <v>218</v>
      </c>
    </row>
    <row r="6" spans="2:13" ht="28.5" customHeight="1" thickBot="1" x14ac:dyDescent="0.3">
      <c r="B6" s="800" t="s">
        <v>146</v>
      </c>
      <c r="C6" s="801"/>
      <c r="D6" s="801"/>
      <c r="E6" s="806" t="s">
        <v>147</v>
      </c>
      <c r="F6" s="807"/>
      <c r="G6" s="807"/>
      <c r="H6" s="807"/>
      <c r="I6" s="807"/>
      <c r="J6" s="807"/>
      <c r="K6" s="808"/>
    </row>
    <row r="7" spans="2:13" ht="28.5" customHeight="1" thickBot="1" x14ac:dyDescent="0.3">
      <c r="B7" s="802"/>
      <c r="C7" s="803"/>
      <c r="D7" s="803"/>
      <c r="E7" s="809" t="s">
        <v>148</v>
      </c>
      <c r="F7" s="810"/>
      <c r="G7" s="811"/>
      <c r="H7" s="800" t="s">
        <v>149</v>
      </c>
      <c r="I7" s="801"/>
      <c r="J7" s="812"/>
      <c r="K7" s="645" t="s">
        <v>150</v>
      </c>
    </row>
    <row r="8" spans="2:13" ht="22.5" customHeight="1" x14ac:dyDescent="0.25">
      <c r="B8" s="802"/>
      <c r="C8" s="803"/>
      <c r="D8" s="803"/>
      <c r="E8" s="814">
        <v>2014</v>
      </c>
      <c r="F8" s="194" t="s">
        <v>151</v>
      </c>
      <c r="G8" s="814">
        <v>2015</v>
      </c>
      <c r="H8" s="639" t="s">
        <v>219</v>
      </c>
      <c r="I8" s="817" t="s">
        <v>152</v>
      </c>
      <c r="J8" s="645" t="s">
        <v>4</v>
      </c>
      <c r="K8" s="813"/>
    </row>
    <row r="9" spans="2:13" ht="22.5" customHeight="1" thickBot="1" x14ac:dyDescent="0.3">
      <c r="B9" s="804"/>
      <c r="C9" s="805"/>
      <c r="D9" s="805"/>
      <c r="E9" s="815"/>
      <c r="F9" s="195">
        <v>2015</v>
      </c>
      <c r="G9" s="815"/>
      <c r="H9" s="816"/>
      <c r="I9" s="818"/>
      <c r="J9" s="646"/>
      <c r="K9" s="646"/>
    </row>
    <row r="10" spans="2:13" ht="39.950000000000003" customHeight="1" thickBot="1" x14ac:dyDescent="0.3">
      <c r="B10" s="819" t="s">
        <v>85</v>
      </c>
      <c r="C10" s="820"/>
      <c r="D10" s="196"/>
      <c r="E10" s="116">
        <v>125824.19409999999</v>
      </c>
      <c r="F10" s="116">
        <v>28085.817879999999</v>
      </c>
      <c r="G10" s="116">
        <f>+E10+F10</f>
        <v>153910.01197999998</v>
      </c>
      <c r="H10" s="118">
        <v>3223.6313100000002</v>
      </c>
      <c r="I10" s="119">
        <v>1601.2019500000001</v>
      </c>
      <c r="J10" s="120">
        <f>H10+I10</f>
        <v>4824.8332600000003</v>
      </c>
      <c r="K10" s="120">
        <f>E10+F10+H10+I10</f>
        <v>158734.84523999997</v>
      </c>
      <c r="L10" s="64"/>
      <c r="M10" s="64"/>
    </row>
    <row r="11" spans="2:13" ht="24.95" hidden="1" customHeight="1" x14ac:dyDescent="0.3">
      <c r="B11" s="821" t="s">
        <v>86</v>
      </c>
      <c r="C11" s="822"/>
      <c r="D11" s="197"/>
      <c r="E11" s="122"/>
      <c r="F11" s="122"/>
      <c r="G11" s="122"/>
      <c r="H11" s="124"/>
      <c r="I11" s="125"/>
      <c r="J11" s="126"/>
      <c r="K11" s="126"/>
    </row>
    <row r="12" spans="2:13" ht="20.100000000000001" hidden="1" customHeight="1" x14ac:dyDescent="0.3">
      <c r="B12" s="127" t="s">
        <v>153</v>
      </c>
      <c r="C12" s="128" t="s">
        <v>7</v>
      </c>
      <c r="D12" s="129"/>
      <c r="E12" s="130"/>
      <c r="F12" s="130"/>
      <c r="G12" s="130"/>
      <c r="H12" s="132"/>
      <c r="I12" s="133"/>
      <c r="J12" s="134"/>
      <c r="K12" s="134"/>
    </row>
    <row r="13" spans="2:13" ht="20.100000000000001" hidden="1" customHeight="1" x14ac:dyDescent="0.3">
      <c r="B13" s="127" t="s">
        <v>154</v>
      </c>
      <c r="C13" s="128" t="s">
        <v>9</v>
      </c>
      <c r="D13" s="129"/>
      <c r="E13" s="130"/>
      <c r="F13" s="130"/>
      <c r="G13" s="130"/>
      <c r="H13" s="132"/>
      <c r="I13" s="133"/>
      <c r="J13" s="134"/>
      <c r="K13" s="134"/>
    </row>
    <row r="14" spans="2:13" ht="24.95" hidden="1" customHeight="1" x14ac:dyDescent="0.3">
      <c r="B14" s="653" t="s">
        <v>87</v>
      </c>
      <c r="C14" s="654"/>
      <c r="D14" s="197"/>
      <c r="E14" s="122"/>
      <c r="F14" s="122"/>
      <c r="G14" s="122"/>
      <c r="H14" s="124"/>
      <c r="I14" s="125"/>
      <c r="J14" s="126"/>
      <c r="K14" s="126"/>
    </row>
    <row r="15" spans="2:13" ht="24.95" hidden="1" customHeight="1" x14ac:dyDescent="0.3">
      <c r="B15" s="825" t="s">
        <v>155</v>
      </c>
      <c r="C15" s="826"/>
      <c r="D15" s="198"/>
      <c r="E15" s="136"/>
      <c r="F15" s="136"/>
      <c r="G15" s="136"/>
      <c r="H15" s="138"/>
      <c r="I15" s="139"/>
      <c r="J15" s="140"/>
      <c r="K15" s="140"/>
    </row>
    <row r="16" spans="2:13" ht="20.100000000000001" hidden="1" customHeight="1" x14ac:dyDescent="0.3">
      <c r="B16" s="127" t="s">
        <v>156</v>
      </c>
      <c r="C16" s="128" t="s">
        <v>11</v>
      </c>
      <c r="D16" s="129"/>
      <c r="E16" s="130"/>
      <c r="F16" s="130"/>
      <c r="G16" s="130"/>
      <c r="H16" s="132"/>
      <c r="I16" s="133"/>
      <c r="J16" s="134"/>
      <c r="K16" s="134"/>
    </row>
    <row r="17" spans="2:13" ht="30" hidden="1" customHeight="1" x14ac:dyDescent="0.3">
      <c r="B17" s="141" t="s">
        <v>157</v>
      </c>
      <c r="C17" s="142"/>
      <c r="D17" s="142"/>
      <c r="E17" s="143"/>
      <c r="F17" s="143"/>
      <c r="G17" s="143"/>
      <c r="H17" s="145"/>
      <c r="I17" s="146"/>
      <c r="J17" s="147"/>
      <c r="K17" s="147"/>
    </row>
    <row r="18" spans="2:13" s="148" customFormat="1" ht="20.100000000000001" hidden="1" customHeight="1" x14ac:dyDescent="0.3">
      <c r="B18" s="127" t="s">
        <v>158</v>
      </c>
      <c r="C18" s="128" t="s">
        <v>17</v>
      </c>
      <c r="D18" s="129"/>
      <c r="E18" s="130"/>
      <c r="F18" s="130"/>
      <c r="G18" s="130"/>
      <c r="H18" s="132"/>
      <c r="I18" s="133"/>
      <c r="J18" s="134"/>
      <c r="K18" s="134"/>
    </row>
    <row r="19" spans="2:13" s="148" customFormat="1" ht="20.100000000000001" hidden="1" customHeight="1" x14ac:dyDescent="0.3">
      <c r="B19" s="127" t="s">
        <v>159</v>
      </c>
      <c r="C19" s="128" t="s">
        <v>160</v>
      </c>
      <c r="D19" s="129"/>
      <c r="E19" s="130"/>
      <c r="F19" s="130"/>
      <c r="G19" s="130"/>
      <c r="H19" s="132"/>
      <c r="I19" s="133"/>
      <c r="J19" s="134"/>
      <c r="K19" s="134"/>
    </row>
    <row r="20" spans="2:13" s="148" customFormat="1" ht="20.100000000000001" hidden="1" customHeight="1" x14ac:dyDescent="0.3">
      <c r="B20" s="127" t="s">
        <v>161</v>
      </c>
      <c r="C20" s="128" t="s">
        <v>19</v>
      </c>
      <c r="D20" s="129"/>
      <c r="E20" s="130"/>
      <c r="F20" s="130"/>
      <c r="G20" s="130"/>
      <c r="H20" s="132"/>
      <c r="I20" s="133"/>
      <c r="J20" s="134"/>
      <c r="K20" s="134"/>
    </row>
    <row r="21" spans="2:13" s="148" customFormat="1" ht="20.100000000000001" hidden="1" customHeight="1" x14ac:dyDescent="0.3">
      <c r="B21" s="127" t="s">
        <v>162</v>
      </c>
      <c r="C21" s="128" t="s">
        <v>163</v>
      </c>
      <c r="D21" s="129"/>
      <c r="E21" s="130"/>
      <c r="F21" s="130"/>
      <c r="G21" s="130"/>
      <c r="H21" s="132"/>
      <c r="I21" s="133"/>
      <c r="J21" s="134"/>
      <c r="K21" s="134"/>
    </row>
    <row r="22" spans="2:13" s="148" customFormat="1" ht="20.100000000000001" hidden="1" customHeight="1" x14ac:dyDescent="0.3">
      <c r="B22" s="127" t="s">
        <v>164</v>
      </c>
      <c r="C22" s="128" t="s">
        <v>22</v>
      </c>
      <c r="D22" s="129"/>
      <c r="E22" s="130"/>
      <c r="F22" s="130"/>
      <c r="G22" s="130"/>
      <c r="H22" s="132"/>
      <c r="I22" s="133"/>
      <c r="J22" s="134"/>
      <c r="K22" s="134"/>
    </row>
    <row r="23" spans="2:13" s="148" customFormat="1" ht="20.100000000000001" hidden="1" customHeight="1" x14ac:dyDescent="0.3">
      <c r="B23" s="127" t="s">
        <v>165</v>
      </c>
      <c r="C23" s="128" t="s">
        <v>24</v>
      </c>
      <c r="D23" s="129"/>
      <c r="E23" s="130"/>
      <c r="F23" s="130"/>
      <c r="G23" s="130"/>
      <c r="H23" s="132"/>
      <c r="I23" s="133"/>
      <c r="J23" s="134"/>
      <c r="K23" s="134"/>
    </row>
    <row r="24" spans="2:13" s="148" customFormat="1" ht="20.100000000000001" hidden="1" customHeight="1" x14ac:dyDescent="0.3">
      <c r="B24" s="127" t="s">
        <v>166</v>
      </c>
      <c r="C24" s="128" t="s">
        <v>17</v>
      </c>
      <c r="D24" s="129"/>
      <c r="E24" s="130"/>
      <c r="F24" s="130"/>
      <c r="G24" s="130"/>
      <c r="H24" s="132"/>
      <c r="I24" s="133"/>
      <c r="J24" s="134"/>
      <c r="K24" s="134"/>
    </row>
    <row r="25" spans="2:13" s="148" customFormat="1" ht="20.100000000000001" hidden="1" customHeight="1" x14ac:dyDescent="0.3">
      <c r="B25" s="127" t="s">
        <v>167</v>
      </c>
      <c r="C25" s="128" t="s">
        <v>168</v>
      </c>
      <c r="D25" s="129"/>
      <c r="E25" s="130"/>
      <c r="F25" s="130"/>
      <c r="G25" s="130"/>
      <c r="H25" s="132"/>
      <c r="I25" s="133"/>
      <c r="J25" s="134"/>
      <c r="K25" s="134"/>
    </row>
    <row r="26" spans="2:13" s="148" customFormat="1" ht="31.5" hidden="1" customHeight="1" x14ac:dyDescent="0.3">
      <c r="B26" s="127" t="s">
        <v>169</v>
      </c>
      <c r="C26" s="149" t="s">
        <v>170</v>
      </c>
      <c r="D26" s="150"/>
      <c r="E26" s="151"/>
      <c r="F26" s="151"/>
      <c r="G26" s="151"/>
      <c r="H26" s="153"/>
      <c r="I26" s="154"/>
      <c r="J26" s="155"/>
      <c r="K26" s="155"/>
    </row>
    <row r="27" spans="2:13" s="148" customFormat="1" ht="20.100000000000001" hidden="1" customHeight="1" x14ac:dyDescent="0.3">
      <c r="B27" s="127" t="s">
        <v>171</v>
      </c>
      <c r="C27" s="128" t="s">
        <v>15</v>
      </c>
      <c r="D27" s="129"/>
      <c r="E27" s="130"/>
      <c r="F27" s="130"/>
      <c r="G27" s="130"/>
      <c r="H27" s="132"/>
      <c r="I27" s="133"/>
      <c r="J27" s="134"/>
      <c r="K27" s="134"/>
    </row>
    <row r="28" spans="2:13" s="148" customFormat="1" ht="30" hidden="1" customHeight="1" x14ac:dyDescent="0.3">
      <c r="B28" s="127" t="s">
        <v>172</v>
      </c>
      <c r="C28" s="128" t="s">
        <v>24</v>
      </c>
      <c r="D28" s="129"/>
      <c r="E28" s="130"/>
      <c r="F28" s="130"/>
      <c r="G28" s="130"/>
      <c r="H28" s="132"/>
      <c r="I28" s="133"/>
      <c r="J28" s="134"/>
      <c r="K28" s="134"/>
    </row>
    <row r="29" spans="2:13" s="148" customFormat="1" ht="20.100000000000001" hidden="1" customHeight="1" x14ac:dyDescent="0.3">
      <c r="B29" s="127" t="s">
        <v>173</v>
      </c>
      <c r="C29" s="128" t="s">
        <v>24</v>
      </c>
      <c r="D29" s="129"/>
      <c r="E29" s="130"/>
      <c r="F29" s="130"/>
      <c r="G29" s="130"/>
      <c r="H29" s="132"/>
      <c r="I29" s="133"/>
      <c r="J29" s="134"/>
      <c r="K29" s="134"/>
    </row>
    <row r="30" spans="2:13" ht="39.950000000000003" customHeight="1" x14ac:dyDescent="0.25">
      <c r="B30" s="819" t="s">
        <v>88</v>
      </c>
      <c r="C30" s="820"/>
      <c r="D30" s="196"/>
      <c r="E30" s="116">
        <f>E31+E53</f>
        <v>999608.68316973012</v>
      </c>
      <c r="F30" s="116">
        <f>F31+F53</f>
        <v>258953.74054099998</v>
      </c>
      <c r="G30" s="116">
        <f t="shared" ref="G30:G68" si="0">+E30+F30</f>
        <v>1258562.4237107302</v>
      </c>
      <c r="H30" s="118">
        <f>H31+H53</f>
        <v>59764.616549999999</v>
      </c>
      <c r="I30" s="119">
        <f>I31+I53</f>
        <v>84448.300190000009</v>
      </c>
      <c r="J30" s="120">
        <f t="shared" ref="J30:J68" si="1">H30+I30</f>
        <v>144212.91674000002</v>
      </c>
      <c r="K30" s="120">
        <f t="shared" ref="K30:K68" si="2">E30+F30+H30+I30</f>
        <v>1402775.3404507302</v>
      </c>
      <c r="L30" s="64"/>
      <c r="M30" s="64"/>
    </row>
    <row r="31" spans="2:13" s="114" customFormat="1" ht="24.95" customHeight="1" x14ac:dyDescent="0.25">
      <c r="B31" s="821" t="s">
        <v>89</v>
      </c>
      <c r="C31" s="822"/>
      <c r="D31" s="197"/>
      <c r="E31" s="122">
        <f>E32+E42+E49</f>
        <v>988203.24911973008</v>
      </c>
      <c r="F31" s="122">
        <f>F32+F42+F49</f>
        <v>258850.35827099998</v>
      </c>
      <c r="G31" s="122">
        <f t="shared" si="0"/>
        <v>1247053.6073907302</v>
      </c>
      <c r="H31" s="124">
        <f>+H32+H42+H49</f>
        <v>59454.46974</v>
      </c>
      <c r="I31" s="125">
        <f>+I32+I42+I49</f>
        <v>84290.800190000009</v>
      </c>
      <c r="J31" s="126">
        <f t="shared" si="1"/>
        <v>143745.26993000001</v>
      </c>
      <c r="K31" s="126">
        <f t="shared" si="2"/>
        <v>1390798.8773207304</v>
      </c>
      <c r="L31" s="64"/>
      <c r="M31" s="64"/>
    </row>
    <row r="32" spans="2:13" ht="24.95" customHeight="1" x14ac:dyDescent="0.25">
      <c r="B32" s="141" t="s">
        <v>174</v>
      </c>
      <c r="C32" s="142"/>
      <c r="D32" s="142"/>
      <c r="E32" s="156">
        <v>561430.99360402033</v>
      </c>
      <c r="F32" s="156">
        <v>159310.00356099999</v>
      </c>
      <c r="G32" s="156">
        <f t="shared" si="0"/>
        <v>720740.99716502032</v>
      </c>
      <c r="H32" s="158">
        <v>36864.767240000001</v>
      </c>
      <c r="I32" s="146">
        <f>29862.0055138471-4615.60846</f>
        <v>25246.3970538471</v>
      </c>
      <c r="J32" s="147">
        <f t="shared" si="1"/>
        <v>62111.164293847105</v>
      </c>
      <c r="K32" s="159">
        <f t="shared" si="2"/>
        <v>782852.16145886737</v>
      </c>
      <c r="L32" s="64"/>
      <c r="M32" s="64">
        <v>4615.6084600000004</v>
      </c>
    </row>
    <row r="33" spans="2:13" s="148" customFormat="1" ht="20.100000000000001" hidden="1" customHeight="1" x14ac:dyDescent="0.25">
      <c r="B33" s="127" t="s">
        <v>175</v>
      </c>
      <c r="C33" s="128" t="s">
        <v>176</v>
      </c>
      <c r="D33" s="129"/>
      <c r="E33" s="130">
        <v>0</v>
      </c>
      <c r="F33" s="130">
        <v>0</v>
      </c>
      <c r="G33" s="130">
        <f t="shared" si="0"/>
        <v>0</v>
      </c>
      <c r="H33" s="132" t="e">
        <f>((#REF!-#REF!)/1000)/1000</f>
        <v>#REF!</v>
      </c>
      <c r="I33" s="133"/>
      <c r="J33" s="134" t="e">
        <f t="shared" si="1"/>
        <v>#REF!</v>
      </c>
      <c r="K33" s="134" t="e">
        <f t="shared" si="2"/>
        <v>#REF!</v>
      </c>
      <c r="L33" s="64"/>
      <c r="M33" s="64"/>
    </row>
    <row r="34" spans="2:13" s="148" customFormat="1" ht="20.100000000000001" hidden="1" customHeight="1" x14ac:dyDescent="0.25">
      <c r="B34" s="127" t="s">
        <v>177</v>
      </c>
      <c r="C34" s="128" t="s">
        <v>178</v>
      </c>
      <c r="D34" s="129"/>
      <c r="E34" s="130">
        <v>0</v>
      </c>
      <c r="F34" s="130">
        <v>0</v>
      </c>
      <c r="G34" s="130">
        <f t="shared" si="0"/>
        <v>0</v>
      </c>
      <c r="H34" s="132" t="e">
        <f>((#REF!-#REF!)/1000)/1000</f>
        <v>#REF!</v>
      </c>
      <c r="I34" s="133"/>
      <c r="J34" s="134" t="e">
        <f t="shared" si="1"/>
        <v>#REF!</v>
      </c>
      <c r="K34" s="134" t="e">
        <f t="shared" si="2"/>
        <v>#REF!</v>
      </c>
      <c r="L34" s="64"/>
      <c r="M34" s="64"/>
    </row>
    <row r="35" spans="2:13" s="148" customFormat="1" ht="20.100000000000001" hidden="1" customHeight="1" x14ac:dyDescent="0.25">
      <c r="B35" s="127" t="s">
        <v>179</v>
      </c>
      <c r="C35" s="128" t="s">
        <v>180</v>
      </c>
      <c r="D35" s="129"/>
      <c r="E35" s="130">
        <v>0</v>
      </c>
      <c r="F35" s="130">
        <v>0</v>
      </c>
      <c r="G35" s="130">
        <f t="shared" si="0"/>
        <v>0</v>
      </c>
      <c r="H35" s="132" t="e">
        <f>((#REF!-#REF!)/1000)/1000</f>
        <v>#REF!</v>
      </c>
      <c r="I35" s="133"/>
      <c r="J35" s="134" t="e">
        <f t="shared" si="1"/>
        <v>#REF!</v>
      </c>
      <c r="K35" s="134" t="e">
        <f t="shared" si="2"/>
        <v>#REF!</v>
      </c>
      <c r="L35" s="64"/>
      <c r="M35" s="64"/>
    </row>
    <row r="36" spans="2:13" s="148" customFormat="1" ht="20.100000000000001" hidden="1" customHeight="1" x14ac:dyDescent="0.25">
      <c r="B36" s="127" t="s">
        <v>181</v>
      </c>
      <c r="C36" s="128" t="s">
        <v>182</v>
      </c>
      <c r="D36" s="129"/>
      <c r="E36" s="130">
        <v>0</v>
      </c>
      <c r="F36" s="130">
        <v>0</v>
      </c>
      <c r="G36" s="130">
        <f t="shared" si="0"/>
        <v>0</v>
      </c>
      <c r="H36" s="132" t="e">
        <f>((#REF!-#REF!)/1000)/1000</f>
        <v>#REF!</v>
      </c>
      <c r="I36" s="133"/>
      <c r="J36" s="134" t="e">
        <f t="shared" si="1"/>
        <v>#REF!</v>
      </c>
      <c r="K36" s="134" t="e">
        <f t="shared" si="2"/>
        <v>#REF!</v>
      </c>
      <c r="L36" s="64"/>
      <c r="M36" s="64"/>
    </row>
    <row r="37" spans="2:13" s="148" customFormat="1" ht="20.100000000000001" hidden="1" customHeight="1" x14ac:dyDescent="0.25">
      <c r="B37" s="127" t="s">
        <v>183</v>
      </c>
      <c r="C37" s="128" t="s">
        <v>182</v>
      </c>
      <c r="D37" s="129"/>
      <c r="E37" s="130">
        <v>0</v>
      </c>
      <c r="F37" s="130">
        <v>0</v>
      </c>
      <c r="G37" s="130">
        <f t="shared" si="0"/>
        <v>0</v>
      </c>
      <c r="H37" s="132" t="e">
        <f>((#REF!-#REF!)/1000)/1000</f>
        <v>#REF!</v>
      </c>
      <c r="I37" s="133"/>
      <c r="J37" s="134" t="e">
        <f t="shared" si="1"/>
        <v>#REF!</v>
      </c>
      <c r="K37" s="134" t="e">
        <f t="shared" si="2"/>
        <v>#REF!</v>
      </c>
      <c r="L37" s="64"/>
      <c r="M37" s="64"/>
    </row>
    <row r="38" spans="2:13" s="148" customFormat="1" ht="20.100000000000001" hidden="1" customHeight="1" x14ac:dyDescent="0.25">
      <c r="B38" s="127" t="s">
        <v>184</v>
      </c>
      <c r="C38" s="128" t="s">
        <v>46</v>
      </c>
      <c r="D38" s="129"/>
      <c r="E38" s="130">
        <v>0</v>
      </c>
      <c r="F38" s="130">
        <v>0</v>
      </c>
      <c r="G38" s="130">
        <f t="shared" si="0"/>
        <v>0</v>
      </c>
      <c r="H38" s="132" t="e">
        <f>((#REF!-#REF!)/1000)/1000</f>
        <v>#REF!</v>
      </c>
      <c r="I38" s="133"/>
      <c r="J38" s="134" t="e">
        <f t="shared" si="1"/>
        <v>#REF!</v>
      </c>
      <c r="K38" s="134" t="e">
        <f t="shared" si="2"/>
        <v>#REF!</v>
      </c>
      <c r="L38" s="64"/>
      <c r="M38" s="64"/>
    </row>
    <row r="39" spans="2:13" s="148" customFormat="1" ht="20.100000000000001" hidden="1" customHeight="1" x14ac:dyDescent="0.25">
      <c r="B39" s="127" t="s">
        <v>185</v>
      </c>
      <c r="C39" s="128" t="s">
        <v>186</v>
      </c>
      <c r="D39" s="129"/>
      <c r="E39" s="130">
        <v>0</v>
      </c>
      <c r="F39" s="130">
        <v>0</v>
      </c>
      <c r="G39" s="130">
        <f t="shared" si="0"/>
        <v>0</v>
      </c>
      <c r="H39" s="132" t="e">
        <f>((#REF!-#REF!)/1000)/1000</f>
        <v>#REF!</v>
      </c>
      <c r="I39" s="133"/>
      <c r="J39" s="134" t="e">
        <f t="shared" si="1"/>
        <v>#REF!</v>
      </c>
      <c r="K39" s="134" t="e">
        <f t="shared" si="2"/>
        <v>#REF!</v>
      </c>
      <c r="L39" s="64"/>
      <c r="M39" s="64"/>
    </row>
    <row r="40" spans="2:13" s="148" customFormat="1" ht="20.100000000000001" hidden="1" customHeight="1" x14ac:dyDescent="0.25">
      <c r="B40" s="127" t="s">
        <v>187</v>
      </c>
      <c r="C40" s="128" t="s">
        <v>188</v>
      </c>
      <c r="D40" s="129"/>
      <c r="E40" s="130">
        <v>0</v>
      </c>
      <c r="F40" s="130">
        <v>0</v>
      </c>
      <c r="G40" s="130">
        <f t="shared" si="0"/>
        <v>0</v>
      </c>
      <c r="H40" s="132" t="e">
        <f>((#REF!-#REF!)/1000)/1000</f>
        <v>#REF!</v>
      </c>
      <c r="I40" s="133"/>
      <c r="J40" s="134" t="e">
        <f t="shared" si="1"/>
        <v>#REF!</v>
      </c>
      <c r="K40" s="134" t="e">
        <f t="shared" si="2"/>
        <v>#REF!</v>
      </c>
      <c r="L40" s="64"/>
      <c r="M40" s="64"/>
    </row>
    <row r="41" spans="2:13" s="148" customFormat="1" ht="20.100000000000001" hidden="1" customHeight="1" x14ac:dyDescent="0.25">
      <c r="B41" s="127" t="s">
        <v>189</v>
      </c>
      <c r="C41" s="128" t="s">
        <v>38</v>
      </c>
      <c r="D41" s="129"/>
      <c r="E41" s="130">
        <v>0</v>
      </c>
      <c r="F41" s="130">
        <v>0</v>
      </c>
      <c r="G41" s="130">
        <f t="shared" si="0"/>
        <v>0</v>
      </c>
      <c r="H41" s="132" t="e">
        <f>((#REF!-#REF!)/1000)/1000</f>
        <v>#REF!</v>
      </c>
      <c r="I41" s="133"/>
      <c r="J41" s="134" t="e">
        <f t="shared" si="1"/>
        <v>#REF!</v>
      </c>
      <c r="K41" s="134" t="e">
        <f t="shared" si="2"/>
        <v>#REF!</v>
      </c>
      <c r="L41" s="64"/>
      <c r="M41" s="64"/>
    </row>
    <row r="42" spans="2:13" ht="24.95" customHeight="1" x14ac:dyDescent="0.25">
      <c r="B42" s="141" t="s">
        <v>190</v>
      </c>
      <c r="C42" s="142"/>
      <c r="D42" s="142"/>
      <c r="E42" s="143">
        <v>201343.82673570976</v>
      </c>
      <c r="F42" s="143">
        <v>17455.891039999999</v>
      </c>
      <c r="G42" s="143">
        <f t="shared" si="0"/>
        <v>218799.71777570975</v>
      </c>
      <c r="H42" s="145">
        <v>333.99523999999997</v>
      </c>
      <c r="I42" s="146">
        <v>1200</v>
      </c>
      <c r="J42" s="147">
        <f t="shared" si="1"/>
        <v>1533.99524</v>
      </c>
      <c r="K42" s="147">
        <f t="shared" si="2"/>
        <v>220333.71301570974</v>
      </c>
      <c r="L42" s="64"/>
      <c r="M42" s="64"/>
    </row>
    <row r="43" spans="2:13" s="148" customFormat="1" ht="20.100000000000001" hidden="1" customHeight="1" x14ac:dyDescent="0.25">
      <c r="B43" s="127" t="s">
        <v>191</v>
      </c>
      <c r="C43" s="128" t="s">
        <v>192</v>
      </c>
      <c r="D43" s="129"/>
      <c r="E43" s="130">
        <v>0</v>
      </c>
      <c r="F43" s="130">
        <v>0</v>
      </c>
      <c r="G43" s="130">
        <f t="shared" si="0"/>
        <v>0</v>
      </c>
      <c r="H43" s="132" t="e">
        <f>((#REF!-#REF!)/1000)/1000</f>
        <v>#REF!</v>
      </c>
      <c r="I43" s="133"/>
      <c r="J43" s="134" t="e">
        <f t="shared" si="1"/>
        <v>#REF!</v>
      </c>
      <c r="K43" s="134" t="e">
        <f t="shared" si="2"/>
        <v>#REF!</v>
      </c>
      <c r="L43" s="64"/>
      <c r="M43" s="64"/>
    </row>
    <row r="44" spans="2:13" s="148" customFormat="1" ht="20.100000000000001" hidden="1" customHeight="1" x14ac:dyDescent="0.25">
      <c r="B44" s="127" t="s">
        <v>193</v>
      </c>
      <c r="C44" s="128" t="s">
        <v>194</v>
      </c>
      <c r="D44" s="129"/>
      <c r="E44" s="130">
        <v>0</v>
      </c>
      <c r="F44" s="130">
        <v>0</v>
      </c>
      <c r="G44" s="130">
        <f t="shared" si="0"/>
        <v>0</v>
      </c>
      <c r="H44" s="132" t="e">
        <f>((#REF!-#REF!)/1000)/1000</f>
        <v>#REF!</v>
      </c>
      <c r="I44" s="133"/>
      <c r="J44" s="134" t="e">
        <f t="shared" si="1"/>
        <v>#REF!</v>
      </c>
      <c r="K44" s="134" t="e">
        <f t="shared" si="2"/>
        <v>#REF!</v>
      </c>
      <c r="L44" s="64"/>
      <c r="M44" s="64"/>
    </row>
    <row r="45" spans="2:13" s="148" customFormat="1" ht="20.100000000000001" hidden="1" customHeight="1" x14ac:dyDescent="0.25">
      <c r="B45" s="127" t="s">
        <v>195</v>
      </c>
      <c r="C45" s="128" t="s">
        <v>194</v>
      </c>
      <c r="D45" s="129"/>
      <c r="E45" s="130">
        <v>0</v>
      </c>
      <c r="F45" s="130">
        <v>0</v>
      </c>
      <c r="G45" s="130">
        <f t="shared" si="0"/>
        <v>0</v>
      </c>
      <c r="H45" s="132" t="e">
        <f>((#REF!-#REF!)/1000)/1000</f>
        <v>#REF!</v>
      </c>
      <c r="I45" s="133"/>
      <c r="J45" s="134" t="e">
        <f t="shared" si="1"/>
        <v>#REF!</v>
      </c>
      <c r="K45" s="134" t="e">
        <f t="shared" si="2"/>
        <v>#REF!</v>
      </c>
      <c r="L45" s="64"/>
      <c r="M45" s="64"/>
    </row>
    <row r="46" spans="2:13" s="148" customFormat="1" ht="20.100000000000001" hidden="1" customHeight="1" x14ac:dyDescent="0.25">
      <c r="B46" s="127" t="s">
        <v>196</v>
      </c>
      <c r="C46" s="128" t="s">
        <v>194</v>
      </c>
      <c r="D46" s="129"/>
      <c r="E46" s="130">
        <v>0</v>
      </c>
      <c r="F46" s="130">
        <v>0</v>
      </c>
      <c r="G46" s="130">
        <f t="shared" si="0"/>
        <v>0</v>
      </c>
      <c r="H46" s="132" t="e">
        <f>((#REF!-#REF!)/1000)/1000</f>
        <v>#REF!</v>
      </c>
      <c r="I46" s="133"/>
      <c r="J46" s="134" t="e">
        <f t="shared" si="1"/>
        <v>#REF!</v>
      </c>
      <c r="K46" s="134" t="e">
        <f t="shared" si="2"/>
        <v>#REF!</v>
      </c>
      <c r="L46" s="64"/>
      <c r="M46" s="64"/>
    </row>
    <row r="47" spans="2:13" s="148" customFormat="1" ht="20.100000000000001" hidden="1" customHeight="1" x14ac:dyDescent="0.25">
      <c r="B47" s="127" t="s">
        <v>197</v>
      </c>
      <c r="C47" s="128" t="s">
        <v>58</v>
      </c>
      <c r="D47" s="129"/>
      <c r="E47" s="130">
        <v>0</v>
      </c>
      <c r="F47" s="130">
        <v>0</v>
      </c>
      <c r="G47" s="130">
        <f t="shared" si="0"/>
        <v>0</v>
      </c>
      <c r="H47" s="132" t="e">
        <f>((#REF!-#REF!)/1000)/1000</f>
        <v>#REF!</v>
      </c>
      <c r="I47" s="133"/>
      <c r="J47" s="134" t="e">
        <f t="shared" si="1"/>
        <v>#REF!</v>
      </c>
      <c r="K47" s="134" t="e">
        <f t="shared" si="2"/>
        <v>#REF!</v>
      </c>
      <c r="L47" s="64"/>
      <c r="M47" s="64"/>
    </row>
    <row r="48" spans="2:13" s="148" customFormat="1" ht="29.25" hidden="1" customHeight="1" x14ac:dyDescent="0.25">
      <c r="B48" s="127" t="s">
        <v>198</v>
      </c>
      <c r="C48" s="128" t="s">
        <v>82</v>
      </c>
      <c r="D48" s="129"/>
      <c r="E48" s="130">
        <v>0</v>
      </c>
      <c r="F48" s="130">
        <v>0</v>
      </c>
      <c r="G48" s="130">
        <f t="shared" si="0"/>
        <v>0</v>
      </c>
      <c r="H48" s="132" t="e">
        <f>((#REF!-#REF!)/1000)/1000</f>
        <v>#REF!</v>
      </c>
      <c r="I48" s="133"/>
      <c r="J48" s="134" t="e">
        <f t="shared" si="1"/>
        <v>#REF!</v>
      </c>
      <c r="K48" s="134" t="e">
        <f t="shared" si="2"/>
        <v>#REF!</v>
      </c>
      <c r="L48" s="64"/>
      <c r="M48" s="64"/>
    </row>
    <row r="49" spans="2:13" ht="24.95" customHeight="1" x14ac:dyDescent="0.25">
      <c r="B49" s="141" t="s">
        <v>199</v>
      </c>
      <c r="C49" s="142"/>
      <c r="D49" s="142"/>
      <c r="E49" s="143">
        <v>225428.42877999996</v>
      </c>
      <c r="F49" s="143">
        <v>82084.463669999983</v>
      </c>
      <c r="G49" s="143">
        <f t="shared" si="0"/>
        <v>307512.89244999993</v>
      </c>
      <c r="H49" s="145">
        <v>22255.707259999999</v>
      </c>
      <c r="I49" s="146">
        <f>61086.5122861529-3242.10915</f>
        <v>57844.403136152905</v>
      </c>
      <c r="J49" s="147">
        <f t="shared" si="1"/>
        <v>80100.110396152901</v>
      </c>
      <c r="K49" s="147">
        <f t="shared" si="2"/>
        <v>387613.00284615281</v>
      </c>
      <c r="L49" s="64"/>
      <c r="M49" s="64">
        <v>3242.1091500000002</v>
      </c>
    </row>
    <row r="50" spans="2:13" s="148" customFormat="1" ht="20.100000000000001" hidden="1" customHeight="1" x14ac:dyDescent="0.25">
      <c r="B50" s="127" t="s">
        <v>200</v>
      </c>
      <c r="C50" s="128" t="s">
        <v>182</v>
      </c>
      <c r="D50" s="129"/>
      <c r="E50" s="130">
        <v>0</v>
      </c>
      <c r="F50" s="130">
        <v>0</v>
      </c>
      <c r="G50" s="130">
        <f t="shared" si="0"/>
        <v>0</v>
      </c>
      <c r="H50" s="132" t="e">
        <f>((#REF!-#REF!)/1000)/1000</f>
        <v>#REF!</v>
      </c>
      <c r="I50" s="133"/>
      <c r="J50" s="134" t="e">
        <f t="shared" si="1"/>
        <v>#REF!</v>
      </c>
      <c r="K50" s="134" t="e">
        <f t="shared" si="2"/>
        <v>#REF!</v>
      </c>
      <c r="L50" s="64"/>
      <c r="M50" s="64"/>
    </row>
    <row r="51" spans="2:13" s="148" customFormat="1" ht="20.100000000000001" hidden="1" customHeight="1" x14ac:dyDescent="0.25">
      <c r="B51" s="127" t="s">
        <v>201</v>
      </c>
      <c r="C51" s="128" t="s">
        <v>202</v>
      </c>
      <c r="D51" s="129"/>
      <c r="E51" s="130">
        <v>0</v>
      </c>
      <c r="F51" s="130">
        <v>0</v>
      </c>
      <c r="G51" s="130">
        <f t="shared" si="0"/>
        <v>0</v>
      </c>
      <c r="H51" s="132" t="e">
        <f>((#REF!-#REF!)/1000)/1000</f>
        <v>#REF!</v>
      </c>
      <c r="I51" s="133"/>
      <c r="J51" s="134" t="e">
        <f t="shared" si="1"/>
        <v>#REF!</v>
      </c>
      <c r="K51" s="134" t="e">
        <f t="shared" si="2"/>
        <v>#REF!</v>
      </c>
      <c r="L51" s="64"/>
      <c r="M51" s="64"/>
    </row>
    <row r="52" spans="2:13" s="148" customFormat="1" ht="20.100000000000001" hidden="1" customHeight="1" x14ac:dyDescent="0.25">
      <c r="B52" s="127" t="s">
        <v>203</v>
      </c>
      <c r="C52" s="128" t="s">
        <v>204</v>
      </c>
      <c r="D52" s="129"/>
      <c r="E52" s="130">
        <v>0</v>
      </c>
      <c r="F52" s="130">
        <v>0</v>
      </c>
      <c r="G52" s="130">
        <f t="shared" si="0"/>
        <v>0</v>
      </c>
      <c r="H52" s="132" t="e">
        <f>((#REF!-#REF!)/1000)/1000</f>
        <v>#REF!</v>
      </c>
      <c r="I52" s="133"/>
      <c r="J52" s="134" t="e">
        <f t="shared" si="1"/>
        <v>#REF!</v>
      </c>
      <c r="K52" s="134" t="e">
        <f t="shared" si="2"/>
        <v>#REF!</v>
      </c>
      <c r="L52" s="64"/>
      <c r="M52" s="64"/>
    </row>
    <row r="53" spans="2:13" ht="24.95" customHeight="1" thickBot="1" x14ac:dyDescent="0.3">
      <c r="B53" s="821" t="s">
        <v>90</v>
      </c>
      <c r="C53" s="822"/>
      <c r="D53" s="197"/>
      <c r="E53" s="122">
        <v>11405.43405</v>
      </c>
      <c r="F53" s="122">
        <v>103.38227000000001</v>
      </c>
      <c r="G53" s="122">
        <f t="shared" si="0"/>
        <v>11508.81632</v>
      </c>
      <c r="H53" s="124">
        <v>310.14681000000002</v>
      </c>
      <c r="I53" s="125">
        <v>157.5</v>
      </c>
      <c r="J53" s="126">
        <f t="shared" si="1"/>
        <v>467.64681000000002</v>
      </c>
      <c r="K53" s="126">
        <f t="shared" si="2"/>
        <v>11976.46313</v>
      </c>
      <c r="L53" s="64"/>
      <c r="M53" s="64"/>
    </row>
    <row r="54" spans="2:13" s="148" customFormat="1" ht="24.95" hidden="1" customHeight="1" x14ac:dyDescent="0.3">
      <c r="B54" s="141" t="s">
        <v>205</v>
      </c>
      <c r="C54" s="142"/>
      <c r="D54" s="142"/>
      <c r="E54" s="143"/>
      <c r="F54" s="143"/>
      <c r="G54" s="143">
        <f t="shared" si="0"/>
        <v>0</v>
      </c>
      <c r="H54" s="145"/>
      <c r="I54" s="146"/>
      <c r="J54" s="147">
        <f t="shared" si="1"/>
        <v>0</v>
      </c>
      <c r="K54" s="147">
        <f t="shared" si="2"/>
        <v>0</v>
      </c>
      <c r="L54" s="64"/>
      <c r="M54" s="64"/>
    </row>
    <row r="55" spans="2:13" s="148" customFormat="1" ht="20.100000000000001" hidden="1" customHeight="1" x14ac:dyDescent="0.3">
      <c r="B55" s="127" t="s">
        <v>206</v>
      </c>
      <c r="C55" s="128" t="s">
        <v>70</v>
      </c>
      <c r="D55" s="129"/>
      <c r="E55" s="130"/>
      <c r="F55" s="130"/>
      <c r="G55" s="130">
        <f t="shared" si="0"/>
        <v>0</v>
      </c>
      <c r="H55" s="132"/>
      <c r="I55" s="133"/>
      <c r="J55" s="134">
        <f t="shared" si="1"/>
        <v>0</v>
      </c>
      <c r="K55" s="134">
        <f t="shared" si="2"/>
        <v>0</v>
      </c>
      <c r="L55" s="64"/>
      <c r="M55" s="64"/>
    </row>
    <row r="56" spans="2:13" s="148" customFormat="1" ht="30" hidden="1" customHeight="1" x14ac:dyDescent="0.3">
      <c r="B56" s="141" t="s">
        <v>207</v>
      </c>
      <c r="C56" s="142"/>
      <c r="D56" s="142"/>
      <c r="E56" s="143"/>
      <c r="F56" s="143"/>
      <c r="G56" s="143">
        <f t="shared" si="0"/>
        <v>0</v>
      </c>
      <c r="H56" s="145"/>
      <c r="I56" s="146"/>
      <c r="J56" s="147">
        <f t="shared" si="1"/>
        <v>0</v>
      </c>
      <c r="K56" s="147">
        <f t="shared" si="2"/>
        <v>0</v>
      </c>
      <c r="L56" s="64"/>
      <c r="M56" s="64"/>
    </row>
    <row r="57" spans="2:13" s="148" customFormat="1" ht="36.75" hidden="1" customHeight="1" x14ac:dyDescent="0.3">
      <c r="B57" s="127" t="s">
        <v>208</v>
      </c>
      <c r="C57" s="128" t="s">
        <v>73</v>
      </c>
      <c r="D57" s="129"/>
      <c r="E57" s="130"/>
      <c r="F57" s="130"/>
      <c r="G57" s="130">
        <f t="shared" si="0"/>
        <v>0</v>
      </c>
      <c r="H57" s="132"/>
      <c r="I57" s="133"/>
      <c r="J57" s="134">
        <f t="shared" si="1"/>
        <v>0</v>
      </c>
      <c r="K57" s="134">
        <f t="shared" si="2"/>
        <v>0</v>
      </c>
      <c r="L57" s="64"/>
      <c r="M57" s="64"/>
    </row>
    <row r="58" spans="2:13" s="148" customFormat="1" ht="30.75" hidden="1" customHeight="1" x14ac:dyDescent="0.3">
      <c r="B58" s="127" t="s">
        <v>209</v>
      </c>
      <c r="C58" s="128" t="s">
        <v>75</v>
      </c>
      <c r="D58" s="160"/>
      <c r="E58" s="827"/>
      <c r="F58" s="827"/>
      <c r="G58" s="827">
        <f t="shared" si="0"/>
        <v>0</v>
      </c>
      <c r="H58" s="828"/>
      <c r="I58" s="830"/>
      <c r="J58" s="823">
        <f t="shared" si="1"/>
        <v>0</v>
      </c>
      <c r="K58" s="823">
        <f t="shared" si="2"/>
        <v>0</v>
      </c>
      <c r="L58" s="64"/>
      <c r="M58" s="64"/>
    </row>
    <row r="59" spans="2:13" s="148" customFormat="1" ht="27" hidden="1" customHeight="1" x14ac:dyDescent="0.3">
      <c r="B59" s="127" t="s">
        <v>210</v>
      </c>
      <c r="C59" s="128" t="s">
        <v>77</v>
      </c>
      <c r="D59" s="161"/>
      <c r="E59" s="691"/>
      <c r="F59" s="691"/>
      <c r="G59" s="691">
        <f t="shared" si="0"/>
        <v>0</v>
      </c>
      <c r="H59" s="829"/>
      <c r="I59" s="831"/>
      <c r="J59" s="824">
        <f t="shared" si="1"/>
        <v>0</v>
      </c>
      <c r="K59" s="824">
        <f t="shared" si="2"/>
        <v>0</v>
      </c>
      <c r="L59" s="64"/>
      <c r="M59" s="64"/>
    </row>
    <row r="60" spans="2:13" s="148" customFormat="1" ht="39.950000000000003" customHeight="1" thickBot="1" x14ac:dyDescent="0.3">
      <c r="B60" s="819" t="s">
        <v>211</v>
      </c>
      <c r="C60" s="820"/>
      <c r="D60" s="196"/>
      <c r="E60" s="162">
        <v>1430.7641000000001</v>
      </c>
      <c r="F60" s="162">
        <v>375.55015999999995</v>
      </c>
      <c r="G60" s="162">
        <f t="shared" si="0"/>
        <v>1806.3142600000001</v>
      </c>
      <c r="H60" s="118">
        <v>0</v>
      </c>
      <c r="I60" s="119">
        <v>393.75</v>
      </c>
      <c r="J60" s="120">
        <f t="shared" si="1"/>
        <v>393.75</v>
      </c>
      <c r="K60" s="120">
        <f t="shared" si="2"/>
        <v>2200.0642600000001</v>
      </c>
      <c r="L60" s="64"/>
      <c r="M60" s="64"/>
    </row>
    <row r="61" spans="2:13" s="148" customFormat="1" ht="24.95" hidden="1" customHeight="1" x14ac:dyDescent="0.3">
      <c r="B61" s="821" t="s">
        <v>93</v>
      </c>
      <c r="C61" s="822"/>
      <c r="D61" s="197"/>
      <c r="E61" s="122">
        <v>0</v>
      </c>
      <c r="F61" s="122">
        <v>0</v>
      </c>
      <c r="G61" s="122">
        <f t="shared" si="0"/>
        <v>0</v>
      </c>
      <c r="H61" s="124"/>
      <c r="I61" s="125"/>
      <c r="J61" s="126">
        <f t="shared" si="1"/>
        <v>0</v>
      </c>
      <c r="K61" s="126">
        <f t="shared" si="2"/>
        <v>0</v>
      </c>
      <c r="L61" s="64"/>
      <c r="M61" s="64"/>
    </row>
    <row r="62" spans="2:13" s="148" customFormat="1" ht="24.95" hidden="1" customHeight="1" x14ac:dyDescent="0.3">
      <c r="B62" s="141" t="s">
        <v>212</v>
      </c>
      <c r="C62" s="142"/>
      <c r="D62" s="142"/>
      <c r="E62" s="143">
        <v>0</v>
      </c>
      <c r="F62" s="143">
        <v>0</v>
      </c>
      <c r="G62" s="143">
        <f t="shared" si="0"/>
        <v>0</v>
      </c>
      <c r="H62" s="145"/>
      <c r="I62" s="146"/>
      <c r="J62" s="147">
        <f t="shared" si="1"/>
        <v>0</v>
      </c>
      <c r="K62" s="147">
        <f t="shared" si="2"/>
        <v>0</v>
      </c>
      <c r="L62" s="64"/>
      <c r="M62" s="64"/>
    </row>
    <row r="63" spans="2:13" s="148" customFormat="1" ht="29.25" hidden="1" customHeight="1" x14ac:dyDescent="0.3">
      <c r="B63" s="127" t="s">
        <v>213</v>
      </c>
      <c r="C63" s="128" t="s">
        <v>79</v>
      </c>
      <c r="D63" s="129"/>
      <c r="E63" s="130">
        <v>0</v>
      </c>
      <c r="F63" s="130">
        <v>0</v>
      </c>
      <c r="G63" s="130">
        <f t="shared" si="0"/>
        <v>0</v>
      </c>
      <c r="H63" s="132"/>
      <c r="I63" s="133"/>
      <c r="J63" s="134">
        <f t="shared" si="1"/>
        <v>0</v>
      </c>
      <c r="K63" s="134">
        <f t="shared" si="2"/>
        <v>0</v>
      </c>
      <c r="L63" s="64"/>
      <c r="M63" s="64"/>
    </row>
    <row r="64" spans="2:13" s="148" customFormat="1" ht="29.25" customHeight="1" thickBot="1" x14ac:dyDescent="0.3">
      <c r="B64" s="819" t="s">
        <v>94</v>
      </c>
      <c r="C64" s="820"/>
      <c r="D64" s="196"/>
      <c r="E64" s="116">
        <v>0</v>
      </c>
      <c r="F64" s="116">
        <v>0</v>
      </c>
      <c r="G64" s="116">
        <f t="shared" si="0"/>
        <v>0</v>
      </c>
      <c r="H64" s="118">
        <v>0</v>
      </c>
      <c r="I64" s="119">
        <v>0</v>
      </c>
      <c r="J64" s="120">
        <f t="shared" si="1"/>
        <v>0</v>
      </c>
      <c r="K64" s="120">
        <f t="shared" si="2"/>
        <v>0</v>
      </c>
      <c r="L64" s="64"/>
      <c r="M64" s="64"/>
    </row>
    <row r="65" spans="2:14" s="148" customFormat="1" ht="39.950000000000003" customHeight="1" thickBot="1" x14ac:dyDescent="0.3">
      <c r="B65" s="819" t="s">
        <v>95</v>
      </c>
      <c r="C65" s="820"/>
      <c r="D65" s="196"/>
      <c r="E65" s="116">
        <v>21355.28501</v>
      </c>
      <c r="F65" s="116">
        <v>15641.238169999999</v>
      </c>
      <c r="G65" s="116">
        <f t="shared" si="0"/>
        <v>36996.523179999997</v>
      </c>
      <c r="H65" s="118">
        <v>15328.65265</v>
      </c>
      <c r="I65" s="119">
        <v>16000</v>
      </c>
      <c r="J65" s="120">
        <f t="shared" si="1"/>
        <v>31328.65265</v>
      </c>
      <c r="K65" s="120">
        <f t="shared" si="2"/>
        <v>68325.175829999993</v>
      </c>
      <c r="L65" s="64"/>
      <c r="M65" s="64"/>
    </row>
    <row r="66" spans="2:14" s="148" customFormat="1" ht="29.25" hidden="1" customHeight="1" x14ac:dyDescent="0.3">
      <c r="B66" s="127" t="s">
        <v>108</v>
      </c>
      <c r="C66" s="128" t="s">
        <v>108</v>
      </c>
      <c r="D66" s="129"/>
      <c r="E66" s="130"/>
      <c r="F66" s="130"/>
      <c r="G66" s="130">
        <f t="shared" si="0"/>
        <v>0</v>
      </c>
      <c r="H66" s="132"/>
      <c r="I66" s="133"/>
      <c r="J66" s="134">
        <f t="shared" si="1"/>
        <v>0</v>
      </c>
      <c r="K66" s="134">
        <f t="shared" si="2"/>
        <v>0</v>
      </c>
      <c r="L66" s="64"/>
      <c r="M66" s="64"/>
    </row>
    <row r="67" spans="2:14" s="148" customFormat="1" ht="29.25" hidden="1" customHeight="1" x14ac:dyDescent="0.3">
      <c r="B67" s="127" t="s">
        <v>108</v>
      </c>
      <c r="C67" s="128" t="s">
        <v>108</v>
      </c>
      <c r="D67" s="129"/>
      <c r="E67" s="130"/>
      <c r="F67" s="130"/>
      <c r="G67" s="130">
        <f t="shared" si="0"/>
        <v>0</v>
      </c>
      <c r="H67" s="132"/>
      <c r="I67" s="133"/>
      <c r="J67" s="134">
        <f t="shared" si="1"/>
        <v>0</v>
      </c>
      <c r="K67" s="134">
        <f t="shared" si="2"/>
        <v>0</v>
      </c>
      <c r="L67" s="64"/>
      <c r="M67" s="64"/>
    </row>
    <row r="68" spans="2:14" s="148" customFormat="1" ht="45" customHeight="1" thickBot="1" x14ac:dyDescent="0.3">
      <c r="B68" s="834" t="s">
        <v>84</v>
      </c>
      <c r="C68" s="835"/>
      <c r="D68" s="199"/>
      <c r="E68" s="165">
        <f>E10+E30+E60+E64+E65</f>
        <v>1148218.9263797302</v>
      </c>
      <c r="F68" s="165">
        <f>F10+F30+F60+F64+F65</f>
        <v>303056.34675099998</v>
      </c>
      <c r="G68" s="165">
        <f t="shared" si="0"/>
        <v>1451275.2731307303</v>
      </c>
      <c r="H68" s="167">
        <f>+H10+H30+H60+H64+H65</f>
        <v>78316.900509999992</v>
      </c>
      <c r="I68" s="168">
        <f>+I10+I30+I60+I64+I65</f>
        <v>102443.25214000001</v>
      </c>
      <c r="J68" s="169">
        <f t="shared" si="1"/>
        <v>180760.15265</v>
      </c>
      <c r="K68" s="169">
        <f t="shared" si="2"/>
        <v>1632035.4257807303</v>
      </c>
      <c r="L68" s="64"/>
      <c r="M68" s="64"/>
      <c r="N68" s="200"/>
    </row>
    <row r="69" spans="2:14" ht="15.75" thickBot="1" x14ac:dyDescent="0.3">
      <c r="B69" s="170"/>
      <c r="C69" s="170"/>
      <c r="D69" s="170"/>
      <c r="E69" s="171"/>
      <c r="F69" s="173"/>
      <c r="G69" s="174"/>
      <c r="H69" s="175"/>
      <c r="I69" s="176"/>
      <c r="J69" s="177"/>
      <c r="K69" s="178"/>
      <c r="L69" s="64"/>
    </row>
    <row r="70" spans="2:14" ht="30" customHeight="1" x14ac:dyDescent="0.25">
      <c r="B70" s="832" t="s">
        <v>214</v>
      </c>
      <c r="C70" s="179"/>
      <c r="D70" s="180" t="s">
        <v>270</v>
      </c>
      <c r="E70" s="181">
        <v>760726.87314000004</v>
      </c>
      <c r="F70" s="181">
        <v>155366.56010999999</v>
      </c>
      <c r="G70" s="183">
        <f>E70+F70</f>
        <v>916093.43325</v>
      </c>
      <c r="H70" s="184">
        <v>34528.733110000001</v>
      </c>
      <c r="I70" s="185">
        <v>56344</v>
      </c>
      <c r="J70" s="186">
        <f>H70+I70</f>
        <v>90872.733110000001</v>
      </c>
      <c r="K70" s="186">
        <f>E70+F70+H70+I70</f>
        <v>1006966.16636</v>
      </c>
      <c r="L70" s="64"/>
    </row>
    <row r="71" spans="2:14" ht="30" customHeight="1" thickBot="1" x14ac:dyDescent="0.3">
      <c r="B71" s="833"/>
      <c r="C71" s="187"/>
      <c r="D71" s="188" t="s">
        <v>122</v>
      </c>
      <c r="E71" s="189">
        <f t="shared" ref="E71:K71" si="3">E70/E68</f>
        <v>0.66252772503805446</v>
      </c>
      <c r="F71" s="189">
        <f t="shared" si="3"/>
        <v>0.51266558768905679</v>
      </c>
      <c r="G71" s="189">
        <f t="shared" si="3"/>
        <v>0.63123340568862474</v>
      </c>
      <c r="H71" s="191">
        <f t="shared" si="3"/>
        <v>0.44088482671235379</v>
      </c>
      <c r="I71" s="192">
        <f t="shared" si="3"/>
        <v>0.55000206282986508</v>
      </c>
      <c r="J71" s="193">
        <f>J70/J68</f>
        <v>0.50272547227791908</v>
      </c>
      <c r="K71" s="193">
        <f t="shared" si="3"/>
        <v>0.61700018912168486</v>
      </c>
      <c r="L71" s="64"/>
      <c r="M71" s="64"/>
    </row>
    <row r="72" spans="2:14" ht="34.5" customHeight="1" x14ac:dyDescent="0.25">
      <c r="B72" s="832" t="s">
        <v>216</v>
      </c>
      <c r="C72" s="179"/>
      <c r="D72" s="180" t="s">
        <v>270</v>
      </c>
      <c r="E72" s="181">
        <v>387492.05323000002</v>
      </c>
      <c r="F72" s="181">
        <v>147689.78662999999</v>
      </c>
      <c r="G72" s="183">
        <f>E72+F72</f>
        <v>535181.83985999995</v>
      </c>
      <c r="H72" s="184">
        <v>43788.167390000002</v>
      </c>
      <c r="I72" s="185">
        <v>46099</v>
      </c>
      <c r="J72" s="186">
        <f>H72+I72</f>
        <v>89887.167390000002</v>
      </c>
      <c r="K72" s="186">
        <f>E72+F72+H72+I72</f>
        <v>625069.00724999991</v>
      </c>
      <c r="L72" s="64"/>
      <c r="M72" s="64"/>
    </row>
    <row r="73" spans="2:14" ht="30.75" customHeight="1" thickBot="1" x14ac:dyDescent="0.3">
      <c r="B73" s="833"/>
      <c r="C73" s="187"/>
      <c r="D73" s="188" t="s">
        <v>122</v>
      </c>
      <c r="E73" s="189">
        <f t="shared" ref="E73:K73" si="4">E72/E68</f>
        <v>0.33747227495347137</v>
      </c>
      <c r="F73" s="189">
        <f t="shared" si="4"/>
        <v>0.4873344122746463</v>
      </c>
      <c r="G73" s="189">
        <f t="shared" si="4"/>
        <v>0.36876659429709102</v>
      </c>
      <c r="H73" s="191">
        <f t="shared" si="4"/>
        <v>0.55911517315995996</v>
      </c>
      <c r="I73" s="192">
        <f>I72/I68</f>
        <v>0.44999547590504674</v>
      </c>
      <c r="J73" s="193">
        <f>J72/J68</f>
        <v>0.49727313277968732</v>
      </c>
      <c r="K73" s="193">
        <f t="shared" si="4"/>
        <v>0.38299965636529026</v>
      </c>
      <c r="L73" s="64"/>
      <c r="M73" s="64"/>
    </row>
    <row r="74" spans="2:14" x14ac:dyDescent="0.25">
      <c r="I74" s="64"/>
      <c r="J74" s="64"/>
    </row>
    <row r="75" spans="2:14" x14ac:dyDescent="0.25">
      <c r="E75" s="64"/>
      <c r="F75" s="64"/>
      <c r="G75" s="64"/>
      <c r="H75" s="64"/>
      <c r="J75" s="111" t="s">
        <v>144</v>
      </c>
      <c r="K75" s="112">
        <v>42501</v>
      </c>
    </row>
    <row r="76" spans="2:14" x14ac:dyDescent="0.25">
      <c r="E76" s="64"/>
      <c r="F76" s="64"/>
      <c r="G76" s="64"/>
      <c r="H76" s="64"/>
      <c r="I76" s="64"/>
      <c r="J76" s="64"/>
      <c r="K76" s="64"/>
    </row>
    <row r="77" spans="2:14" x14ac:dyDescent="0.25">
      <c r="F77" s="64"/>
      <c r="G77" s="64"/>
      <c r="H77" s="64"/>
      <c r="I77" s="64"/>
      <c r="J77" s="64"/>
      <c r="K77" s="64"/>
      <c r="L77" s="64"/>
    </row>
    <row r="78" spans="2:14" x14ac:dyDescent="0.25">
      <c r="E78" s="64"/>
      <c r="G78" s="64"/>
      <c r="H78" s="64"/>
      <c r="I78" s="64"/>
      <c r="J78" s="64"/>
      <c r="K78" s="64"/>
    </row>
    <row r="79" spans="2:14" x14ac:dyDescent="0.25">
      <c r="H79" s="64"/>
      <c r="I79" s="64"/>
      <c r="J79" s="64"/>
      <c r="K79" s="64"/>
    </row>
    <row r="80" spans="2:14" x14ac:dyDescent="0.25">
      <c r="E80" s="64"/>
      <c r="G80" s="64"/>
      <c r="H80" s="64"/>
      <c r="I80" s="64"/>
      <c r="J80" s="64"/>
      <c r="K80" s="64"/>
    </row>
    <row r="81" spans="3:10" x14ac:dyDescent="0.25">
      <c r="H81" s="64"/>
      <c r="J81" s="64"/>
    </row>
    <row r="83" spans="3:10" x14ac:dyDescent="0.25">
      <c r="H83" s="64"/>
      <c r="I83" s="64"/>
    </row>
    <row r="84" spans="3:10" x14ac:dyDescent="0.25">
      <c r="G84" s="64"/>
      <c r="I84" s="64"/>
    </row>
    <row r="85" spans="3:10" x14ac:dyDescent="0.25">
      <c r="I85" s="64"/>
      <c r="J85" s="64"/>
    </row>
    <row r="86" spans="3:10" x14ac:dyDescent="0.25">
      <c r="J86" s="64"/>
    </row>
    <row r="96" spans="3:10" x14ac:dyDescent="0.25">
      <c r="C96" s="8"/>
      <c r="D96" s="8"/>
      <c r="E96" s="8"/>
      <c r="F96" s="8"/>
      <c r="G96" s="8"/>
    </row>
    <row r="97" spans="3:7" x14ac:dyDescent="0.25">
      <c r="C97" s="8"/>
      <c r="D97" s="8"/>
      <c r="E97" s="8"/>
      <c r="F97" s="8"/>
      <c r="G97" s="8"/>
    </row>
  </sheetData>
  <mergeCells count="33">
    <mergeCell ref="B72:B73"/>
    <mergeCell ref="B60:C60"/>
    <mergeCell ref="B61:C61"/>
    <mergeCell ref="B64:C64"/>
    <mergeCell ref="B65:C65"/>
    <mergeCell ref="B68:C68"/>
    <mergeCell ref="B70:B71"/>
    <mergeCell ref="K58:K59"/>
    <mergeCell ref="B15:C15"/>
    <mergeCell ref="B30:C30"/>
    <mergeCell ref="B31:C31"/>
    <mergeCell ref="B53:C53"/>
    <mergeCell ref="E58:E59"/>
    <mergeCell ref="F58:F59"/>
    <mergeCell ref="G58:G59"/>
    <mergeCell ref="H58:H59"/>
    <mergeCell ref="I58:I59"/>
    <mergeCell ref="J58:J59"/>
    <mergeCell ref="B14:C14"/>
    <mergeCell ref="B2:K2"/>
    <mergeCell ref="B3:K3"/>
    <mergeCell ref="B6:D9"/>
    <mergeCell ref="E6:K6"/>
    <mergeCell ref="E7:G7"/>
    <mergeCell ref="H7:J7"/>
    <mergeCell ref="K7:K9"/>
    <mergeCell ref="E8:E9"/>
    <mergeCell ref="G8:G9"/>
    <mergeCell ref="H8:H9"/>
    <mergeCell ref="I8:I9"/>
    <mergeCell ref="J8:J9"/>
    <mergeCell ref="B10:C10"/>
    <mergeCell ref="B11:C11"/>
  </mergeCells>
  <pageMargins left="0.51181102362204722" right="0.51181102362204722" top="0.78740157480314965" bottom="0.78740157480314965" header="0.31496062992125984" footer="0.31496062992125984"/>
  <pageSetup paperSize="9" scale="63" orientation="landscape" r:id="rId1"/>
  <headerFooter>
    <oddHeader>&amp;L&amp;G&amp;R&amp;9Superintendência de Gestão de Projetos Especiais - TG
Departamento de Planejamento e Controle - TGC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B108457D2B025647B7E27D113A3B6B6A" ma:contentTypeVersion="22" ma:contentTypeDescription="A content type to manage public (operations) IDB documents" ma:contentTypeScope="" ma:versionID="ba0211c8b5615ee48db0b41d27498320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52f75a97534f73305059e4ad7324dd19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IDBDocs_x0020_Number xmlns="cdc7663a-08f0-4737-9e8c-148ce897a09c" xsi:nil="true"/>
    <Division_x0020_or_x0020_Unit xmlns="cdc7663a-08f0-4737-9e8c-148ce897a09c">CSC/CBR</Division_x0020_or_x0020_Unit>
    <Fiscal_x0020_Year_x0020_IDB xmlns="cdc7663a-08f0-4737-9e8c-148ce897a09c">2017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2202/OC-BR;</Approval_x0020_Number>
    <Phase xmlns="cdc7663a-08f0-4737-9e8c-148ce897a09c">ACTIVE</Phase>
    <Document_x0020_Author xmlns="cdc7663a-08f0-4737-9e8c-148ce897a09c">Pereira, Tiago Pena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WATER AND SANITATION</TermName>
          <TermId xmlns="http://schemas.microsoft.com/office/infopath/2007/PartnerControls">58dede58-0f72-4d2f-8205-0b2af4d108e7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Portuguese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TaxCatchAll xmlns="cdc7663a-08f0-4737-9e8c-148ce897a09c">
      <Value>33</Value>
      <Value>105</Value>
      <Value>30</Value>
      <Value>36</Value>
      <Value>7</Value>
    </TaxCatchAll>
    <Operation_x0020_Type xmlns="cdc7663a-08f0-4737-9e8c-148ce897a09c">Loan Operation</Operation_x0020_Type>
    <Package_x0020_Code xmlns="cdc7663a-08f0-4737-9e8c-148ce897a09c" xsi:nil="true"/>
    <Identifier xmlns="cdc7663a-08f0-4737-9e8c-148ce897a09c" xsi:nil="true"/>
    <Project_x0020_Number xmlns="cdc7663a-08f0-4737-9e8c-148ce897a09c">BR-L1166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WATER AND SANITATION</TermName>
          <TermId xmlns="http://schemas.microsoft.com/office/infopath/2007/PartnerControls">ba6b63cd-e402-47cb-9357-08149f7ce046</TermId>
        </TermInfo>
      </Terms>
    </nddeef1749674d76abdbe4b239a70bc6>
    <Record_x0020_Number xmlns="cdc7663a-08f0-4737-9e8c-148ce897a09c">R0001119958</Record_x0020_Number>
    <_dlc_DocId xmlns="cdc7663a-08f0-4737-9e8c-148ce897a09c">EZSHARE-271822749-5</_dlc_DocId>
    <_dlc_DocIdUrl xmlns="cdc7663a-08f0-4737-9e8c-148ce897a09c">
      <Url>https://idbg.sharepoint.com/teams/EZ-BR-LON/BR-L1166/_layouts/15/DocIdRedir.aspx?ID=EZSHARE-271822749-5</Url>
      <Description>EZSHARE-271822749-5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53CC539F-3E28-4FB2-BA5B-41699AE71B09}"/>
</file>

<file path=customXml/itemProps2.xml><?xml version="1.0" encoding="utf-8"?>
<ds:datastoreItem xmlns:ds="http://schemas.openxmlformats.org/officeDocument/2006/customXml" ds:itemID="{35F4DE88-88C1-4401-B2D5-4BE16956FF05}"/>
</file>

<file path=customXml/itemProps3.xml><?xml version="1.0" encoding="utf-8"?>
<ds:datastoreItem xmlns:ds="http://schemas.openxmlformats.org/officeDocument/2006/customXml" ds:itemID="{2A714DA2-642A-47CB-A288-9F10A915F48B}"/>
</file>

<file path=customXml/itemProps4.xml><?xml version="1.0" encoding="utf-8"?>
<ds:datastoreItem xmlns:ds="http://schemas.openxmlformats.org/officeDocument/2006/customXml" ds:itemID="{94541898-7748-43EC-842E-F730DD3CADD1}"/>
</file>

<file path=customXml/itemProps5.xml><?xml version="1.0" encoding="utf-8"?>
<ds:datastoreItem xmlns:ds="http://schemas.openxmlformats.org/officeDocument/2006/customXml" ds:itemID="{A1E64BC0-5083-481A-87EC-4BF99A9E27E3}"/>
</file>

<file path=customXml/itemProps6.xml><?xml version="1.0" encoding="utf-8"?>
<ds:datastoreItem xmlns:ds="http://schemas.openxmlformats.org/officeDocument/2006/customXml" ds:itemID="{AD489670-1050-44D1-87A0-14565309D5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Estimativa  R$</vt:lpstr>
      <vt:lpstr>Estimativa  R$ Anual</vt:lpstr>
      <vt:lpstr>Estimativa  US$3,64-Compr.</vt:lpstr>
      <vt:lpstr>02_resumo US$+Proj</vt:lpstr>
      <vt:lpstr>02_resumo US$ 4 ANOS 90%</vt:lpstr>
      <vt:lpstr>05_PA</vt:lpstr>
      <vt:lpstr>04_análise CT+A CONT-US$-4an</vt:lpstr>
      <vt:lpstr>Resumo_4 anos</vt:lpstr>
      <vt:lpstr>resumo R$</vt:lpstr>
      <vt:lpstr>resumo US$</vt:lpstr>
      <vt:lpstr>Plan1</vt:lpstr>
      <vt:lpstr>'02_resumo US$ 4 ANOS 90%'!Area_de_impressao</vt:lpstr>
      <vt:lpstr>'02_resumo US$+Proj'!Area_de_impressao</vt:lpstr>
      <vt:lpstr>'04_análise CT+A CONT-US$-4an'!Area_de_impressao</vt:lpstr>
      <vt:lpstr>'05_PA'!Area_de_impressao</vt:lpstr>
      <vt:lpstr>'Estimativa  R$'!Area_de_impressao</vt:lpstr>
      <vt:lpstr>'Estimativa  R$ Anual'!Area_de_impressao</vt:lpstr>
      <vt:lpstr>'Estimativa  US$3,64-Compr.'!Area_de_impressao</vt:lpstr>
      <vt:lpstr>'resumo R$'!Area_de_impressao</vt:lpstr>
      <vt:lpstr>'resumo US$'!Area_de_impressao</vt:lpstr>
      <vt:lpstr>'Resumo_4 anos'!Area_de_impressao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 Regina Rodrigues Franklin</dc:creator>
  <cp:keywords/>
  <cp:lastModifiedBy>Celia Regina Rodrigues Franklin da Silva II</cp:lastModifiedBy>
  <cp:lastPrinted>2017-06-05T18:49:42Z</cp:lastPrinted>
  <dcterms:created xsi:type="dcterms:W3CDTF">2016-03-08T13:39:12Z</dcterms:created>
  <dcterms:modified xsi:type="dcterms:W3CDTF">2017-06-05T18:51:10Z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Function Operations IDB">
    <vt:lpwstr>7;#Goods and Services|5bfebf1b-9f1f-4411-b1dd-4c19b807b799</vt:lpwstr>
  </property>
  <property fmtid="{D5CDD505-2E9C-101B-9397-08002B2CF9AE}" pid="4" name="TaxKeyword">
    <vt:lpwstr/>
  </property>
  <property fmtid="{D5CDD505-2E9C-101B-9397-08002B2CF9AE}" pid="5" name="TaxKeywordTaxHTField">
    <vt:lpwstr/>
  </property>
  <property fmtid="{D5CDD505-2E9C-101B-9397-08002B2CF9AE}" pid="6" name="Series Operations IDB">
    <vt:lpwstr/>
  </property>
  <property fmtid="{D5CDD505-2E9C-101B-9397-08002B2CF9AE}" pid="7" name="Sub-Sector">
    <vt:lpwstr>105;#WATER AND SANITATION|58dede58-0f72-4d2f-8205-0b2af4d108e7</vt:lpwstr>
  </property>
  <property fmtid="{D5CDD505-2E9C-101B-9397-08002B2CF9AE}" pid="8" name="Fund IDB">
    <vt:lpwstr>33;#ORC|c028a4b2-ad8b-4cf4-9cac-a2ae6a778e23</vt:lpwstr>
  </property>
  <property fmtid="{D5CDD505-2E9C-101B-9397-08002B2CF9AE}" pid="9" name="Country">
    <vt:lpwstr>30;#Brazil|7deb27ec-6837-4974-9aa8-6cfbac841ef8</vt:lpwstr>
  </property>
  <property fmtid="{D5CDD505-2E9C-101B-9397-08002B2CF9AE}" pid="10" name="Sector IDB">
    <vt:lpwstr>36;#WATER AND SANITATION|ba6b63cd-e402-47cb-9357-08149f7ce046</vt:lpwstr>
  </property>
  <property fmtid="{D5CDD505-2E9C-101B-9397-08002B2CF9AE}" pid="11" name="_dlc_DocIdItemGuid">
    <vt:lpwstr>ed3197f8-142b-4aa4-ad0d-8f2dd667830f</vt:lpwstr>
  </property>
  <property fmtid="{D5CDD505-2E9C-101B-9397-08002B2CF9AE}" pid="12" name="Disclosure Activity">
    <vt:lpwstr>Procurement Plan</vt:lpwstr>
  </property>
  <property fmtid="{D5CDD505-2E9C-101B-9397-08002B2CF9AE}" pid="13" name="ContentTypeId">
    <vt:lpwstr>0x0101001A458A224826124E8B45B1D613300CFC00B108457D2B025647B7E27D113A3B6B6A</vt:lpwstr>
  </property>
</Properties>
</file>