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HIGORG\Desktop\SE\"/>
    </mc:Choice>
  </mc:AlternateContent>
  <bookViews>
    <workbookView xWindow="0" yWindow="0" windowWidth="23040" windowHeight="8496" xr2:uid="{00000000-000D-0000-FFFF-FFFF00000000}"/>
  </bookViews>
  <sheets>
    <sheet name="Plano Aquisicoes" sheetId="6" r:id="rId1"/>
    <sheet name="Limpo" sheetId="7" state="hidden" r:id="rId2"/>
  </sheets>
  <externalReferences>
    <externalReference r:id="rId3"/>
  </externalReferences>
  <definedNames>
    <definedName name="_xlnm._FilterDatabase" localSheetId="1" hidden="1">Limpo!$B$1:$J$1</definedName>
    <definedName name="_xlnm.Print_Area" localSheetId="1">Limpo!$A$1:$J$67</definedName>
    <definedName name="_xlnm.Print_Area" localSheetId="0">'Plano Aquisicoes'!$A$1:$O$85</definedName>
    <definedName name="FPstatus">'[1]Financial plan (Disbursements)'!$AX$7:$AX$8</definedName>
    <definedName name="_xlnm.Print_Titles" localSheetId="1">Limpo!$1:$1</definedName>
    <definedName name="_xlnm.Print_Titles" localSheetId="0">'Plano Aquisicoes'!$1:$9</definedName>
  </definedNames>
  <calcPr calcId="171027"/>
</workbook>
</file>

<file path=xl/calcChain.xml><?xml version="1.0" encoding="utf-8"?>
<calcChain xmlns="http://schemas.openxmlformats.org/spreadsheetml/2006/main">
  <c r="M66" i="6" l="1"/>
  <c r="M58" i="6"/>
  <c r="M34" i="6"/>
  <c r="M33" i="6"/>
  <c r="G23" i="6"/>
  <c r="M22" i="6"/>
  <c r="M14" i="6"/>
  <c r="M21" i="6"/>
  <c r="M20" i="6"/>
  <c r="M19" i="6"/>
  <c r="M18" i="6"/>
  <c r="M17" i="6" l="1"/>
  <c r="M16" i="6"/>
  <c r="M35" i="6" l="1"/>
  <c r="G36" i="6" l="1"/>
  <c r="M80" i="6" l="1"/>
  <c r="F45" i="7" l="1"/>
  <c r="G45" i="7"/>
  <c r="F44" i="7"/>
  <c r="G44" i="7" s="1"/>
  <c r="F43" i="7"/>
  <c r="F41" i="7"/>
  <c r="F67" i="7" l="1"/>
  <c r="M7" i="7"/>
  <c r="G62" i="7" l="1"/>
  <c r="G40" i="7"/>
  <c r="G65" i="7"/>
  <c r="G13" i="7"/>
  <c r="G66" i="7"/>
  <c r="G61" i="7"/>
  <c r="G58" i="7"/>
  <c r="G56" i="7"/>
  <c r="G55" i="7"/>
  <c r="G54" i="7"/>
  <c r="G53" i="7"/>
  <c r="G52" i="7"/>
  <c r="G51" i="7"/>
  <c r="G50" i="7"/>
  <c r="G49" i="7"/>
  <c r="G48" i="7"/>
  <c r="G46" i="7"/>
  <c r="G37" i="7"/>
  <c r="G36" i="7"/>
  <c r="G35" i="7"/>
  <c r="G34" i="7"/>
  <c r="G31" i="7"/>
  <c r="G28" i="7"/>
  <c r="G23" i="7"/>
  <c r="G9" i="7"/>
  <c r="G8" i="7"/>
  <c r="G6" i="7"/>
  <c r="G3" i="7"/>
  <c r="G39" i="7"/>
  <c r="G38" i="7"/>
  <c r="G33" i="7"/>
  <c r="G30" i="7"/>
  <c r="G29" i="7"/>
  <c r="G43" i="7"/>
  <c r="G42" i="7"/>
  <c r="G41" i="7"/>
  <c r="G21" i="7"/>
  <c r="G20" i="7"/>
  <c r="G12" i="7"/>
  <c r="G7" i="7"/>
  <c r="G5" i="7"/>
  <c r="G4" i="7"/>
  <c r="E27" i="7"/>
  <c r="G27" i="7" s="1"/>
  <c r="E26" i="7"/>
  <c r="G26" i="7" s="1"/>
  <c r="E25" i="7"/>
  <c r="G25" i="7" s="1"/>
  <c r="E24" i="7"/>
  <c r="G24" i="7" s="1"/>
  <c r="E47" i="7"/>
  <c r="G47" i="7" s="1"/>
  <c r="E32" i="7"/>
  <c r="G32" i="7" s="1"/>
  <c r="E64" i="7"/>
  <c r="G64" i="7" s="1"/>
  <c r="E60" i="7"/>
  <c r="G60" i="7" s="1"/>
  <c r="E57" i="7"/>
  <c r="G57" i="7" s="1"/>
  <c r="I54" i="7"/>
  <c r="E63" i="7"/>
  <c r="G63" i="7" s="1"/>
  <c r="E22" i="7"/>
  <c r="G22" i="7" s="1"/>
  <c r="E14" i="7"/>
  <c r="E15" i="7" s="1"/>
  <c r="G15" i="7" s="1"/>
  <c r="E11" i="7"/>
  <c r="G11" i="7" s="1"/>
  <c r="E2" i="7"/>
  <c r="E59" i="7"/>
  <c r="G59" i="7" s="1"/>
  <c r="E19" i="7"/>
  <c r="G19" i="7" s="1"/>
  <c r="E18" i="7"/>
  <c r="G18" i="7" s="1"/>
  <c r="E17" i="7"/>
  <c r="G17" i="7" s="1"/>
  <c r="E16" i="7"/>
  <c r="G16" i="7" s="1"/>
  <c r="E10" i="7"/>
  <c r="G10" i="7" s="1"/>
  <c r="G2" i="7" l="1"/>
  <c r="E67" i="7"/>
  <c r="G14" i="7"/>
  <c r="G67" i="7" l="1"/>
  <c r="G57" i="6" l="1"/>
  <c r="G81" i="6" l="1"/>
  <c r="G82" i="6" s="1"/>
  <c r="G56" i="6"/>
  <c r="G16" i="6" l="1"/>
  <c r="G27" i="6" s="1"/>
  <c r="G28" i="6" l="1"/>
  <c r="G59" i="6" l="1"/>
  <c r="G60" i="6" l="1"/>
  <c r="G70" i="6"/>
  <c r="G71" i="6" s="1"/>
  <c r="G84" i="6" l="1"/>
  <c r="G37" i="6"/>
  <c r="G85" i="6" s="1"/>
  <c r="G129" i="6" l="1"/>
</calcChain>
</file>

<file path=xl/sharedStrings.xml><?xml version="1.0" encoding="utf-8"?>
<sst xmlns="http://schemas.openxmlformats.org/spreadsheetml/2006/main" count="706" uniqueCount="323">
  <si>
    <t>OBRAS</t>
  </si>
  <si>
    <t>Rechazo de Ofertas</t>
  </si>
  <si>
    <t>Contrato Terminado</t>
  </si>
  <si>
    <t>Total</t>
  </si>
  <si>
    <t>Ex-Post</t>
  </si>
  <si>
    <t>Ex-Ante</t>
  </si>
  <si>
    <t>Sistema Nacional</t>
  </si>
  <si>
    <t>Unidade Executora</t>
  </si>
  <si>
    <t>Licitação Pública Nacional </t>
  </si>
  <si>
    <t>Licitação Internacional Limitada </t>
  </si>
  <si>
    <t>Licitação Pública Internacional por Lotes </t>
  </si>
  <si>
    <t>Processo Cancelado</t>
  </si>
  <si>
    <t>ReLicitação</t>
  </si>
  <si>
    <t>Contratação Direta </t>
  </si>
  <si>
    <t>Processo em curso</t>
  </si>
  <si>
    <t>Licitação Pública Internacional em 2 etapas </t>
  </si>
  <si>
    <t>Licitação Pública Internacional com Precalificación</t>
  </si>
  <si>
    <t xml:space="preserve">Montante Estimado </t>
  </si>
  <si>
    <t>Datas</t>
  </si>
  <si>
    <t>Publicação do Anúncio</t>
  </si>
  <si>
    <t>Assinatura do Contrato</t>
  </si>
  <si>
    <t>CONSULTORIAS FIRMAS</t>
  </si>
  <si>
    <t>Não Objeção aos  TDR da Atividade</t>
  </si>
  <si>
    <t>CONSULTORIAS INDIVIDUAL</t>
  </si>
  <si>
    <t>CAPACITAÇÃO</t>
  </si>
  <si>
    <t>Licitação Pública Internacional sem Pré-qualificação</t>
  </si>
  <si>
    <t>Seleção Baseada na Qualificação do Consultor (SQC)</t>
  </si>
  <si>
    <t>Comparação de Qualificações (3 CV's)</t>
  </si>
  <si>
    <t>Construção de orla e atracadouro e implantação do Sistema de Esgotamento Sanitário – Prainha de Canindé do São Francisco (trecho 3)</t>
  </si>
  <si>
    <t>5.2.1</t>
  </si>
  <si>
    <t xml:space="preserve">Elaboração de projetos executivos dos aterros sanitários </t>
  </si>
  <si>
    <t>Elaboração da Política de Gerenciamento Costeiro do Estado</t>
  </si>
  <si>
    <t>Revitalização do Complexo Turístico SE - Reforma do Centro de Turismo de Aracaju</t>
  </si>
  <si>
    <t>Cursos de aperfeiçoamento gerencial nos estabelecimentos formais e informais dos empreendimentos turísticos localizados nos pólos Costa dos Coqueirais e Velho Chico</t>
  </si>
  <si>
    <t>Estudo de Avaliação do Impacto do PRODETUR na Economia Local</t>
  </si>
  <si>
    <t>Comparação de Preços </t>
  </si>
  <si>
    <t>Seleção Baseada na Qualidade e Custo </t>
  </si>
  <si>
    <t>Seleção Baseado em Orçamento Fixo</t>
  </si>
  <si>
    <t>Elaboração do projeto executivo das obras de recuperação da contenção da Orla da praia da Caueira – Itaporanga D’Ajuda-SE</t>
  </si>
  <si>
    <t>BRASIL</t>
  </si>
  <si>
    <t>PROGRAMA NACIONAL DE DESENVOLVIMENTO DO TURISMO EM SERGIPE - PRODETUR/SERGIPE</t>
  </si>
  <si>
    <t>Numero PRISM</t>
  </si>
  <si>
    <t>Status</t>
  </si>
  <si>
    <t>Publicação  Manifestação de Interesse</t>
  </si>
  <si>
    <t>Revisão/Supervisão</t>
  </si>
  <si>
    <t>Previsto</t>
  </si>
  <si>
    <t>Declaração de Licitação Deserta</t>
  </si>
  <si>
    <t>Contrato em Execução</t>
  </si>
  <si>
    <t xml:space="preserve">Metodos </t>
  </si>
  <si>
    <t>Consultoria firmas</t>
  </si>
  <si>
    <t>Seleção Baseada na Qualidade </t>
  </si>
  <si>
    <t>Seleção Baseada no Menor Custo </t>
  </si>
  <si>
    <t>Bens, obras e Serviços</t>
  </si>
  <si>
    <t>Licitação Pública Internacional</t>
  </si>
  <si>
    <t>Consultoria Individual</t>
  </si>
  <si>
    <t>COMPONENTE</t>
  </si>
  <si>
    <t>Contrapartida</t>
  </si>
  <si>
    <t>Construção de orla do povoado Pontal em Indiaroba</t>
  </si>
  <si>
    <t>Construção de orla do povoado Crasto em Santa Luiza do Itanhy</t>
  </si>
  <si>
    <t>Construção de atracadouro da Ilha Mem de Sá e do povoado Caibrós em Itaporanga d' Ajuda</t>
  </si>
  <si>
    <t>Reforma da orla Pôr do Sol em Aracaju</t>
  </si>
  <si>
    <t xml:space="preserve">Elaboração de projetos da adequação urbanística e delimitações das praias do litoral sul </t>
  </si>
  <si>
    <t>Construção do sistema de esgotamento sanitário do povoado Crasto em Santa Luiza do Itanhy</t>
  </si>
  <si>
    <t xml:space="preserve">Revisão de plano de marketing e desenvolvimento de peças publicitárias para os dois polos do Prodetur </t>
  </si>
  <si>
    <t>2.1</t>
  </si>
  <si>
    <t>Quantidade de Lotes</t>
  </si>
  <si>
    <t>Categoria de Investimento</t>
  </si>
  <si>
    <t>Objeto</t>
  </si>
  <si>
    <t>Quantidade Estimada de Consultores</t>
  </si>
  <si>
    <t>Elaboração do Plano de Uso público para a Monumento Natural Grota do Angico</t>
  </si>
  <si>
    <t>Estudo de avaliação de limites aceitáveis de mudanças em áreas turísticas críticas dos Polos Costa dos Coqueirais e Velho Chico do estado de Sergipe</t>
  </si>
  <si>
    <t>1 e 5</t>
  </si>
  <si>
    <t>BR10598</t>
  </si>
  <si>
    <t>% BID</t>
  </si>
  <si>
    <t>% Contrapartida</t>
  </si>
  <si>
    <t>BR11198</t>
  </si>
  <si>
    <t>BR11155</t>
  </si>
  <si>
    <t>BR11055</t>
  </si>
  <si>
    <t>[apenas p/ contratos acima de US$ 25.000,00]</t>
  </si>
  <si>
    <t>Total a contratar</t>
  </si>
  <si>
    <t>Elaboração de projetos básico e executivo para implantar  SAAI Litoral Sul</t>
  </si>
  <si>
    <t>4.1.1</t>
  </si>
  <si>
    <t>4.1.2</t>
  </si>
  <si>
    <t>Fonte Externa - BID (U$ x mil)</t>
  </si>
  <si>
    <t>Contrapartida  Local (U$ x mil)</t>
  </si>
  <si>
    <t>Total                                   (em US$ x 1.000)</t>
  </si>
  <si>
    <t>MODALIDADE</t>
  </si>
  <si>
    <t>ID do PEP</t>
  </si>
  <si>
    <t>3.1.2.2</t>
  </si>
  <si>
    <t>5.2.7.1</t>
  </si>
  <si>
    <t>5.2.5.1</t>
  </si>
  <si>
    <t>5.3.1</t>
  </si>
  <si>
    <t>Empresa Gerenciadora de Apoio a UCP + Sistema de gerenciamento integral do programa + Fiscalização e supervisão de obras</t>
  </si>
  <si>
    <t xml:space="preserve">Diagnóstico para o sistema de informações turísticas. </t>
  </si>
  <si>
    <t>3.1.2.1</t>
  </si>
  <si>
    <t>Diagnóstico e Plano de Ação para Educação e Sensibilização Ambiental.</t>
  </si>
  <si>
    <t>5.2.3.2</t>
  </si>
  <si>
    <t>Capacitação de profissionais diretamente ligados ao turismo.</t>
  </si>
  <si>
    <t>Estudos de pesquisa do mercado e estratégia de circuitos histórico-culturais e ecoturísticos</t>
  </si>
  <si>
    <t>3.1.2.3</t>
  </si>
  <si>
    <t>Elaboração do plano de fortalecimento da gestão estadual e municipal de turismo</t>
  </si>
  <si>
    <t>ITEM PEP</t>
  </si>
  <si>
    <t>Subtotal Obras</t>
  </si>
  <si>
    <t>Subtotal Consultorias PJ</t>
  </si>
  <si>
    <t>Subtotal Consultorias PJ a contratar</t>
  </si>
  <si>
    <t>Subtotal Consultorias PF</t>
  </si>
  <si>
    <t>Subtotal Consultorias PF a contratar</t>
  </si>
  <si>
    <t>Subtotal Capacitação</t>
  </si>
  <si>
    <t>Subtotal Capacitação a contratar</t>
  </si>
  <si>
    <t>Avaliação intermediária do programa</t>
  </si>
  <si>
    <t>Implantação do SITUR - desenvolvimento do sistema</t>
  </si>
  <si>
    <t>5.1.1</t>
  </si>
  <si>
    <t>BENS E SERVIÇOS (QUE NÃO CONSULTORIA)</t>
  </si>
  <si>
    <t>Subtotal Bens e Serviços</t>
  </si>
  <si>
    <t>Subtotal Bens e Serviços a contratar</t>
  </si>
  <si>
    <t>Subtotal Obras a contratar</t>
  </si>
  <si>
    <t>Elaboração de estudos ambientais complementares ao projeto – lote 1 (4 municípios)</t>
  </si>
  <si>
    <t>1.1.2.1</t>
  </si>
  <si>
    <t>Elaboração de projetos de modernização de museus, centros culturais e patrimônio, incluindo projeto museológico/ interpretativo</t>
  </si>
  <si>
    <t>1.1.2.2</t>
  </si>
  <si>
    <t>Execução de projetos de modernização e museológicos de 5 museus</t>
  </si>
  <si>
    <t>1.1.3.1</t>
  </si>
  <si>
    <t>1.1.3.2</t>
  </si>
  <si>
    <t>Elaboração de plano museológico e de projetos executivos de sinalização interpretativa do Centro de Cangaço e trilhas</t>
  </si>
  <si>
    <t>1.1.3.3</t>
  </si>
  <si>
    <t>Construção do Centro de Referência do Cangaço (Poço Redondo - SE)</t>
  </si>
  <si>
    <t>1.1.3.4</t>
  </si>
  <si>
    <t>Execução do projeto museológico para o Centro de Referência do Cangaço</t>
  </si>
  <si>
    <t>Elaboração e Execução de Estudos e plano de ação para fomentar a produção e comercialização turística de artesanato</t>
  </si>
  <si>
    <t>1.1.4.2</t>
  </si>
  <si>
    <t>1.2.1</t>
  </si>
  <si>
    <t>1.2.2</t>
  </si>
  <si>
    <t>Execução dos projetos de adequação turística das praias do litoral sul - Aracaju</t>
  </si>
  <si>
    <t>1.3.2.1</t>
  </si>
  <si>
    <t>1.3.2.2</t>
  </si>
  <si>
    <t>Elaboração ou atualização de projetos executivos de obras de orlas - Revisão Projeto da Orla de Crasto</t>
  </si>
  <si>
    <t>1.3.2.4</t>
  </si>
  <si>
    <t>1.3.2.5</t>
  </si>
  <si>
    <t>1.3.2.6</t>
  </si>
  <si>
    <t>Execução de obras – outras</t>
  </si>
  <si>
    <t>1.4</t>
  </si>
  <si>
    <t>BR11543</t>
  </si>
  <si>
    <t>Diagnóstico e Plano de Ação para Formalização de Negócios, Assistência Técnica e Inclusão Social na Área do Turismo</t>
  </si>
  <si>
    <t>1.5.1</t>
  </si>
  <si>
    <t>1.5.2.1</t>
  </si>
  <si>
    <t>1.5.2.2</t>
  </si>
  <si>
    <t>1.5.2.3</t>
  </si>
  <si>
    <t>1.5.2.4</t>
  </si>
  <si>
    <t>BR11595</t>
  </si>
  <si>
    <t>BR11596</t>
  </si>
  <si>
    <t>2.2.1</t>
  </si>
  <si>
    <t>Organização e execução logística das ações de eventos promocionais</t>
  </si>
  <si>
    <t>2.2.2</t>
  </si>
  <si>
    <t>Serviços especializados de publicidade, produção de material promocional e veiculação de campanhas promocionais</t>
  </si>
  <si>
    <t>2.3</t>
  </si>
  <si>
    <t xml:space="preserve">Avaliação dos  Planos operacionais anuais do PEMT </t>
  </si>
  <si>
    <t>1.1.1, 1.3.1 e 3.1.1</t>
  </si>
  <si>
    <t>Implantação do SITUR - coleta e produção de dados</t>
  </si>
  <si>
    <t>3.2.1</t>
  </si>
  <si>
    <t>Elaboração dos Planos Diretores municipais</t>
  </si>
  <si>
    <t>3.2.2</t>
  </si>
  <si>
    <t>Elaboração de Planos de Gestão Turística</t>
  </si>
  <si>
    <t>3.2.3</t>
  </si>
  <si>
    <t>3.2.4.1</t>
  </si>
  <si>
    <t>Implementação do plano de fortalecimento de gestão municipal e estadual - bens</t>
  </si>
  <si>
    <t>3.2.4.2</t>
  </si>
  <si>
    <t>Implementação do plano de fortalecimento de gestão municipal e estadual - serviços</t>
  </si>
  <si>
    <t>3.2.4.3</t>
  </si>
  <si>
    <t>Capacitação da equipe UCP/SETESP</t>
  </si>
  <si>
    <t>5.1.2</t>
  </si>
  <si>
    <t>5.1.3</t>
  </si>
  <si>
    <t>Implementação do Programa de Educação Ambiental</t>
  </si>
  <si>
    <t>5.2.2</t>
  </si>
  <si>
    <t>Implementação de Sistema de Monitoramento Ambiental e Sociocultural</t>
  </si>
  <si>
    <t>5.2.3.1</t>
  </si>
  <si>
    <t>Elaboração do Plano de Manejo da APA Litoral Norte (Litoral Sul)</t>
  </si>
  <si>
    <t>5.2.4.1</t>
  </si>
  <si>
    <t>5.2.4.2</t>
  </si>
  <si>
    <t>Implementação das ações prioritárias do plano de manejo da APA do Litoral Norte (Litoral Sul)</t>
  </si>
  <si>
    <t>Implementação do Plano de Uso público para a Monumento Natural Grota do Angico</t>
  </si>
  <si>
    <t>5.2.5.2</t>
  </si>
  <si>
    <t>5.2.6</t>
  </si>
  <si>
    <t>5.2.7.2</t>
  </si>
  <si>
    <t>BRB3407</t>
  </si>
  <si>
    <t>1.3.2.3 e 5.2.7.3</t>
  </si>
  <si>
    <t>5.3.2</t>
  </si>
  <si>
    <t>Implantação da PGC/SE em Áreas Costeiras</t>
  </si>
  <si>
    <t>5.3.3</t>
  </si>
  <si>
    <t xml:space="preserve">Programas de capacitação em controle e fiscalização ambiental </t>
  </si>
  <si>
    <t>3.2.5, 6.1 e 6.2</t>
  </si>
  <si>
    <t>6.3.1</t>
  </si>
  <si>
    <t>6.3.2</t>
  </si>
  <si>
    <t>6.3.3</t>
  </si>
  <si>
    <t>Avaliação final do programa</t>
  </si>
  <si>
    <t>1.3.2.2 a</t>
  </si>
  <si>
    <t>Elaboração ou atualização de projetos executivos de obras de orlas [SALDO DA AÇÃO]</t>
  </si>
  <si>
    <t>3 e 6</t>
  </si>
  <si>
    <t>1.1.4.1</t>
  </si>
  <si>
    <t>1.3.2.6 a</t>
  </si>
  <si>
    <t>1.3.2.6 b</t>
  </si>
  <si>
    <r>
      <t>Projeto executivo para sistema de esgotamento sanitário em pontos turísticos chaves e estudos ambientais - Pontal [</t>
    </r>
    <r>
      <rPr>
        <b/>
        <sz val="10"/>
        <color rgb="FFFF0000"/>
        <rFont val="Calibri"/>
        <family val="2"/>
        <scheme val="minor"/>
      </rPr>
      <t>AGUARDAR DEFINIÇÃO</t>
    </r>
    <r>
      <rPr>
        <sz val="10"/>
        <color theme="1"/>
        <rFont val="Calibri"/>
        <family val="2"/>
        <scheme val="minor"/>
      </rPr>
      <t>]</t>
    </r>
  </si>
  <si>
    <t>Adequação da trilha do cangaço e de trilhas na MONA da Grota do Angico (abertura de trilha, sinalização, melhoria)</t>
  </si>
  <si>
    <t>Curso de formação e capacitação básica de profissionais ligados à área de turismo nos municípios integrantes dos Polos Costa dos Coqueirais e Polo Velho Chico</t>
  </si>
  <si>
    <t>Cursos de pós-graduação em gestão de empreendimentos turísticos e em planejamento da atividade turística nos pólos Costa dos Coqueirais e Velho Chico</t>
  </si>
  <si>
    <t>ver</t>
  </si>
  <si>
    <t>n/a</t>
  </si>
  <si>
    <t>Elaboração e de planos de proteção e recuperação de áreas ambientais frágeis ou degradadas e elaboração de estudos ambientais - Zoneamento Ecológico-Econômico</t>
  </si>
  <si>
    <t>Elaboração e implantação do programa de comunicação e prevenção à exploração sexual de crianças e adolescentes decorrentes da atividade turística</t>
  </si>
  <si>
    <t>Total                       (U$ x mil)</t>
  </si>
  <si>
    <t>4.2.1</t>
  </si>
  <si>
    <t>4.2.2</t>
  </si>
  <si>
    <t>4.2.3</t>
  </si>
  <si>
    <t>Conclusão da implantação de rodovia, trecho prolongamento da Av. Maranhão até BR-235 no município de Nossa Senhora do Socorro</t>
  </si>
  <si>
    <t>Obra de desmonte do Morro de Piçarreira, no bairro de Santa Maria, para ampliação do Aeroporto de Aracaju</t>
  </si>
  <si>
    <t>SEINFRA</t>
  </si>
  <si>
    <t>Serviços técnicos especializados de elaboração dos projetos de engenharia nas etapas de serviços e estudos preliminares, projetos básicos, projetos executivos e serviços complementares, para novo terminal do aeroporto de Aracaju/SE</t>
  </si>
  <si>
    <t>CEHOP</t>
  </si>
  <si>
    <t>Elaboração de projeto básico e executivo de engenharia para implantação de ponte estaiada e acessos sob re o Rio São Francisco, intreligando os municípios de Brejo Grande/SE e Piaçabuçu/AL</t>
  </si>
  <si>
    <t>Serviços/obras de implantação, melhoramento e pavimentação da rodovia de ligação entre Japoatã e Propriá (BR-101) no estado de Sergipe</t>
  </si>
  <si>
    <t>Duraçao contrato</t>
  </si>
  <si>
    <t>?</t>
  </si>
  <si>
    <t>foi</t>
  </si>
  <si>
    <t>12 em 2017</t>
  </si>
  <si>
    <t>BR11628</t>
  </si>
  <si>
    <t>BR11627</t>
  </si>
  <si>
    <t>Contrato 022/2013</t>
  </si>
  <si>
    <t>[ver]</t>
  </si>
  <si>
    <t>2013</t>
  </si>
  <si>
    <t>Contrato 00123/2010</t>
  </si>
  <si>
    <t>2010</t>
  </si>
  <si>
    <t>BR1172</t>
  </si>
  <si>
    <t>Revisão dos Planos Diretores dos Municípios de São Cristóvão e Estância</t>
  </si>
  <si>
    <t>[apenas p/ contratos ex-ante]</t>
  </si>
  <si>
    <t>BRB3627</t>
  </si>
  <si>
    <t>UCP/SETUR</t>
  </si>
  <si>
    <t>Capacitação da equipe UCP/SETUR</t>
  </si>
  <si>
    <t>BRB3626</t>
  </si>
  <si>
    <t>Implementação do plano de fortalecimento de gestão municipal e estadual - bens (equipamentos informática para SETUR)</t>
  </si>
  <si>
    <t>026.301.00740/2012-1</t>
  </si>
  <si>
    <t>033.000.00390/2015-6</t>
  </si>
  <si>
    <t>033.000.00054/2014-3</t>
  </si>
  <si>
    <t>033.000.00036/2016-1</t>
  </si>
  <si>
    <t>033.000.00391/2015-0</t>
  </si>
  <si>
    <t>033.000.00046/2016-5</t>
  </si>
  <si>
    <t>033.000.00193/2012-1</t>
  </si>
  <si>
    <t>033.000.00343/2015-1</t>
  </si>
  <si>
    <t>033.000.00339/2015-5</t>
  </si>
  <si>
    <t>033.000.00371/2015-3</t>
  </si>
  <si>
    <t>033.000.00346/2015-5</t>
  </si>
  <si>
    <t>033.000.00025/2015-5</t>
  </si>
  <si>
    <t>033.000.00024/2015-0</t>
  </si>
  <si>
    <t>033.000.00400/2015-6</t>
  </si>
  <si>
    <t>033.000.00399/2015-7</t>
  </si>
  <si>
    <t>033.000.00398/2015-2</t>
  </si>
  <si>
    <t>033.000.00049/2014-2</t>
  </si>
  <si>
    <t>Número do Processo</t>
  </si>
  <si>
    <t>033.000.00015/2016-1</t>
  </si>
  <si>
    <t>033.000.00122/2016-2</t>
  </si>
  <si>
    <t>033.000.00116/2016-7</t>
  </si>
  <si>
    <t>033.000.00117/2016-1</t>
  </si>
  <si>
    <t>033.000.00118/2016-6</t>
  </si>
  <si>
    <t xml:space="preserve">Elaboração de Estudos Preliminares, Projeto Básico e Projeto Executivo para Recuperação, Construção e Requalificação de Atracadouros </t>
  </si>
  <si>
    <t>Projeto executivo para sistema de esgotamento sanitário em pontos turísticos chaves e estudos ambientais - [Povoado Saúde - Santana do São Francisco]</t>
  </si>
  <si>
    <t>ID PMR</t>
  </si>
  <si>
    <t>1.2.6</t>
  </si>
  <si>
    <t>1.4.2.3 - 1.4.2.7 - 5.2.8.3</t>
  </si>
  <si>
    <t>1.4.2.4</t>
  </si>
  <si>
    <t>1.4.2.5</t>
  </si>
  <si>
    <t>5.2.8.2</t>
  </si>
  <si>
    <t>3.2.5.1</t>
  </si>
  <si>
    <t>1.2.1 - 1.4.1 - 3.1.1</t>
  </si>
  <si>
    <t>1.2.4 - 1.2.5</t>
  </si>
  <si>
    <t>1.4.2.2</t>
  </si>
  <si>
    <t>1.4.2.8</t>
  </si>
  <si>
    <t>1.6.1</t>
  </si>
  <si>
    <t>3.2.7 - 6.1 - 6.2</t>
  </si>
  <si>
    <t>5.2.7</t>
  </si>
  <si>
    <t>5.2.8.1</t>
  </si>
  <si>
    <t>1.4.2.1</t>
  </si>
  <si>
    <t>1.7.4.1</t>
  </si>
  <si>
    <t>1.7.4.2</t>
  </si>
  <si>
    <t>1.7.4.3</t>
  </si>
  <si>
    <t>1.7.4.4</t>
  </si>
  <si>
    <t>3.2.5.3</t>
  </si>
  <si>
    <t>033.000.00074/2016-7</t>
  </si>
  <si>
    <t>1.3.2</t>
  </si>
  <si>
    <t>Avaliação final do Programa</t>
  </si>
  <si>
    <t>1.4.2.9</t>
  </si>
  <si>
    <t>033.000.00123/2016-7</t>
  </si>
  <si>
    <t>4.2</t>
  </si>
  <si>
    <t>Diagnóstico para o sistema de informações turísticas</t>
  </si>
  <si>
    <t>Diagnóstico e Plano de Ação para Educação e Sensibilização Ambiental</t>
  </si>
  <si>
    <t>[VER]</t>
  </si>
  <si>
    <t>038.000.00016/2017-4</t>
  </si>
  <si>
    <t>038.000.00014/2017-5</t>
  </si>
  <si>
    <t>PLANO DE AQUISIÇÕES (PA) 2017 / 2018</t>
  </si>
  <si>
    <t>BRB3051</t>
  </si>
  <si>
    <t>033.000.000033/2017-8</t>
  </si>
  <si>
    <t>033.000.000032/2017-3</t>
  </si>
  <si>
    <t>033.000.000034/2017-2</t>
  </si>
  <si>
    <t>BR11836</t>
  </si>
  <si>
    <t>BR11834</t>
  </si>
  <si>
    <t>1.4.2.6 a</t>
  </si>
  <si>
    <t>1.4.2.6 b</t>
  </si>
  <si>
    <t>1.4.2.6 c</t>
  </si>
  <si>
    <t>1.4.2.6 d</t>
  </si>
  <si>
    <t>Construção da orla do povoado Pontal em Indiaroba</t>
  </si>
  <si>
    <t>Construção da orla do povoado Crasto em Santa Luzia do Itanhy</t>
  </si>
  <si>
    <t>Construção da orla do povoado Curralinho em Poço Redondo</t>
  </si>
  <si>
    <t>Recuperação de atracadouro e revitalização da orlinha de São Cristóvão</t>
  </si>
  <si>
    <t>Execução atracadouros</t>
  </si>
  <si>
    <t>Obra de desmonte do Morro de Piçarreira, no bairro de Santa Maria, para ampliação da pista de pouso do aeroporto de Aracaju/SE</t>
  </si>
  <si>
    <t>1.4.2.2b</t>
  </si>
  <si>
    <t>Revisão da atualização de projetos executivos de obras de orlas - Orla de Crasto</t>
  </si>
  <si>
    <t>Elaboração ou atualização de projetos executivos de obras de orlas - Orla de Crasto</t>
  </si>
  <si>
    <t>BR11845</t>
  </si>
  <si>
    <r>
      <t>Atualizado em:</t>
    </r>
    <r>
      <rPr>
        <sz val="11"/>
        <color rgb="FFFF0000"/>
        <rFont val="Calibri"/>
        <family val="2"/>
        <scheme val="minor"/>
      </rPr>
      <t xml:space="preserve"> 01/11/2017</t>
    </r>
  </si>
  <si>
    <r>
      <t>Atualização Nº:</t>
    </r>
    <r>
      <rPr>
        <sz val="11"/>
        <color rgb="FFFF0000"/>
        <rFont val="Calibri"/>
        <family val="2"/>
        <scheme val="minor"/>
      </rPr>
      <t xml:space="preserve"> 20</t>
    </r>
  </si>
  <si>
    <r>
      <t>Atualizado por:</t>
    </r>
    <r>
      <rPr>
        <sz val="11"/>
        <color rgb="FFFF0000"/>
        <rFont val="Calibri"/>
        <family val="2"/>
        <scheme val="minor"/>
      </rPr>
      <t xml:space="preserve"> Eduardo Paiva</t>
    </r>
  </si>
  <si>
    <r>
      <t xml:space="preserve">Método de Aquisição
</t>
    </r>
    <r>
      <rPr>
        <i/>
        <sz val="9"/>
        <color theme="1"/>
        <rFont val="Calibri"/>
        <family val="2"/>
      </rPr>
      <t>(Selecionar uma das Opções)</t>
    </r>
  </si>
  <si>
    <r>
      <t xml:space="preserve">Método de Revisão </t>
    </r>
    <r>
      <rPr>
        <i/>
        <sz val="9"/>
        <color theme="1"/>
        <rFont val="Calibri"/>
        <family val="2"/>
        <scheme val="minor"/>
      </rPr>
      <t>(Selecionar uma das opções)</t>
    </r>
  </si>
  <si>
    <r>
      <t xml:space="preserve">Outras obras de adequação e melhoria de infraestrutura de acesso a atrativos turísticos </t>
    </r>
    <r>
      <rPr>
        <sz val="11"/>
        <color rgb="FFFF0000"/>
        <rFont val="Calibri"/>
        <family val="2"/>
        <scheme val="minor"/>
      </rPr>
      <t>[CONTRAPARTIDA A DETALHAR]</t>
    </r>
  </si>
  <si>
    <r>
      <t xml:space="preserve">Método de Seleção
</t>
    </r>
    <r>
      <rPr>
        <i/>
        <sz val="9"/>
        <color theme="1"/>
        <rFont val="Calibri"/>
        <family val="2"/>
      </rPr>
      <t>(Selecionar uma das Opções)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</si>
</sst>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7" formatCode="_(* #,##0.00_);_(* \(#,##0.00\);_(* \-??_);_(@_)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0" fontId="1" fillId="0" borderId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ill="0" applyBorder="0" applyAlignment="0" applyProtection="0"/>
    <xf numFmtId="0" fontId="17" fillId="0" borderId="0" applyNumberFormat="0" applyFill="0" applyBorder="0" applyAlignment="0" applyProtection="0"/>
    <xf numFmtId="167" fontId="1" fillId="0" borderId="0" applyFill="0" applyBorder="0" applyProtection="0">
      <alignment vertical="center"/>
    </xf>
  </cellStyleXfs>
  <cellXfs count="186">
    <xf numFmtId="0" fontId="0" fillId="0" borderId="0" xfId="0"/>
    <xf numFmtId="0" fontId="2" fillId="0" borderId="0" xfId="38"/>
    <xf numFmtId="0" fontId="0" fillId="0" borderId="0" xfId="0"/>
    <xf numFmtId="0" fontId="20" fillId="0" borderId="10" xfId="38" applyFont="1" applyFill="1" applyBorder="1" applyAlignment="1">
      <alignment vertical="center" wrapText="1"/>
    </xf>
    <xf numFmtId="4" fontId="0" fillId="0" borderId="0" xfId="0" applyNumberFormat="1"/>
    <xf numFmtId="10" fontId="0" fillId="0" borderId="0" xfId="0" applyNumberFormat="1"/>
    <xf numFmtId="17" fontId="2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38" applyFont="1" applyFill="1" applyBorder="1" applyAlignment="1">
      <alignment vertical="center" wrapText="1"/>
    </xf>
    <xf numFmtId="17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22" fillId="25" borderId="10" xfId="38" applyFont="1" applyFill="1" applyBorder="1" applyAlignment="1">
      <alignment horizontal="left" vertical="center" wrapText="1"/>
    </xf>
    <xf numFmtId="0" fontId="22" fillId="0" borderId="10" xfId="38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justify" vertical="center" wrapText="1"/>
    </xf>
    <xf numFmtId="4" fontId="20" fillId="0" borderId="10" xfId="0" applyNumberFormat="1" applyFont="1" applyFill="1" applyBorder="1" applyAlignment="1">
      <alignment horizontal="justify" vertical="center" wrapText="1"/>
    </xf>
    <xf numFmtId="4" fontId="22" fillId="0" borderId="10" xfId="0" applyNumberFormat="1" applyFont="1" applyFill="1" applyBorder="1" applyAlignment="1">
      <alignment horizontal="justify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5" fillId="0" borderId="0" xfId="38" applyFont="1" applyAlignment="1">
      <alignment vertical="center"/>
    </xf>
    <xf numFmtId="1" fontId="22" fillId="25" borderId="10" xfId="0" applyNumberFormat="1" applyFont="1" applyFill="1" applyBorder="1" applyAlignment="1">
      <alignment horizontal="center" vertical="center" wrapText="1"/>
    </xf>
    <xf numFmtId="17" fontId="25" fillId="0" borderId="10" xfId="0" applyNumberFormat="1" applyFont="1" applyFill="1" applyBorder="1" applyAlignment="1">
      <alignment horizontal="center" vertical="center" wrapText="1"/>
    </xf>
    <xf numFmtId="17" fontId="22" fillId="28" borderId="10" xfId="0" applyNumberFormat="1" applyFont="1" applyFill="1" applyBorder="1" applyAlignment="1">
      <alignment horizontal="center" vertical="center" wrapText="1"/>
    </xf>
    <xf numFmtId="0" fontId="22" fillId="25" borderId="10" xfId="38" applyFont="1" applyFill="1" applyBorder="1" applyAlignment="1">
      <alignment vertical="center" wrapText="1"/>
    </xf>
    <xf numFmtId="4" fontId="22" fillId="29" borderId="10" xfId="0" applyNumberFormat="1" applyFont="1" applyFill="1" applyBorder="1" applyAlignment="1">
      <alignment horizontal="justify" vertical="center" wrapText="1"/>
    </xf>
    <xf numFmtId="0" fontId="22" fillId="0" borderId="10" xfId="38" applyFont="1" applyFill="1" applyBorder="1" applyAlignment="1">
      <alignment horizontal="left" vertical="center" wrapText="1"/>
    </xf>
    <xf numFmtId="17" fontId="22" fillId="25" borderId="10" xfId="0" applyNumberFormat="1" applyFont="1" applyFill="1" applyBorder="1" applyAlignment="1">
      <alignment horizontal="center" vertical="center" wrapText="1"/>
    </xf>
    <xf numFmtId="0" fontId="22" fillId="28" borderId="10" xfId="38" applyFont="1" applyFill="1" applyBorder="1" applyAlignment="1">
      <alignment horizontal="center" vertical="center" wrapText="1"/>
    </xf>
    <xf numFmtId="4" fontId="22" fillId="28" borderId="10" xfId="0" applyNumberFormat="1" applyFont="1" applyFill="1" applyBorder="1" applyAlignment="1">
      <alignment horizontal="justify" vertical="center" wrapText="1"/>
    </xf>
    <xf numFmtId="0" fontId="22" fillId="28" borderId="10" xfId="38" applyFont="1" applyFill="1" applyBorder="1" applyAlignment="1">
      <alignment horizontal="left" vertical="center" wrapText="1"/>
    </xf>
    <xf numFmtId="0" fontId="22" fillId="28" borderId="10" xfId="38" applyFont="1" applyFill="1" applyBorder="1" applyAlignment="1">
      <alignment vertical="center" wrapText="1"/>
    </xf>
    <xf numFmtId="4" fontId="22" fillId="28" borderId="10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22" fillId="26" borderId="10" xfId="38" applyFont="1" applyFill="1" applyBorder="1" applyAlignment="1">
      <alignment horizontal="center" vertical="center" wrapText="1"/>
    </xf>
    <xf numFmtId="4" fontId="22" fillId="26" borderId="10" xfId="0" applyNumberFormat="1" applyFont="1" applyFill="1" applyBorder="1" applyAlignment="1">
      <alignment horizontal="justify" vertical="center" wrapText="1"/>
    </xf>
    <xf numFmtId="0" fontId="22" fillId="26" borderId="10" xfId="38" applyFont="1" applyFill="1" applyBorder="1" applyAlignment="1">
      <alignment horizontal="left" vertical="center" wrapText="1"/>
    </xf>
    <xf numFmtId="4" fontId="22" fillId="26" borderId="10" xfId="0" applyNumberFormat="1" applyFont="1" applyFill="1" applyBorder="1" applyAlignment="1">
      <alignment horizontal="right" vertical="center" wrapText="1"/>
    </xf>
    <xf numFmtId="17" fontId="22" fillId="26" borderId="10" xfId="0" applyNumberFormat="1" applyFont="1" applyFill="1" applyBorder="1" applyAlignment="1">
      <alignment horizontal="center" vertical="center" wrapText="1"/>
    </xf>
    <xf numFmtId="0" fontId="22" fillId="26" borderId="10" xfId="38" applyFont="1" applyFill="1" applyBorder="1" applyAlignment="1">
      <alignment vertical="center" wrapText="1"/>
    </xf>
    <xf numFmtId="0" fontId="22" fillId="30" borderId="10" xfId="38" applyFont="1" applyFill="1" applyBorder="1" applyAlignment="1">
      <alignment horizontal="center" vertical="center" wrapText="1"/>
    </xf>
    <xf numFmtId="4" fontId="22" fillId="30" borderId="10" xfId="0" applyNumberFormat="1" applyFont="1" applyFill="1" applyBorder="1" applyAlignment="1">
      <alignment horizontal="justify" vertical="center" wrapText="1"/>
    </xf>
    <xf numFmtId="0" fontId="22" fillId="30" borderId="10" xfId="38" applyFont="1" applyFill="1" applyBorder="1" applyAlignment="1">
      <alignment horizontal="left" vertical="center" wrapText="1"/>
    </xf>
    <xf numFmtId="4" fontId="22" fillId="30" borderId="10" xfId="0" applyNumberFormat="1" applyFont="1" applyFill="1" applyBorder="1" applyAlignment="1">
      <alignment horizontal="right" vertical="center" wrapText="1"/>
    </xf>
    <xf numFmtId="17" fontId="22" fillId="30" borderId="10" xfId="0" applyNumberFormat="1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1" fontId="22" fillId="28" borderId="10" xfId="0" applyNumberFormat="1" applyFont="1" applyFill="1" applyBorder="1" applyAlignment="1">
      <alignment horizontal="center" vertical="center" wrapText="1"/>
    </xf>
    <xf numFmtId="1" fontId="22" fillId="26" borderId="10" xfId="0" applyNumberFormat="1" applyFont="1" applyFill="1" applyBorder="1" applyAlignment="1">
      <alignment horizontal="center" vertical="center" wrapText="1"/>
    </xf>
    <xf numFmtId="1" fontId="22" fillId="28" borderId="10" xfId="0" applyNumberFormat="1" applyFont="1" applyFill="1" applyBorder="1" applyAlignment="1">
      <alignment horizontal="justify" vertical="center" wrapText="1"/>
    </xf>
    <xf numFmtId="4" fontId="22" fillId="28" borderId="10" xfId="0" applyNumberFormat="1" applyFont="1" applyFill="1" applyBorder="1" applyAlignment="1">
      <alignment vertical="center" wrapText="1"/>
    </xf>
    <xf numFmtId="0" fontId="22" fillId="26" borderId="10" xfId="0" applyFont="1" applyFill="1" applyBorder="1" applyAlignment="1">
      <alignment horizontal="center" vertical="center" wrapText="1"/>
    </xf>
    <xf numFmtId="4" fontId="22" fillId="26" borderId="10" xfId="0" applyNumberFormat="1" applyFont="1" applyFill="1" applyBorder="1" applyAlignment="1">
      <alignment vertical="center" wrapText="1"/>
    </xf>
    <xf numFmtId="0" fontId="22" fillId="31" borderId="10" xfId="0" applyFont="1" applyFill="1" applyBorder="1" applyAlignment="1">
      <alignment horizontal="center" vertical="center" wrapText="1"/>
    </xf>
    <xf numFmtId="4" fontId="22" fillId="31" borderId="10" xfId="0" applyNumberFormat="1" applyFont="1" applyFill="1" applyBorder="1" applyAlignment="1">
      <alignment horizontal="justify" vertical="center" wrapText="1"/>
    </xf>
    <xf numFmtId="0" fontId="22" fillId="31" borderId="10" xfId="38" applyFont="1" applyFill="1" applyBorder="1" applyAlignment="1">
      <alignment vertical="center" wrapText="1"/>
    </xf>
    <xf numFmtId="4" fontId="22" fillId="31" borderId="10" xfId="0" applyNumberFormat="1" applyFont="1" applyFill="1" applyBorder="1" applyAlignment="1">
      <alignment vertical="center" wrapText="1"/>
    </xf>
    <xf numFmtId="4" fontId="22" fillId="31" borderId="10" xfId="0" applyNumberFormat="1" applyFont="1" applyFill="1" applyBorder="1" applyAlignment="1">
      <alignment horizontal="right" vertical="center" wrapText="1"/>
    </xf>
    <xf numFmtId="17" fontId="22" fillId="31" borderId="10" xfId="0" applyNumberFormat="1" applyFont="1" applyFill="1" applyBorder="1" applyAlignment="1">
      <alignment horizontal="center" vertical="center" wrapText="1"/>
    </xf>
    <xf numFmtId="1" fontId="22" fillId="31" borderId="10" xfId="0" applyNumberFormat="1" applyFont="1" applyFill="1" applyBorder="1" applyAlignment="1">
      <alignment horizontal="center" vertical="center" wrapText="1"/>
    </xf>
    <xf numFmtId="1" fontId="22" fillId="31" borderId="10" xfId="0" applyNumberFormat="1" applyFont="1" applyFill="1" applyBorder="1" applyAlignment="1">
      <alignment horizontal="justify" vertical="center" wrapText="1"/>
    </xf>
    <xf numFmtId="1" fontId="22" fillId="26" borderId="10" xfId="0" applyNumberFormat="1" applyFont="1" applyFill="1" applyBorder="1" applyAlignment="1">
      <alignment horizontal="justify" vertical="center" wrapText="1"/>
    </xf>
    <xf numFmtId="0" fontId="22" fillId="25" borderId="10" xfId="0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right" vertical="center" wrapText="1"/>
    </xf>
    <xf numFmtId="17" fontId="25" fillId="25" borderId="10" xfId="0" applyNumberFormat="1" applyFont="1" applyFill="1" applyBorder="1" applyAlignment="1">
      <alignment horizontal="center" vertical="center" wrapText="1"/>
    </xf>
    <xf numFmtId="4" fontId="22" fillId="25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  <xf numFmtId="0" fontId="0" fillId="30" borderId="0" xfId="0" applyFill="1" applyAlignment="1">
      <alignment vertical="center" wrapText="1"/>
    </xf>
    <xf numFmtId="14" fontId="0" fillId="31" borderId="0" xfId="0" applyNumberFormat="1" applyFill="1" applyAlignment="1">
      <alignment vertical="center" wrapText="1"/>
    </xf>
    <xf numFmtId="4" fontId="24" fillId="0" borderId="0" xfId="0" applyNumberFormat="1" applyFont="1"/>
    <xf numFmtId="0" fontId="0" fillId="0" borderId="10" xfId="0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8" fillId="0" borderId="0" xfId="0" applyFont="1"/>
    <xf numFmtId="4" fontId="28" fillId="0" borderId="0" xfId="0" applyNumberFormat="1" applyFont="1"/>
    <xf numFmtId="10" fontId="28" fillId="0" borderId="0" xfId="0" applyNumberFormat="1" applyFont="1"/>
    <xf numFmtId="0" fontId="28" fillId="0" borderId="0" xfId="0" applyFont="1" applyAlignment="1">
      <alignment horizontal="center"/>
    </xf>
    <xf numFmtId="0" fontId="27" fillId="0" borderId="0" xfId="0" applyFont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left" vertical="center"/>
    </xf>
    <xf numFmtId="0" fontId="33" fillId="0" borderId="0" xfId="0" applyFont="1"/>
    <xf numFmtId="0" fontId="34" fillId="24" borderId="14" xfId="38" applyFont="1" applyFill="1" applyBorder="1" applyAlignment="1">
      <alignment horizontal="left" vertical="center" wrapText="1"/>
    </xf>
    <xf numFmtId="0" fontId="34" fillId="24" borderId="15" xfId="38" applyFont="1" applyFill="1" applyBorder="1" applyAlignment="1">
      <alignment horizontal="left" vertical="center" wrapText="1"/>
    </xf>
    <xf numFmtId="0" fontId="34" fillId="24" borderId="13" xfId="38" applyFont="1" applyFill="1" applyBorder="1" applyAlignment="1">
      <alignment horizontal="left" vertical="center" wrapText="1"/>
    </xf>
    <xf numFmtId="0" fontId="35" fillId="0" borderId="0" xfId="38" applyFont="1"/>
    <xf numFmtId="0" fontId="36" fillId="24" borderId="10" xfId="38" applyFont="1" applyFill="1" applyBorder="1" applyAlignment="1">
      <alignment horizontal="center" vertical="center" wrapText="1"/>
    </xf>
    <xf numFmtId="0" fontId="36" fillId="24" borderId="10" xfId="38" applyFont="1" applyFill="1" applyBorder="1" applyAlignment="1">
      <alignment horizontal="center" vertical="center"/>
    </xf>
    <xf numFmtId="4" fontId="36" fillId="24" borderId="10" xfId="38" applyNumberFormat="1" applyFont="1" applyFill="1" applyBorder="1" applyAlignment="1">
      <alignment horizontal="center" vertical="center" wrapText="1"/>
    </xf>
    <xf numFmtId="10" fontId="36" fillId="24" borderId="10" xfId="38" applyNumberFormat="1" applyFont="1" applyFill="1" applyBorder="1" applyAlignment="1">
      <alignment horizontal="center" vertical="center" wrapText="1"/>
    </xf>
    <xf numFmtId="0" fontId="36" fillId="24" borderId="10" xfId="38" applyFont="1" applyFill="1" applyBorder="1" applyAlignment="1">
      <alignment horizontal="center" vertical="center" wrapText="1"/>
    </xf>
    <xf numFmtId="0" fontId="39" fillId="0" borderId="10" xfId="38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justify" vertical="center" wrapText="1"/>
    </xf>
    <xf numFmtId="0" fontId="39" fillId="0" borderId="10" xfId="38" applyFont="1" applyFill="1" applyBorder="1" applyAlignment="1">
      <alignment horizontal="left" vertical="center" wrapText="1"/>
    </xf>
    <xf numFmtId="0" fontId="40" fillId="0" borderId="10" xfId="38" applyFont="1" applyFill="1" applyBorder="1" applyAlignment="1">
      <alignment horizontal="right" vertical="center" wrapText="1"/>
    </xf>
    <xf numFmtId="4" fontId="39" fillId="25" borderId="10" xfId="0" applyNumberFormat="1" applyFont="1" applyFill="1" applyBorder="1" applyAlignment="1">
      <alignment horizontal="right" vertical="center" wrapText="1"/>
    </xf>
    <xf numFmtId="9" fontId="39" fillId="0" borderId="10" xfId="38" applyNumberFormat="1" applyFont="1" applyFill="1" applyBorder="1" applyAlignment="1">
      <alignment horizontal="center" vertical="center" wrapText="1"/>
    </xf>
    <xf numFmtId="17" fontId="39" fillId="0" borderId="10" xfId="0" applyNumberFormat="1" applyFont="1" applyFill="1" applyBorder="1" applyAlignment="1">
      <alignment horizontal="center" vertical="center" wrapText="1"/>
    </xf>
    <xf numFmtId="0" fontId="39" fillId="0" borderId="10" xfId="38" applyFont="1" applyFill="1" applyBorder="1" applyAlignment="1">
      <alignment vertical="center" wrapText="1"/>
    </xf>
    <xf numFmtId="17" fontId="39" fillId="25" borderId="10" xfId="0" applyNumberFormat="1" applyFont="1" applyFill="1" applyBorder="1" applyAlignment="1">
      <alignment horizontal="center" vertical="center" wrapText="1"/>
    </xf>
    <xf numFmtId="0" fontId="39" fillId="25" borderId="10" xfId="38" applyFont="1" applyFill="1" applyBorder="1" applyAlignment="1">
      <alignment horizontal="center" vertical="center" wrapText="1"/>
    </xf>
    <xf numFmtId="0" fontId="39" fillId="25" borderId="10" xfId="38" applyFont="1" applyFill="1" applyBorder="1" applyAlignment="1">
      <alignment horizontal="left" vertical="center" wrapText="1"/>
    </xf>
    <xf numFmtId="0" fontId="40" fillId="25" borderId="10" xfId="38" applyFont="1" applyFill="1" applyBorder="1" applyAlignment="1">
      <alignment horizontal="right" vertical="center" wrapText="1"/>
    </xf>
    <xf numFmtId="9" fontId="39" fillId="25" borderId="10" xfId="38" applyNumberFormat="1" applyFont="1" applyFill="1" applyBorder="1" applyAlignment="1">
      <alignment horizontal="center" vertical="center" wrapText="1"/>
    </xf>
    <xf numFmtId="0" fontId="41" fillId="25" borderId="10" xfId="38" applyFont="1" applyFill="1" applyBorder="1" applyAlignment="1">
      <alignment horizontal="center" vertical="center" wrapText="1"/>
    </xf>
    <xf numFmtId="4" fontId="41" fillId="25" borderId="10" xfId="0" applyNumberFormat="1" applyFont="1" applyFill="1" applyBorder="1" applyAlignment="1">
      <alignment horizontal="justify" vertical="center" wrapText="1"/>
    </xf>
    <xf numFmtId="0" fontId="41" fillId="25" borderId="10" xfId="38" applyFont="1" applyFill="1" applyBorder="1" applyAlignment="1">
      <alignment vertical="center" wrapText="1"/>
    </xf>
    <xf numFmtId="0" fontId="42" fillId="25" borderId="10" xfId="38" applyFont="1" applyFill="1" applyBorder="1" applyAlignment="1">
      <alignment horizontal="right" vertical="center" wrapText="1"/>
    </xf>
    <xf numFmtId="9" fontId="41" fillId="25" borderId="10" xfId="38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" fontId="39" fillId="25" borderId="10" xfId="0" applyNumberFormat="1" applyFont="1" applyFill="1" applyBorder="1" applyAlignment="1">
      <alignment horizontal="justify" vertical="center" wrapText="1"/>
    </xf>
    <xf numFmtId="0" fontId="41" fillId="0" borderId="0" xfId="38" applyFont="1" applyFill="1" applyBorder="1" applyAlignment="1">
      <alignment vertical="center" wrapText="1"/>
    </xf>
    <xf numFmtId="0" fontId="43" fillId="0" borderId="0" xfId="38" applyFont="1" applyFill="1" applyBorder="1" applyAlignment="1">
      <alignment vertical="center"/>
    </xf>
    <xf numFmtId="0" fontId="43" fillId="0" borderId="0" xfId="38" applyFont="1" applyFill="1" applyBorder="1" applyAlignment="1">
      <alignment vertical="center" wrapText="1"/>
    </xf>
    <xf numFmtId="4" fontId="44" fillId="0" borderId="0" xfId="38" applyNumberFormat="1" applyFont="1" applyFill="1" applyBorder="1" applyAlignment="1">
      <alignment horizontal="right" vertical="center" wrapText="1"/>
    </xf>
    <xf numFmtId="165" fontId="41" fillId="0" borderId="0" xfId="44" applyFont="1" applyFill="1" applyBorder="1" applyAlignment="1">
      <alignment vertical="center" wrapText="1"/>
    </xf>
    <xf numFmtId="0" fontId="41" fillId="0" borderId="0" xfId="38" applyFont="1" applyFill="1" applyBorder="1" applyAlignment="1">
      <alignment horizontal="center" vertical="center" wrapText="1"/>
    </xf>
    <xf numFmtId="0" fontId="41" fillId="0" borderId="10" xfId="38" applyFont="1" applyFill="1" applyBorder="1" applyAlignment="1">
      <alignment horizontal="center" vertical="center" wrapText="1"/>
    </xf>
    <xf numFmtId="0" fontId="41" fillId="0" borderId="10" xfId="38" applyFont="1" applyFill="1" applyBorder="1" applyAlignment="1">
      <alignment horizontal="left" vertical="center" wrapText="1"/>
    </xf>
    <xf numFmtId="0" fontId="41" fillId="0" borderId="10" xfId="38" applyFont="1" applyFill="1" applyBorder="1" applyAlignment="1">
      <alignment vertical="center" wrapText="1"/>
    </xf>
    <xf numFmtId="4" fontId="41" fillId="0" borderId="10" xfId="38" applyNumberFormat="1" applyFont="1" applyFill="1" applyBorder="1" applyAlignment="1">
      <alignment horizontal="right" vertical="center" wrapText="1"/>
    </xf>
    <xf numFmtId="10" fontId="41" fillId="0" borderId="10" xfId="38" applyNumberFormat="1" applyFont="1" applyFill="1" applyBorder="1" applyAlignment="1">
      <alignment horizontal="center" vertical="center" wrapText="1"/>
    </xf>
    <xf numFmtId="17" fontId="41" fillId="0" borderId="10" xfId="38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0" fontId="40" fillId="0" borderId="10" xfId="38" applyFont="1" applyFill="1" applyBorder="1" applyAlignment="1">
      <alignment horizontal="center" vertical="center" wrapText="1"/>
    </xf>
    <xf numFmtId="0" fontId="45" fillId="0" borderId="0" xfId="38" applyFont="1" applyAlignment="1">
      <alignment vertical="center"/>
    </xf>
    <xf numFmtId="0" fontId="43" fillId="0" borderId="0" xfId="38" applyFont="1" applyFill="1" applyBorder="1" applyAlignment="1">
      <alignment horizontal="left" vertical="center"/>
    </xf>
    <xf numFmtId="4" fontId="43" fillId="0" borderId="0" xfId="38" applyNumberFormat="1" applyFont="1" applyFill="1" applyBorder="1" applyAlignment="1">
      <alignment vertical="center" wrapText="1"/>
    </xf>
    <xf numFmtId="10" fontId="41" fillId="0" borderId="0" xfId="38" applyNumberFormat="1" applyFont="1" applyFill="1" applyBorder="1" applyAlignment="1">
      <alignment vertical="center" wrapText="1"/>
    </xf>
    <xf numFmtId="0" fontId="34" fillId="24" borderId="12" xfId="38" applyFont="1" applyFill="1" applyBorder="1" applyAlignment="1">
      <alignment horizontal="left" vertical="center" wrapText="1"/>
    </xf>
    <xf numFmtId="0" fontId="36" fillId="24" borderId="15" xfId="38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6" xfId="38" applyFont="1" applyFill="1" applyBorder="1" applyAlignment="1">
      <alignment horizontal="left" vertical="center"/>
    </xf>
    <xf numFmtId="0" fontId="40" fillId="0" borderId="17" xfId="38" applyFont="1" applyFill="1" applyBorder="1" applyAlignment="1">
      <alignment horizontal="left" vertical="center"/>
    </xf>
    <xf numFmtId="1" fontId="39" fillId="0" borderId="10" xfId="38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33" fillId="0" borderId="0" xfId="0" applyFont="1" applyAlignment="1">
      <alignment vertical="center"/>
    </xf>
    <xf numFmtId="4" fontId="39" fillId="0" borderId="10" xfId="0" applyNumberFormat="1" applyFont="1" applyFill="1" applyBorder="1" applyAlignment="1">
      <alignment horizontal="left" vertical="center" wrapText="1"/>
    </xf>
    <xf numFmtId="1" fontId="39" fillId="0" borderId="10" xfId="0" applyNumberFormat="1" applyFont="1" applyFill="1" applyBorder="1" applyAlignment="1">
      <alignment horizontal="justify" vertical="center" wrapText="1"/>
    </xf>
    <xf numFmtId="4" fontId="39" fillId="32" borderId="10" xfId="0" applyNumberFormat="1" applyFont="1" applyFill="1" applyBorder="1" applyAlignment="1">
      <alignment horizontal="right" vertical="center" wrapText="1"/>
    </xf>
    <xf numFmtId="0" fontId="40" fillId="0" borderId="16" xfId="38" applyFont="1" applyFill="1" applyBorder="1" applyAlignment="1">
      <alignment horizontal="left" vertical="center" wrapText="1"/>
    </xf>
    <xf numFmtId="0" fontId="40" fillId="0" borderId="17" xfId="38" applyFont="1" applyFill="1" applyBorder="1" applyAlignment="1">
      <alignment horizontal="left" vertical="center" wrapText="1"/>
    </xf>
    <xf numFmtId="0" fontId="39" fillId="32" borderId="10" xfId="38" applyFont="1" applyFill="1" applyBorder="1" applyAlignment="1">
      <alignment vertical="center" wrapText="1"/>
    </xf>
    <xf numFmtId="1" fontId="39" fillId="25" borderId="10" xfId="0" applyNumberFormat="1" applyFont="1" applyFill="1" applyBorder="1" applyAlignment="1">
      <alignment horizontal="center" vertical="center" wrapText="1"/>
    </xf>
    <xf numFmtId="0" fontId="40" fillId="0" borderId="16" xfId="38" applyFont="1" applyFill="1" applyBorder="1" applyAlignment="1">
      <alignment horizontal="center" vertical="center"/>
    </xf>
    <xf numFmtId="0" fontId="40" fillId="0" borderId="17" xfId="38" applyFont="1" applyFill="1" applyBorder="1" applyAlignment="1">
      <alignment horizontal="center" vertical="center"/>
    </xf>
    <xf numFmtId="165" fontId="43" fillId="0" borderId="0" xfId="44" applyFont="1" applyFill="1" applyBorder="1" applyAlignment="1">
      <alignment horizontal="right" vertical="center" wrapText="1"/>
    </xf>
    <xf numFmtId="4" fontId="41" fillId="0" borderId="0" xfId="38" applyNumberFormat="1" applyFont="1" applyFill="1" applyBorder="1" applyAlignment="1">
      <alignment vertical="center" wrapText="1"/>
    </xf>
    <xf numFmtId="0" fontId="36" fillId="24" borderId="12" xfId="38" applyFont="1" applyFill="1" applyBorder="1" applyAlignment="1">
      <alignment horizontal="center" vertical="center" wrapText="1"/>
    </xf>
    <xf numFmtId="0" fontId="39" fillId="0" borderId="16" xfId="45" applyFont="1" applyFill="1" applyBorder="1" applyAlignment="1">
      <alignment vertical="center"/>
    </xf>
    <xf numFmtId="0" fontId="39" fillId="0" borderId="10" xfId="45" applyFont="1" applyFill="1" applyBorder="1" applyAlignment="1">
      <alignment horizontal="center" vertical="center" wrapText="1"/>
    </xf>
    <xf numFmtId="9" fontId="39" fillId="0" borderId="10" xfId="45" applyNumberFormat="1" applyFont="1" applyFill="1" applyBorder="1" applyAlignment="1">
      <alignment horizontal="center" vertical="center" wrapText="1"/>
    </xf>
    <xf numFmtId="1" fontId="39" fillId="0" borderId="10" xfId="45" applyNumberFormat="1" applyFont="1" applyFill="1" applyBorder="1" applyAlignment="1">
      <alignment horizontal="center" vertical="center" wrapText="1"/>
    </xf>
    <xf numFmtId="0" fontId="39" fillId="0" borderId="10" xfId="45" applyFont="1" applyFill="1" applyBorder="1" applyAlignment="1">
      <alignment vertical="center" wrapText="1"/>
    </xf>
    <xf numFmtId="165" fontId="28" fillId="0" borderId="0" xfId="0" applyNumberFormat="1" applyFont="1"/>
    <xf numFmtId="4" fontId="39" fillId="25" borderId="10" xfId="0" applyNumberFormat="1" applyFont="1" applyFill="1" applyBorder="1" applyAlignment="1">
      <alignment vertical="center" wrapText="1"/>
    </xf>
    <xf numFmtId="0" fontId="28" fillId="0" borderId="0" xfId="0" applyFont="1" applyAlignment="1"/>
    <xf numFmtId="0" fontId="46" fillId="27" borderId="12" xfId="0" applyFont="1" applyFill="1" applyBorder="1" applyAlignment="1">
      <alignment horizontal="center" vertical="center"/>
    </xf>
    <xf numFmtId="0" fontId="41" fillId="0" borderId="10" xfId="1" applyFont="1" applyFill="1" applyBorder="1" applyAlignment="1">
      <alignment vertical="center" wrapText="1"/>
    </xf>
    <xf numFmtId="0" fontId="46" fillId="27" borderId="11" xfId="0" applyFont="1" applyFill="1" applyBorder="1" applyAlignment="1">
      <alignment horizontal="center" vertical="center"/>
    </xf>
    <xf numFmtId="0" fontId="46" fillId="27" borderId="15" xfId="0" applyFont="1" applyFill="1" applyBorder="1" applyAlignment="1">
      <alignment horizontal="center" vertical="center"/>
    </xf>
    <xf numFmtId="0" fontId="47" fillId="0" borderId="10" xfId="0" applyFont="1" applyBorder="1"/>
    <xf numFmtId="0" fontId="46" fillId="27" borderId="12" xfId="0" applyFont="1" applyFill="1" applyBorder="1" applyAlignment="1">
      <alignment horizontal="center" vertical="center" wrapText="1"/>
    </xf>
    <xf numFmtId="0" fontId="46" fillId="27" borderId="11" xfId="0" applyFont="1" applyFill="1" applyBorder="1" applyAlignment="1">
      <alignment horizontal="center" vertical="center" wrapText="1"/>
    </xf>
    <xf numFmtId="10" fontId="48" fillId="0" borderId="0" xfId="0" applyNumberFormat="1" applyFont="1"/>
    <xf numFmtId="0" fontId="46" fillId="27" borderId="15" xfId="0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/>
    </xf>
    <xf numFmtId="0" fontId="41" fillId="0" borderId="10" xfId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49" fillId="0" borderId="0" xfId="38" applyFont="1" applyFill="1" applyBorder="1" applyAlignment="1">
      <alignment vertical="center"/>
    </xf>
    <xf numFmtId="4" fontId="49" fillId="0" borderId="0" xfId="38" applyNumberFormat="1" applyFont="1" applyFill="1" applyBorder="1" applyAlignment="1">
      <alignment vertical="center" wrapText="1"/>
    </xf>
  </cellXfs>
  <cellStyles count="6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46" xr:uid="{00000000-0005-0000-0000-00001B000000}"/>
    <cellStyle name="Currency 2" xfId="47" xr:uid="{00000000-0005-0000-0000-00001C000000}"/>
    <cellStyle name="Currency 3" xfId="48" xr:uid="{00000000-0005-0000-0000-00001D000000}"/>
    <cellStyle name="Explanatory Text 2" xfId="29" xr:uid="{00000000-0005-0000-0000-00001E000000}"/>
    <cellStyle name="Good 2" xfId="30" xr:uid="{00000000-0005-0000-0000-00001F000000}"/>
    <cellStyle name="Heading 1 2" xfId="31" xr:uid="{00000000-0005-0000-0000-000020000000}"/>
    <cellStyle name="Heading 2 2" xfId="32" xr:uid="{00000000-0005-0000-0000-000021000000}"/>
    <cellStyle name="Heading 3 2" xfId="33" xr:uid="{00000000-0005-0000-0000-000022000000}"/>
    <cellStyle name="Heading 4 2" xfId="34" xr:uid="{00000000-0005-0000-0000-000023000000}"/>
    <cellStyle name="Input 2" xfId="35" xr:uid="{00000000-0005-0000-0000-000024000000}"/>
    <cellStyle name="Linked Cell 2" xfId="36" xr:uid="{00000000-0005-0000-0000-000025000000}"/>
    <cellStyle name="Neutral 2" xfId="37" xr:uid="{00000000-0005-0000-0000-000026000000}"/>
    <cellStyle name="Normal" xfId="0" builtinId="0"/>
    <cellStyle name="Normal 2" xfId="38" xr:uid="{00000000-0005-0000-0000-000028000000}"/>
    <cellStyle name="Normal 2 2" xfId="45" xr:uid="{00000000-0005-0000-0000-000029000000}"/>
    <cellStyle name="Normal 2 2 2" xfId="49" xr:uid="{00000000-0005-0000-0000-00002A000000}"/>
    <cellStyle name="Normal 2 3" xfId="50" xr:uid="{00000000-0005-0000-0000-00002B000000}"/>
    <cellStyle name="Normal 3" xfId="1" xr:uid="{00000000-0005-0000-0000-00002C000000}"/>
    <cellStyle name="Normal 3 2" xfId="51" xr:uid="{00000000-0005-0000-0000-00002D000000}"/>
    <cellStyle name="Normal 3 3" xfId="52" xr:uid="{00000000-0005-0000-0000-00002E000000}"/>
    <cellStyle name="Normal 3 4" xfId="53" xr:uid="{00000000-0005-0000-0000-00002F000000}"/>
    <cellStyle name="Normal 4" xfId="54" xr:uid="{00000000-0005-0000-0000-000030000000}"/>
    <cellStyle name="Normal 4 2" xfId="55" xr:uid="{00000000-0005-0000-0000-000031000000}"/>
    <cellStyle name="Normal 4 3" xfId="56" xr:uid="{00000000-0005-0000-0000-000032000000}"/>
    <cellStyle name="Normal 5" xfId="57" xr:uid="{00000000-0005-0000-0000-000033000000}"/>
    <cellStyle name="Normal 5 2" xfId="58" xr:uid="{00000000-0005-0000-0000-000034000000}"/>
    <cellStyle name="Normal 5 3" xfId="59" xr:uid="{00000000-0005-0000-0000-000035000000}"/>
    <cellStyle name="Normal 6" xfId="60" xr:uid="{00000000-0005-0000-0000-000036000000}"/>
    <cellStyle name="Normal 7" xfId="61" xr:uid="{00000000-0005-0000-0000-000037000000}"/>
    <cellStyle name="Normal 8" xfId="62" xr:uid="{00000000-0005-0000-0000-000038000000}"/>
    <cellStyle name="Normal 9" xfId="63" xr:uid="{00000000-0005-0000-0000-000039000000}"/>
    <cellStyle name="Note 2" xfId="39" xr:uid="{00000000-0005-0000-0000-00003A000000}"/>
    <cellStyle name="Output 2" xfId="40" xr:uid="{00000000-0005-0000-0000-00003B000000}"/>
    <cellStyle name="Percent 2" xfId="64" xr:uid="{00000000-0005-0000-0000-00003C000000}"/>
    <cellStyle name="Porcentagem 2" xfId="65" xr:uid="{00000000-0005-0000-0000-00003E000000}"/>
    <cellStyle name="Separador de milhares 2" xfId="66" xr:uid="{00000000-0005-0000-0000-00003F000000}"/>
    <cellStyle name="Title 2" xfId="41" xr:uid="{00000000-0005-0000-0000-000040000000}"/>
    <cellStyle name="Título 5" xfId="67" xr:uid="{00000000-0005-0000-0000-000041000000}"/>
    <cellStyle name="Total 2" xfId="42" xr:uid="{00000000-0005-0000-0000-000042000000}"/>
    <cellStyle name="Vírgula" xfId="44" builtinId="3"/>
    <cellStyle name="Vírgula 2" xfId="68" xr:uid="{00000000-0005-0000-0000-000044000000}"/>
    <cellStyle name="Warning Text 2" xfId="43" xr:uid="{00000000-0005-0000-0000-000045000000}"/>
  </cellStyles>
  <dxfs count="0"/>
  <tableStyles count="0" defaultTableStyle="TableStyleMedium9" defaultPivotStyle="PivotStyleLight16"/>
  <colors>
    <mruColors>
      <color rgb="FF3366FF"/>
      <color rgb="FF00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DATA.IDB/My%20Documents/Work%20in%20Progress/Brazil%20General/Models%20-%20Bank%20Templates/Planning_tools_SG_supervision_v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P"/>
      <sheetName val="Procurement Plan (By Component)"/>
      <sheetName val="Procurement Plan (By proctype)"/>
      <sheetName val="Financial plan (Disbursements)"/>
      <sheetName val="Sheet2"/>
      <sheetName val="Sheet1"/>
    </sheetNames>
    <sheetDataSet>
      <sheetData sheetId="0"/>
      <sheetData sheetId="1" refreshError="1"/>
      <sheetData sheetId="2" refreshError="1"/>
      <sheetData sheetId="3">
        <row r="7">
          <cell r="AX7" t="str">
            <v>Programmed</v>
          </cell>
        </row>
        <row r="8">
          <cell r="AX8" t="str">
            <v>Signed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9"/>
  <sheetViews>
    <sheetView showGridLines="0" tabSelected="1" view="pageBreakPreview" zoomScale="75" zoomScaleNormal="75" zoomScaleSheetLayoutView="75" workbookViewId="0"/>
  </sheetViews>
  <sheetFormatPr defaultColWidth="9.109375" defaultRowHeight="14.4" x14ac:dyDescent="0.3"/>
  <cols>
    <col min="1" max="1" width="13.44140625" style="83" customWidth="1"/>
    <col min="2" max="2" width="9.88671875" style="83" customWidth="1"/>
    <col min="3" max="3" width="36.5546875" style="83" customWidth="1"/>
    <col min="4" max="4" width="23.109375" style="83" customWidth="1"/>
    <col min="5" max="5" width="18.109375" style="83" customWidth="1"/>
    <col min="6" max="6" width="17.88671875" style="83" customWidth="1"/>
    <col min="7" max="7" width="17.6640625" style="84" customWidth="1"/>
    <col min="8" max="9" width="17.6640625" style="85" customWidth="1"/>
    <col min="10" max="10" width="12.88671875" style="83" customWidth="1"/>
    <col min="11" max="11" width="21.109375" style="83" customWidth="1"/>
    <col min="12" max="12" width="13.5546875" style="83" customWidth="1"/>
    <col min="13" max="13" width="12.6640625" style="83" customWidth="1"/>
    <col min="14" max="14" width="11.88671875" style="86" customWidth="1"/>
    <col min="15" max="15" width="16.6640625" style="83" customWidth="1"/>
    <col min="16" max="16" width="9.109375" style="83"/>
    <col min="17" max="18" width="12" style="83" bestFit="1" customWidth="1"/>
    <col min="19" max="16384" width="9.109375" style="83"/>
  </cols>
  <sheetData>
    <row r="1" spans="1:16" ht="18" x14ac:dyDescent="0.3">
      <c r="A1" s="82" t="s">
        <v>39</v>
      </c>
    </row>
    <row r="2" spans="1:16" ht="18" x14ac:dyDescent="0.35">
      <c r="A2" s="87" t="s">
        <v>40</v>
      </c>
    </row>
    <row r="3" spans="1:16" ht="10.5" customHeight="1" x14ac:dyDescent="0.3">
      <c r="A3" s="88"/>
    </row>
    <row r="4" spans="1:16" ht="18" x14ac:dyDescent="0.3">
      <c r="A4" s="89" t="s">
        <v>295</v>
      </c>
    </row>
    <row r="5" spans="1:16" ht="10.5" customHeight="1" x14ac:dyDescent="0.3">
      <c r="A5" s="90"/>
    </row>
    <row r="6" spans="1:16" ht="15.6" x14ac:dyDescent="0.3">
      <c r="A6" s="91" t="s">
        <v>316</v>
      </c>
    </row>
    <row r="7" spans="1:16" ht="15.6" x14ac:dyDescent="0.3">
      <c r="A7" s="91" t="s">
        <v>317</v>
      </c>
      <c r="B7" s="92"/>
    </row>
    <row r="8" spans="1:16" ht="15.6" x14ac:dyDescent="0.3">
      <c r="A8" s="91" t="s">
        <v>318</v>
      </c>
      <c r="B8" s="92"/>
    </row>
    <row r="9" spans="1:16" ht="10.65" customHeight="1" x14ac:dyDescent="0.3"/>
    <row r="10" spans="1:16" ht="15.6" x14ac:dyDescent="0.3">
      <c r="A10" s="93" t="s">
        <v>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  <c r="P10" s="96"/>
    </row>
    <row r="11" spans="1:16" ht="15" customHeight="1" x14ac:dyDescent="0.3">
      <c r="A11" s="97" t="s">
        <v>7</v>
      </c>
      <c r="B11" s="97" t="s">
        <v>263</v>
      </c>
      <c r="C11" s="97" t="s">
        <v>67</v>
      </c>
      <c r="D11" s="97" t="s">
        <v>319</v>
      </c>
      <c r="E11" s="97" t="s">
        <v>65</v>
      </c>
      <c r="F11" s="97" t="s">
        <v>255</v>
      </c>
      <c r="G11" s="98" t="s">
        <v>17</v>
      </c>
      <c r="H11" s="98"/>
      <c r="I11" s="98"/>
      <c r="J11" s="97" t="s">
        <v>66</v>
      </c>
      <c r="K11" s="97" t="s">
        <v>320</v>
      </c>
      <c r="L11" s="97" t="s">
        <v>18</v>
      </c>
      <c r="M11" s="97"/>
      <c r="N11" s="97" t="s">
        <v>41</v>
      </c>
      <c r="O11" s="97" t="s">
        <v>42</v>
      </c>
      <c r="P11" s="96"/>
    </row>
    <row r="12" spans="1:16" ht="54.75" customHeight="1" x14ac:dyDescent="0.3">
      <c r="A12" s="97"/>
      <c r="B12" s="97"/>
      <c r="C12" s="97"/>
      <c r="D12" s="97"/>
      <c r="E12" s="97"/>
      <c r="F12" s="97"/>
      <c r="G12" s="99" t="s">
        <v>85</v>
      </c>
      <c r="H12" s="100" t="s">
        <v>73</v>
      </c>
      <c r="I12" s="100" t="s">
        <v>74</v>
      </c>
      <c r="J12" s="97"/>
      <c r="K12" s="97"/>
      <c r="L12" s="101" t="s">
        <v>19</v>
      </c>
      <c r="M12" s="101" t="s">
        <v>20</v>
      </c>
      <c r="N12" s="97"/>
      <c r="O12" s="97"/>
      <c r="P12" s="96"/>
    </row>
    <row r="13" spans="1:16" ht="45" customHeight="1" x14ac:dyDescent="0.3">
      <c r="A13" s="102" t="s">
        <v>234</v>
      </c>
      <c r="B13" s="102" t="s">
        <v>264</v>
      </c>
      <c r="C13" s="103" t="s">
        <v>32</v>
      </c>
      <c r="D13" s="104" t="s">
        <v>35</v>
      </c>
      <c r="E13" s="102">
        <v>1</v>
      </c>
      <c r="F13" s="105" t="s">
        <v>239</v>
      </c>
      <c r="G13" s="106">
        <v>461.66399999999999</v>
      </c>
      <c r="H13" s="107">
        <v>1</v>
      </c>
      <c r="I13" s="107">
        <v>0</v>
      </c>
      <c r="J13" s="102">
        <v>1</v>
      </c>
      <c r="K13" s="102" t="s">
        <v>5</v>
      </c>
      <c r="L13" s="108">
        <v>42576</v>
      </c>
      <c r="M13" s="108">
        <v>42766</v>
      </c>
      <c r="N13" s="102" t="s">
        <v>236</v>
      </c>
      <c r="O13" s="109" t="s">
        <v>47</v>
      </c>
      <c r="P13" s="96"/>
    </row>
    <row r="14" spans="1:16" ht="45" customHeight="1" x14ac:dyDescent="0.3">
      <c r="A14" s="102" t="s">
        <v>234</v>
      </c>
      <c r="B14" s="102" t="s">
        <v>285</v>
      </c>
      <c r="C14" s="103" t="s">
        <v>132</v>
      </c>
      <c r="D14" s="109" t="s">
        <v>8</v>
      </c>
      <c r="E14" s="102">
        <v>1</v>
      </c>
      <c r="F14" s="105"/>
      <c r="G14" s="106">
        <v>4000</v>
      </c>
      <c r="H14" s="107">
        <v>1</v>
      </c>
      <c r="I14" s="107">
        <v>0</v>
      </c>
      <c r="J14" s="102">
        <v>1</v>
      </c>
      <c r="K14" s="102" t="s">
        <v>5</v>
      </c>
      <c r="L14" s="110">
        <v>43115</v>
      </c>
      <c r="M14" s="110">
        <f>L14+90</f>
        <v>43205</v>
      </c>
      <c r="N14" s="102"/>
      <c r="O14" s="104" t="s">
        <v>45</v>
      </c>
      <c r="P14" s="96"/>
    </row>
    <row r="15" spans="1:16" ht="60" customHeight="1" x14ac:dyDescent="0.3">
      <c r="A15" s="102" t="s">
        <v>234</v>
      </c>
      <c r="B15" s="102" t="s">
        <v>265</v>
      </c>
      <c r="C15" s="103" t="s">
        <v>28</v>
      </c>
      <c r="D15" s="109" t="s">
        <v>8</v>
      </c>
      <c r="E15" s="102">
        <v>1</v>
      </c>
      <c r="F15" s="105" t="s">
        <v>240</v>
      </c>
      <c r="G15" s="106">
        <v>1844.22</v>
      </c>
      <c r="H15" s="107">
        <v>1</v>
      </c>
      <c r="I15" s="107">
        <v>0</v>
      </c>
      <c r="J15" s="102" t="s">
        <v>71</v>
      </c>
      <c r="K15" s="111" t="s">
        <v>5</v>
      </c>
      <c r="L15" s="108">
        <v>42194</v>
      </c>
      <c r="M15" s="108">
        <v>42277</v>
      </c>
      <c r="N15" s="102" t="s">
        <v>296</v>
      </c>
      <c r="O15" s="109" t="s">
        <v>47</v>
      </c>
      <c r="P15" s="96"/>
    </row>
    <row r="16" spans="1:16" ht="45" customHeight="1" x14ac:dyDescent="0.3">
      <c r="A16" s="111" t="s">
        <v>234</v>
      </c>
      <c r="B16" s="102" t="s">
        <v>266</v>
      </c>
      <c r="C16" s="103" t="s">
        <v>59</v>
      </c>
      <c r="D16" s="112" t="s">
        <v>8</v>
      </c>
      <c r="E16" s="111">
        <v>1</v>
      </c>
      <c r="F16" s="113" t="s">
        <v>284</v>
      </c>
      <c r="G16" s="106">
        <f>2268495.07/3.1358/1000</f>
        <v>723.41828879392813</v>
      </c>
      <c r="H16" s="114">
        <v>1</v>
      </c>
      <c r="I16" s="114">
        <v>0</v>
      </c>
      <c r="J16" s="111">
        <v>1</v>
      </c>
      <c r="K16" s="111" t="s">
        <v>5</v>
      </c>
      <c r="L16" s="110">
        <v>43084</v>
      </c>
      <c r="M16" s="110">
        <f>L16+90</f>
        <v>43174</v>
      </c>
      <c r="N16" s="102"/>
      <c r="O16" s="109" t="s">
        <v>45</v>
      </c>
      <c r="P16" s="96"/>
    </row>
    <row r="17" spans="1:16" ht="30" customHeight="1" x14ac:dyDescent="0.3">
      <c r="A17" s="111" t="s">
        <v>234</v>
      </c>
      <c r="B17" s="102" t="s">
        <v>267</v>
      </c>
      <c r="C17" s="103" t="s">
        <v>60</v>
      </c>
      <c r="D17" s="112" t="s">
        <v>8</v>
      </c>
      <c r="E17" s="111">
        <v>1</v>
      </c>
      <c r="F17" s="113"/>
      <c r="G17" s="106">
        <v>525</v>
      </c>
      <c r="H17" s="114">
        <v>1</v>
      </c>
      <c r="I17" s="114">
        <v>0</v>
      </c>
      <c r="J17" s="111">
        <v>1</v>
      </c>
      <c r="K17" s="111" t="s">
        <v>5</v>
      </c>
      <c r="L17" s="110">
        <v>43115</v>
      </c>
      <c r="M17" s="110">
        <f>L17+90</f>
        <v>43205</v>
      </c>
      <c r="N17" s="102"/>
      <c r="O17" s="109" t="s">
        <v>45</v>
      </c>
      <c r="P17" s="96"/>
    </row>
    <row r="18" spans="1:16" ht="30" customHeight="1" x14ac:dyDescent="0.3">
      <c r="A18" s="115" t="s">
        <v>234</v>
      </c>
      <c r="B18" s="111" t="s">
        <v>302</v>
      </c>
      <c r="C18" s="116" t="s">
        <v>306</v>
      </c>
      <c r="D18" s="117" t="s">
        <v>8</v>
      </c>
      <c r="E18" s="115">
        <v>1</v>
      </c>
      <c r="F18" s="118"/>
      <c r="G18" s="106">
        <v>600</v>
      </c>
      <c r="H18" s="119">
        <v>1</v>
      </c>
      <c r="I18" s="119">
        <v>0</v>
      </c>
      <c r="J18" s="115">
        <v>1</v>
      </c>
      <c r="K18" s="115" t="s">
        <v>5</v>
      </c>
      <c r="L18" s="110">
        <v>43115</v>
      </c>
      <c r="M18" s="110">
        <f>L18+90</f>
        <v>43205</v>
      </c>
      <c r="N18" s="111"/>
      <c r="O18" s="117" t="s">
        <v>45</v>
      </c>
      <c r="P18" s="96"/>
    </row>
    <row r="19" spans="1:16" ht="30" customHeight="1" x14ac:dyDescent="0.3">
      <c r="A19" s="115" t="s">
        <v>234</v>
      </c>
      <c r="B19" s="111" t="s">
        <v>303</v>
      </c>
      <c r="C19" s="116" t="s">
        <v>307</v>
      </c>
      <c r="D19" s="117" t="s">
        <v>8</v>
      </c>
      <c r="E19" s="115">
        <v>1</v>
      </c>
      <c r="F19" s="118"/>
      <c r="G19" s="106">
        <v>700</v>
      </c>
      <c r="H19" s="119">
        <v>1</v>
      </c>
      <c r="I19" s="119">
        <v>0</v>
      </c>
      <c r="J19" s="115">
        <v>1</v>
      </c>
      <c r="K19" s="115" t="s">
        <v>5</v>
      </c>
      <c r="L19" s="110">
        <v>43115</v>
      </c>
      <c r="M19" s="110">
        <f t="shared" ref="M19:M21" si="0">L19+90</f>
        <v>43205</v>
      </c>
      <c r="N19" s="111"/>
      <c r="O19" s="117" t="s">
        <v>45</v>
      </c>
      <c r="P19" s="96"/>
    </row>
    <row r="20" spans="1:16" ht="30" customHeight="1" x14ac:dyDescent="0.3">
      <c r="A20" s="115" t="s">
        <v>234</v>
      </c>
      <c r="B20" s="111" t="s">
        <v>304</v>
      </c>
      <c r="C20" s="116" t="s">
        <v>308</v>
      </c>
      <c r="D20" s="117" t="s">
        <v>8</v>
      </c>
      <c r="E20" s="115">
        <v>1</v>
      </c>
      <c r="F20" s="118"/>
      <c r="G20" s="106">
        <v>218.018</v>
      </c>
      <c r="H20" s="119">
        <v>1</v>
      </c>
      <c r="I20" s="119">
        <v>0</v>
      </c>
      <c r="J20" s="115">
        <v>1</v>
      </c>
      <c r="K20" s="115" t="s">
        <v>5</v>
      </c>
      <c r="L20" s="110">
        <v>43115</v>
      </c>
      <c r="M20" s="110">
        <f t="shared" si="0"/>
        <v>43205</v>
      </c>
      <c r="N20" s="111"/>
      <c r="O20" s="117" t="s">
        <v>45</v>
      </c>
      <c r="P20" s="96"/>
    </row>
    <row r="21" spans="1:16" ht="30" customHeight="1" x14ac:dyDescent="0.3">
      <c r="A21" s="115" t="s">
        <v>234</v>
      </c>
      <c r="B21" s="111" t="s">
        <v>305</v>
      </c>
      <c r="C21" s="116" t="s">
        <v>309</v>
      </c>
      <c r="D21" s="117" t="s">
        <v>8</v>
      </c>
      <c r="E21" s="115">
        <v>1</v>
      </c>
      <c r="F21" s="118"/>
      <c r="G21" s="106">
        <v>300</v>
      </c>
      <c r="H21" s="119">
        <v>1</v>
      </c>
      <c r="I21" s="119">
        <v>0</v>
      </c>
      <c r="J21" s="115">
        <v>1</v>
      </c>
      <c r="K21" s="115" t="s">
        <v>5</v>
      </c>
      <c r="L21" s="110">
        <v>43115</v>
      </c>
      <c r="M21" s="110">
        <f t="shared" si="0"/>
        <v>43205</v>
      </c>
      <c r="N21" s="111"/>
      <c r="O21" s="117" t="s">
        <v>45</v>
      </c>
      <c r="P21" s="96"/>
    </row>
    <row r="22" spans="1:16" ht="30" customHeight="1" x14ac:dyDescent="0.3">
      <c r="A22" s="115" t="s">
        <v>234</v>
      </c>
      <c r="B22" s="111" t="s">
        <v>287</v>
      </c>
      <c r="C22" s="116" t="s">
        <v>310</v>
      </c>
      <c r="D22" s="104" t="s">
        <v>35</v>
      </c>
      <c r="E22" s="115">
        <v>1</v>
      </c>
      <c r="F22" s="118"/>
      <c r="G22" s="106">
        <v>50</v>
      </c>
      <c r="H22" s="119">
        <v>1</v>
      </c>
      <c r="I22" s="119">
        <v>0</v>
      </c>
      <c r="J22" s="115">
        <v>1</v>
      </c>
      <c r="K22" s="115" t="s">
        <v>5</v>
      </c>
      <c r="L22" s="110">
        <v>43115</v>
      </c>
      <c r="M22" s="110">
        <f>L22+60</f>
        <v>43175</v>
      </c>
      <c r="N22" s="111"/>
      <c r="O22" s="117" t="s">
        <v>45</v>
      </c>
      <c r="P22" s="96"/>
    </row>
    <row r="23" spans="1:16" ht="90" customHeight="1" x14ac:dyDescent="0.3">
      <c r="A23" s="102" t="s">
        <v>216</v>
      </c>
      <c r="B23" s="102" t="s">
        <v>81</v>
      </c>
      <c r="C23" s="103" t="s">
        <v>215</v>
      </c>
      <c r="D23" s="104" t="s">
        <v>6</v>
      </c>
      <c r="E23" s="102">
        <v>1</v>
      </c>
      <c r="F23" s="105" t="s">
        <v>226</v>
      </c>
      <c r="G23" s="106">
        <f>444.067+444.067</f>
        <v>888.13400000000001</v>
      </c>
      <c r="H23" s="107">
        <v>0</v>
      </c>
      <c r="I23" s="107">
        <v>1</v>
      </c>
      <c r="J23" s="102">
        <v>4</v>
      </c>
      <c r="K23" s="102" t="s">
        <v>6</v>
      </c>
      <c r="L23" s="102">
        <v>2010</v>
      </c>
      <c r="M23" s="120" t="s">
        <v>229</v>
      </c>
      <c r="N23" s="102" t="s">
        <v>228</v>
      </c>
      <c r="O23" s="109" t="s">
        <v>2</v>
      </c>
      <c r="P23" s="96"/>
    </row>
    <row r="24" spans="1:16" ht="60" customHeight="1" x14ac:dyDescent="0.3">
      <c r="A24" s="102" t="s">
        <v>214</v>
      </c>
      <c r="B24" s="102" t="s">
        <v>82</v>
      </c>
      <c r="C24" s="103" t="s">
        <v>311</v>
      </c>
      <c r="D24" s="104" t="s">
        <v>6</v>
      </c>
      <c r="E24" s="102">
        <v>1</v>
      </c>
      <c r="F24" s="105" t="s">
        <v>238</v>
      </c>
      <c r="G24" s="106">
        <v>6340.7389999999996</v>
      </c>
      <c r="H24" s="107">
        <v>0</v>
      </c>
      <c r="I24" s="107">
        <v>1</v>
      </c>
      <c r="J24" s="102">
        <v>4</v>
      </c>
      <c r="K24" s="102" t="s">
        <v>6</v>
      </c>
      <c r="L24" s="120">
        <v>2012</v>
      </c>
      <c r="M24" s="120" t="s">
        <v>227</v>
      </c>
      <c r="N24" s="102" t="s">
        <v>225</v>
      </c>
      <c r="O24" s="109" t="s">
        <v>2</v>
      </c>
      <c r="P24" s="96"/>
    </row>
    <row r="25" spans="1:16" ht="60" customHeight="1" x14ac:dyDescent="0.3">
      <c r="A25" s="102" t="s">
        <v>292</v>
      </c>
      <c r="B25" s="102" t="s">
        <v>289</v>
      </c>
      <c r="C25" s="121" t="s">
        <v>321</v>
      </c>
      <c r="D25" s="104" t="s">
        <v>6</v>
      </c>
      <c r="E25" s="102">
        <v>1</v>
      </c>
      <c r="F25" s="105" t="s">
        <v>226</v>
      </c>
      <c r="G25" s="106">
        <v>11171.127</v>
      </c>
      <c r="H25" s="107">
        <v>0</v>
      </c>
      <c r="I25" s="107">
        <v>1</v>
      </c>
      <c r="J25" s="102">
        <v>4</v>
      </c>
      <c r="K25" s="102" t="s">
        <v>6</v>
      </c>
      <c r="L25" s="102">
        <v>2017</v>
      </c>
      <c r="M25" s="102">
        <v>2018</v>
      </c>
      <c r="N25" s="102" t="s">
        <v>226</v>
      </c>
      <c r="O25" s="104" t="s">
        <v>45</v>
      </c>
      <c r="P25" s="96"/>
    </row>
    <row r="26" spans="1:16" ht="45" customHeight="1" x14ac:dyDescent="0.3">
      <c r="A26" s="111" t="s">
        <v>234</v>
      </c>
      <c r="B26" s="102" t="s">
        <v>268</v>
      </c>
      <c r="C26" s="103" t="s">
        <v>62</v>
      </c>
      <c r="D26" s="112" t="s">
        <v>8</v>
      </c>
      <c r="E26" s="111">
        <v>1</v>
      </c>
      <c r="F26" s="113" t="s">
        <v>256</v>
      </c>
      <c r="G26" s="106">
        <v>1858.81</v>
      </c>
      <c r="H26" s="114">
        <v>1</v>
      </c>
      <c r="I26" s="114">
        <v>0</v>
      </c>
      <c r="J26" s="111">
        <v>5</v>
      </c>
      <c r="K26" s="111" t="s">
        <v>5</v>
      </c>
      <c r="L26" s="110">
        <v>42471</v>
      </c>
      <c r="M26" s="110">
        <v>42647</v>
      </c>
      <c r="N26" s="102" t="s">
        <v>183</v>
      </c>
      <c r="O26" s="109" t="s">
        <v>47</v>
      </c>
      <c r="P26" s="96"/>
    </row>
    <row r="27" spans="1:16" x14ac:dyDescent="0.3">
      <c r="A27" s="122"/>
      <c r="B27" s="122"/>
      <c r="C27" s="122"/>
      <c r="D27" s="122"/>
      <c r="E27" s="123" t="s">
        <v>102</v>
      </c>
      <c r="F27" s="124"/>
      <c r="G27" s="125">
        <f>SUM(G13:G26)</f>
        <v>29681.130288793927</v>
      </c>
      <c r="H27" s="126"/>
      <c r="I27" s="126"/>
      <c r="J27" s="126"/>
      <c r="K27" s="122"/>
      <c r="L27" s="122"/>
      <c r="M27" s="122"/>
      <c r="N27" s="127"/>
      <c r="O27" s="122"/>
      <c r="P27" s="96"/>
    </row>
    <row r="28" spans="1:16" ht="15" customHeight="1" x14ac:dyDescent="0.3">
      <c r="E28" s="123" t="s">
        <v>115</v>
      </c>
      <c r="F28" s="123"/>
      <c r="G28" s="125">
        <f>G27-G13-G15-G23-G24-G25-G26</f>
        <v>7116.436288793926</v>
      </c>
    </row>
    <row r="29" spans="1:16" ht="15" customHeight="1" x14ac:dyDescent="0.3">
      <c r="E29" s="123"/>
      <c r="F29" s="123"/>
      <c r="G29" s="125"/>
    </row>
    <row r="30" spans="1:16" ht="15.6" x14ac:dyDescent="0.3">
      <c r="A30" s="93" t="s">
        <v>112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  <c r="P30" s="96"/>
    </row>
    <row r="31" spans="1:16" ht="15" customHeight="1" x14ac:dyDescent="0.3">
      <c r="A31" s="97" t="s">
        <v>7</v>
      </c>
      <c r="B31" s="97" t="s">
        <v>87</v>
      </c>
      <c r="C31" s="97" t="s">
        <v>67</v>
      </c>
      <c r="D31" s="97" t="s">
        <v>319</v>
      </c>
      <c r="E31" s="97" t="s">
        <v>65</v>
      </c>
      <c r="F31" s="97" t="s">
        <v>255</v>
      </c>
      <c r="G31" s="98" t="s">
        <v>17</v>
      </c>
      <c r="H31" s="98"/>
      <c r="I31" s="98"/>
      <c r="J31" s="97" t="s">
        <v>66</v>
      </c>
      <c r="K31" s="97" t="s">
        <v>320</v>
      </c>
      <c r="L31" s="97" t="s">
        <v>18</v>
      </c>
      <c r="M31" s="97"/>
      <c r="N31" s="97" t="s">
        <v>41</v>
      </c>
      <c r="O31" s="97" t="s">
        <v>42</v>
      </c>
      <c r="P31" s="96"/>
    </row>
    <row r="32" spans="1:16" ht="51.75" customHeight="1" x14ac:dyDescent="0.3">
      <c r="A32" s="97"/>
      <c r="B32" s="97"/>
      <c r="C32" s="97"/>
      <c r="D32" s="97"/>
      <c r="E32" s="97"/>
      <c r="F32" s="97"/>
      <c r="G32" s="99" t="s">
        <v>85</v>
      </c>
      <c r="H32" s="100" t="s">
        <v>73</v>
      </c>
      <c r="I32" s="100" t="s">
        <v>74</v>
      </c>
      <c r="J32" s="97"/>
      <c r="K32" s="97"/>
      <c r="L32" s="101" t="s">
        <v>19</v>
      </c>
      <c r="M32" s="101" t="s">
        <v>20</v>
      </c>
      <c r="N32" s="97"/>
      <c r="O32" s="97"/>
      <c r="P32" s="96"/>
    </row>
    <row r="33" spans="1:16" ht="51.75" customHeight="1" x14ac:dyDescent="0.3">
      <c r="A33" s="102" t="s">
        <v>234</v>
      </c>
      <c r="B33" s="128" t="s">
        <v>150</v>
      </c>
      <c r="C33" s="129" t="s">
        <v>151</v>
      </c>
      <c r="D33" s="130" t="s">
        <v>8</v>
      </c>
      <c r="E33" s="128">
        <v>1</v>
      </c>
      <c r="F33" s="128"/>
      <c r="G33" s="131">
        <v>1250</v>
      </c>
      <c r="H33" s="132">
        <v>1</v>
      </c>
      <c r="I33" s="132">
        <v>0</v>
      </c>
      <c r="J33" s="128">
        <v>2</v>
      </c>
      <c r="K33" s="128" t="s">
        <v>5</v>
      </c>
      <c r="L33" s="133">
        <v>43084</v>
      </c>
      <c r="M33" s="133">
        <f>L33+90</f>
        <v>43174</v>
      </c>
      <c r="N33" s="128"/>
      <c r="O33" s="129" t="s">
        <v>45</v>
      </c>
      <c r="P33" s="96"/>
    </row>
    <row r="34" spans="1:16" ht="51.75" customHeight="1" x14ac:dyDescent="0.3">
      <c r="A34" s="102" t="s">
        <v>234</v>
      </c>
      <c r="B34" s="128" t="s">
        <v>152</v>
      </c>
      <c r="C34" s="129" t="s">
        <v>153</v>
      </c>
      <c r="D34" s="130" t="s">
        <v>8</v>
      </c>
      <c r="E34" s="128">
        <v>1</v>
      </c>
      <c r="F34" s="128"/>
      <c r="G34" s="131">
        <v>1250</v>
      </c>
      <c r="H34" s="132">
        <v>1</v>
      </c>
      <c r="I34" s="132">
        <v>0</v>
      </c>
      <c r="J34" s="128">
        <v>2</v>
      </c>
      <c r="K34" s="128" t="s">
        <v>5</v>
      </c>
      <c r="L34" s="133">
        <v>43084</v>
      </c>
      <c r="M34" s="133">
        <f>L34+90</f>
        <v>43174</v>
      </c>
      <c r="N34" s="128"/>
      <c r="O34" s="129" t="s">
        <v>45</v>
      </c>
      <c r="P34" s="96"/>
    </row>
    <row r="35" spans="1:16" ht="60" customHeight="1" x14ac:dyDescent="0.3">
      <c r="A35" s="102" t="s">
        <v>234</v>
      </c>
      <c r="B35" s="134" t="s">
        <v>269</v>
      </c>
      <c r="C35" s="103" t="s">
        <v>237</v>
      </c>
      <c r="D35" s="109" t="s">
        <v>35</v>
      </c>
      <c r="E35" s="102">
        <v>1</v>
      </c>
      <c r="F35" s="102"/>
      <c r="G35" s="135">
        <v>150.27199999999999</v>
      </c>
      <c r="H35" s="107">
        <v>1</v>
      </c>
      <c r="I35" s="107">
        <v>0</v>
      </c>
      <c r="J35" s="102">
        <v>3</v>
      </c>
      <c r="K35" s="102" t="s">
        <v>4</v>
      </c>
      <c r="L35" s="133">
        <v>43070</v>
      </c>
      <c r="M35" s="108">
        <f>L35+60</f>
        <v>43130</v>
      </c>
      <c r="N35" s="136" t="s">
        <v>232</v>
      </c>
      <c r="O35" s="109" t="s">
        <v>45</v>
      </c>
      <c r="P35" s="137"/>
    </row>
    <row r="36" spans="1:16" x14ac:dyDescent="0.3">
      <c r="A36" s="122"/>
      <c r="B36" s="122"/>
      <c r="C36" s="122"/>
      <c r="D36" s="122"/>
      <c r="E36" s="138" t="s">
        <v>113</v>
      </c>
      <c r="F36" s="124"/>
      <c r="G36" s="139">
        <f>SUM(G33:G35)</f>
        <v>2650.2719999999999</v>
      </c>
      <c r="H36" s="140"/>
      <c r="I36" s="140"/>
      <c r="J36" s="122"/>
      <c r="K36" s="122"/>
      <c r="L36" s="122"/>
      <c r="M36" s="122"/>
      <c r="N36" s="127"/>
      <c r="O36" s="122"/>
      <c r="P36" s="96"/>
    </row>
    <row r="37" spans="1:16" x14ac:dyDescent="0.3">
      <c r="E37" s="138" t="s">
        <v>114</v>
      </c>
      <c r="F37" s="123"/>
      <c r="G37" s="139">
        <f>G36</f>
        <v>2650.2719999999999</v>
      </c>
    </row>
    <row r="38" spans="1:16" x14ac:dyDescent="0.3">
      <c r="E38" s="138"/>
      <c r="F38" s="123"/>
      <c r="G38" s="139"/>
    </row>
    <row r="39" spans="1:16" ht="15.75" customHeight="1" x14ac:dyDescent="0.3">
      <c r="A39" s="93" t="s">
        <v>21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5"/>
    </row>
    <row r="40" spans="1:16" ht="15" customHeight="1" x14ac:dyDescent="0.3">
      <c r="A40" s="97" t="s">
        <v>7</v>
      </c>
      <c r="B40" s="97" t="s">
        <v>87</v>
      </c>
      <c r="C40" s="97" t="s">
        <v>67</v>
      </c>
      <c r="D40" s="97" t="s">
        <v>322</v>
      </c>
      <c r="E40" s="141"/>
      <c r="F40" s="141"/>
      <c r="G40" s="98" t="s">
        <v>17</v>
      </c>
      <c r="H40" s="98"/>
      <c r="I40" s="98"/>
      <c r="J40" s="97" t="s">
        <v>66</v>
      </c>
      <c r="K40" s="97" t="s">
        <v>320</v>
      </c>
      <c r="L40" s="97" t="s">
        <v>18</v>
      </c>
      <c r="M40" s="97"/>
      <c r="N40" s="97" t="s">
        <v>41</v>
      </c>
      <c r="O40" s="97" t="s">
        <v>42</v>
      </c>
    </row>
    <row r="41" spans="1:16" ht="45" customHeight="1" x14ac:dyDescent="0.3">
      <c r="A41" s="97"/>
      <c r="B41" s="97"/>
      <c r="C41" s="97"/>
      <c r="D41" s="97"/>
      <c r="E41" s="142" t="s">
        <v>255</v>
      </c>
      <c r="F41" s="142"/>
      <c r="G41" s="99" t="s">
        <v>85</v>
      </c>
      <c r="H41" s="100" t="s">
        <v>73</v>
      </c>
      <c r="I41" s="100" t="s">
        <v>74</v>
      </c>
      <c r="J41" s="97"/>
      <c r="K41" s="97"/>
      <c r="L41" s="101" t="s">
        <v>43</v>
      </c>
      <c r="M41" s="101" t="s">
        <v>20</v>
      </c>
      <c r="N41" s="97"/>
      <c r="O41" s="97"/>
    </row>
    <row r="42" spans="1:16" ht="45" customHeight="1" x14ac:dyDescent="0.3">
      <c r="A42" s="102" t="s">
        <v>234</v>
      </c>
      <c r="B42" s="143" t="s">
        <v>270</v>
      </c>
      <c r="C42" s="103" t="s">
        <v>98</v>
      </c>
      <c r="D42" s="109" t="s">
        <v>36</v>
      </c>
      <c r="E42" s="144" t="s">
        <v>260</v>
      </c>
      <c r="F42" s="145"/>
      <c r="G42" s="106">
        <v>468</v>
      </c>
      <c r="H42" s="107">
        <v>1</v>
      </c>
      <c r="I42" s="107">
        <v>0</v>
      </c>
      <c r="J42" s="146">
        <v>1</v>
      </c>
      <c r="K42" s="102" t="s">
        <v>5</v>
      </c>
      <c r="L42" s="108">
        <v>42663</v>
      </c>
      <c r="M42" s="108">
        <v>43059</v>
      </c>
      <c r="N42" s="102"/>
      <c r="O42" s="109" t="s">
        <v>14</v>
      </c>
    </row>
    <row r="43" spans="1:16" s="147" customFormat="1" ht="60" customHeight="1" x14ac:dyDescent="0.3">
      <c r="A43" s="102" t="s">
        <v>234</v>
      </c>
      <c r="B43" s="143" t="s">
        <v>271</v>
      </c>
      <c r="C43" s="103" t="s">
        <v>128</v>
      </c>
      <c r="D43" s="109" t="s">
        <v>36</v>
      </c>
      <c r="E43" s="144" t="s">
        <v>259</v>
      </c>
      <c r="F43" s="145"/>
      <c r="G43" s="106">
        <v>500</v>
      </c>
      <c r="H43" s="107">
        <v>1</v>
      </c>
      <c r="I43" s="107">
        <v>0</v>
      </c>
      <c r="J43" s="146">
        <v>1</v>
      </c>
      <c r="K43" s="102" t="s">
        <v>5</v>
      </c>
      <c r="L43" s="108">
        <v>42663</v>
      </c>
      <c r="M43" s="108">
        <v>43004</v>
      </c>
      <c r="N43" s="102" t="s">
        <v>300</v>
      </c>
      <c r="O43" s="109" t="s">
        <v>47</v>
      </c>
    </row>
    <row r="44" spans="1:16" ht="54.9" customHeight="1" x14ac:dyDescent="0.3">
      <c r="A44" s="102" t="s">
        <v>234</v>
      </c>
      <c r="B44" s="143" t="s">
        <v>272</v>
      </c>
      <c r="C44" s="103" t="s">
        <v>314</v>
      </c>
      <c r="D44" s="109" t="s">
        <v>13</v>
      </c>
      <c r="E44" s="144" t="s">
        <v>241</v>
      </c>
      <c r="F44" s="145"/>
      <c r="G44" s="106">
        <v>20.2</v>
      </c>
      <c r="H44" s="107">
        <v>1</v>
      </c>
      <c r="I44" s="107">
        <v>0</v>
      </c>
      <c r="J44" s="146">
        <v>1</v>
      </c>
      <c r="K44" s="102" t="s">
        <v>4</v>
      </c>
      <c r="L44" s="108" t="s">
        <v>205</v>
      </c>
      <c r="M44" s="108">
        <v>42558</v>
      </c>
      <c r="N44" s="136" t="s">
        <v>78</v>
      </c>
      <c r="O44" s="109" t="s">
        <v>2</v>
      </c>
    </row>
    <row r="45" spans="1:16" ht="54.9" customHeight="1" x14ac:dyDescent="0.3">
      <c r="A45" s="102" t="s">
        <v>234</v>
      </c>
      <c r="B45" s="143" t="s">
        <v>312</v>
      </c>
      <c r="C45" s="103" t="s">
        <v>313</v>
      </c>
      <c r="D45" s="109" t="s">
        <v>13</v>
      </c>
      <c r="E45" s="144"/>
      <c r="F45" s="145"/>
      <c r="G45" s="106">
        <v>20.2</v>
      </c>
      <c r="H45" s="107">
        <v>1</v>
      </c>
      <c r="I45" s="107">
        <v>0</v>
      </c>
      <c r="J45" s="146">
        <v>1</v>
      </c>
      <c r="K45" s="102" t="s">
        <v>4</v>
      </c>
      <c r="L45" s="108" t="s">
        <v>205</v>
      </c>
      <c r="M45" s="108">
        <v>43084</v>
      </c>
      <c r="N45" s="136" t="s">
        <v>78</v>
      </c>
      <c r="O45" s="129" t="s">
        <v>45</v>
      </c>
    </row>
    <row r="46" spans="1:16" ht="54.9" customHeight="1" x14ac:dyDescent="0.3">
      <c r="A46" s="111" t="s">
        <v>234</v>
      </c>
      <c r="B46" s="143" t="s">
        <v>273</v>
      </c>
      <c r="C46" s="103" t="s">
        <v>261</v>
      </c>
      <c r="D46" s="109" t="s">
        <v>36</v>
      </c>
      <c r="E46" s="144" t="s">
        <v>297</v>
      </c>
      <c r="F46" s="145"/>
      <c r="G46" s="106">
        <v>215</v>
      </c>
      <c r="H46" s="107">
        <v>1</v>
      </c>
      <c r="I46" s="107">
        <v>0</v>
      </c>
      <c r="J46" s="146">
        <v>1</v>
      </c>
      <c r="K46" s="102" t="s">
        <v>5</v>
      </c>
      <c r="L46" s="108">
        <v>42906</v>
      </c>
      <c r="M46" s="108">
        <v>43115</v>
      </c>
      <c r="N46" s="102"/>
      <c r="O46" s="109" t="s">
        <v>14</v>
      </c>
    </row>
    <row r="47" spans="1:16" ht="45" customHeight="1" x14ac:dyDescent="0.3">
      <c r="A47" s="102" t="s">
        <v>234</v>
      </c>
      <c r="B47" s="134" t="s">
        <v>274</v>
      </c>
      <c r="C47" s="103" t="s">
        <v>80</v>
      </c>
      <c r="D47" s="109" t="s">
        <v>36</v>
      </c>
      <c r="E47" s="144" t="s">
        <v>242</v>
      </c>
      <c r="F47" s="145"/>
      <c r="G47" s="106">
        <v>519.64</v>
      </c>
      <c r="H47" s="107">
        <v>1</v>
      </c>
      <c r="I47" s="107">
        <v>0</v>
      </c>
      <c r="J47" s="146">
        <v>1</v>
      </c>
      <c r="K47" s="102" t="s">
        <v>5</v>
      </c>
      <c r="L47" s="108">
        <v>42248</v>
      </c>
      <c r="M47" s="108">
        <v>42614</v>
      </c>
      <c r="N47" s="102" t="s">
        <v>141</v>
      </c>
      <c r="O47" s="109" t="s">
        <v>47</v>
      </c>
      <c r="P47" s="148"/>
    </row>
    <row r="48" spans="1:16" ht="54.9" customHeight="1" x14ac:dyDescent="0.3">
      <c r="A48" s="102" t="s">
        <v>234</v>
      </c>
      <c r="B48" s="134" t="s">
        <v>64</v>
      </c>
      <c r="C48" s="103" t="s">
        <v>63</v>
      </c>
      <c r="D48" s="109" t="s">
        <v>36</v>
      </c>
      <c r="E48" s="144" t="s">
        <v>243</v>
      </c>
      <c r="F48" s="145"/>
      <c r="G48" s="106">
        <v>298.74</v>
      </c>
      <c r="H48" s="107">
        <v>1</v>
      </c>
      <c r="I48" s="107">
        <v>0</v>
      </c>
      <c r="J48" s="146">
        <v>2</v>
      </c>
      <c r="K48" s="102" t="s">
        <v>5</v>
      </c>
      <c r="L48" s="108">
        <v>42451</v>
      </c>
      <c r="M48" s="108">
        <v>42788</v>
      </c>
      <c r="N48" s="102" t="s">
        <v>230</v>
      </c>
      <c r="O48" s="109" t="s">
        <v>47</v>
      </c>
    </row>
    <row r="49" spans="1:16" ht="30" customHeight="1" x14ac:dyDescent="0.3">
      <c r="A49" s="102" t="s">
        <v>234</v>
      </c>
      <c r="B49" s="143" t="s">
        <v>158</v>
      </c>
      <c r="C49" s="149" t="s">
        <v>231</v>
      </c>
      <c r="D49" s="109" t="s">
        <v>36</v>
      </c>
      <c r="E49" s="144" t="s">
        <v>293</v>
      </c>
      <c r="F49" s="145"/>
      <c r="G49" s="106">
        <v>350</v>
      </c>
      <c r="H49" s="107">
        <v>1</v>
      </c>
      <c r="I49" s="107">
        <v>0</v>
      </c>
      <c r="J49" s="146">
        <v>3</v>
      </c>
      <c r="K49" s="102" t="s">
        <v>5</v>
      </c>
      <c r="L49" s="108">
        <v>42865</v>
      </c>
      <c r="M49" s="108">
        <v>43130</v>
      </c>
      <c r="N49" s="102"/>
      <c r="O49" s="109" t="s">
        <v>14</v>
      </c>
      <c r="P49" s="148"/>
    </row>
    <row r="50" spans="1:16" ht="60" customHeight="1" x14ac:dyDescent="0.3">
      <c r="A50" s="102" t="s">
        <v>234</v>
      </c>
      <c r="B50" s="134" t="s">
        <v>275</v>
      </c>
      <c r="C50" s="150" t="s">
        <v>92</v>
      </c>
      <c r="D50" s="109" t="s">
        <v>50</v>
      </c>
      <c r="E50" s="144" t="s">
        <v>244</v>
      </c>
      <c r="F50" s="145"/>
      <c r="G50" s="151">
        <v>7535.89</v>
      </c>
      <c r="H50" s="107">
        <v>1</v>
      </c>
      <c r="I50" s="107">
        <v>0</v>
      </c>
      <c r="J50" s="146" t="s">
        <v>196</v>
      </c>
      <c r="K50" s="102" t="s">
        <v>5</v>
      </c>
      <c r="L50" s="108">
        <v>41430</v>
      </c>
      <c r="M50" s="108">
        <v>41852</v>
      </c>
      <c r="N50" s="102" t="s">
        <v>72</v>
      </c>
      <c r="O50" s="109" t="s">
        <v>47</v>
      </c>
      <c r="P50" s="148"/>
    </row>
    <row r="51" spans="1:16" ht="69.900000000000006" customHeight="1" x14ac:dyDescent="0.3">
      <c r="A51" s="102" t="s">
        <v>234</v>
      </c>
      <c r="B51" s="143" t="s">
        <v>111</v>
      </c>
      <c r="C51" s="149" t="s">
        <v>207</v>
      </c>
      <c r="D51" s="109" t="s">
        <v>36</v>
      </c>
      <c r="E51" s="152" t="s">
        <v>258</v>
      </c>
      <c r="F51" s="153"/>
      <c r="G51" s="151">
        <v>408.71</v>
      </c>
      <c r="H51" s="107">
        <v>1</v>
      </c>
      <c r="I51" s="107">
        <v>0</v>
      </c>
      <c r="J51" s="146">
        <v>5</v>
      </c>
      <c r="K51" s="102" t="s">
        <v>5</v>
      </c>
      <c r="L51" s="108">
        <v>42678</v>
      </c>
      <c r="M51" s="108">
        <v>43000</v>
      </c>
      <c r="N51" s="102" t="s">
        <v>315</v>
      </c>
      <c r="O51" s="109" t="s">
        <v>47</v>
      </c>
      <c r="P51" s="148"/>
    </row>
    <row r="52" spans="1:16" ht="45" customHeight="1" x14ac:dyDescent="0.3">
      <c r="A52" s="102" t="s">
        <v>234</v>
      </c>
      <c r="B52" s="134" t="s">
        <v>96</v>
      </c>
      <c r="C52" s="150" t="s">
        <v>69</v>
      </c>
      <c r="D52" s="109" t="s">
        <v>36</v>
      </c>
      <c r="E52" s="144" t="s">
        <v>294</v>
      </c>
      <c r="F52" s="145"/>
      <c r="G52" s="151">
        <v>292.125</v>
      </c>
      <c r="H52" s="107">
        <v>1</v>
      </c>
      <c r="I52" s="107">
        <v>0</v>
      </c>
      <c r="J52" s="146">
        <v>5</v>
      </c>
      <c r="K52" s="102" t="s">
        <v>5</v>
      </c>
      <c r="L52" s="108">
        <v>42678</v>
      </c>
      <c r="M52" s="108">
        <v>43074</v>
      </c>
      <c r="N52" s="102"/>
      <c r="O52" s="109" t="s">
        <v>14</v>
      </c>
    </row>
    <row r="53" spans="1:16" ht="60" customHeight="1" x14ac:dyDescent="0.3">
      <c r="A53" s="102" t="s">
        <v>234</v>
      </c>
      <c r="B53" s="134" t="s">
        <v>90</v>
      </c>
      <c r="C53" s="150" t="s">
        <v>38</v>
      </c>
      <c r="D53" s="109" t="s">
        <v>36</v>
      </c>
      <c r="E53" s="144" t="s">
        <v>245</v>
      </c>
      <c r="F53" s="145"/>
      <c r="G53" s="135">
        <v>247.54</v>
      </c>
      <c r="H53" s="107">
        <v>1</v>
      </c>
      <c r="I53" s="107">
        <v>0</v>
      </c>
      <c r="J53" s="146">
        <v>5</v>
      </c>
      <c r="K53" s="102" t="s">
        <v>5</v>
      </c>
      <c r="L53" s="108">
        <v>42186</v>
      </c>
      <c r="M53" s="108">
        <v>42662</v>
      </c>
      <c r="N53" s="102" t="s">
        <v>223</v>
      </c>
      <c r="O53" s="109" t="s">
        <v>47</v>
      </c>
    </row>
    <row r="54" spans="1:16" ht="30" customHeight="1" x14ac:dyDescent="0.3">
      <c r="A54" s="102" t="s">
        <v>234</v>
      </c>
      <c r="B54" s="134" t="s">
        <v>276</v>
      </c>
      <c r="C54" s="150" t="s">
        <v>30</v>
      </c>
      <c r="D54" s="109" t="s">
        <v>36</v>
      </c>
      <c r="E54" s="144" t="s">
        <v>246</v>
      </c>
      <c r="F54" s="145"/>
      <c r="G54" s="135">
        <v>453.53</v>
      </c>
      <c r="H54" s="107">
        <v>1</v>
      </c>
      <c r="I54" s="107">
        <v>0</v>
      </c>
      <c r="J54" s="146">
        <v>5</v>
      </c>
      <c r="K54" s="102" t="s">
        <v>5</v>
      </c>
      <c r="L54" s="108">
        <v>42186</v>
      </c>
      <c r="M54" s="108">
        <v>42662</v>
      </c>
      <c r="N54" s="102" t="s">
        <v>224</v>
      </c>
      <c r="O54" s="109" t="s">
        <v>47</v>
      </c>
    </row>
    <row r="55" spans="1:16" ht="69.900000000000006" customHeight="1" x14ac:dyDescent="0.3">
      <c r="A55" s="102" t="s">
        <v>234</v>
      </c>
      <c r="B55" s="134" t="s">
        <v>277</v>
      </c>
      <c r="C55" s="150" t="s">
        <v>262</v>
      </c>
      <c r="D55" s="154" t="s">
        <v>26</v>
      </c>
      <c r="E55" s="144" t="s">
        <v>298</v>
      </c>
      <c r="F55" s="145"/>
      <c r="G55" s="151">
        <v>102.333</v>
      </c>
      <c r="H55" s="107">
        <v>1</v>
      </c>
      <c r="I55" s="107">
        <v>0</v>
      </c>
      <c r="J55" s="146">
        <v>5</v>
      </c>
      <c r="K55" s="102" t="s">
        <v>4</v>
      </c>
      <c r="L55" s="108">
        <v>42920</v>
      </c>
      <c r="M55" s="108">
        <v>43070</v>
      </c>
      <c r="N55" s="102"/>
      <c r="O55" s="109" t="s">
        <v>14</v>
      </c>
    </row>
    <row r="56" spans="1:16" ht="45" customHeight="1" x14ac:dyDescent="0.3">
      <c r="A56" s="102" t="s">
        <v>234</v>
      </c>
      <c r="B56" s="134" t="s">
        <v>91</v>
      </c>
      <c r="C56" s="150" t="s">
        <v>31</v>
      </c>
      <c r="D56" s="109" t="s">
        <v>36</v>
      </c>
      <c r="E56" s="144" t="s">
        <v>247</v>
      </c>
      <c r="F56" s="145"/>
      <c r="G56" s="135">
        <f>((343011.03)+(111648.73 *3.5014))/3.1358/1000</f>
        <v>234.05124472925567</v>
      </c>
      <c r="H56" s="107">
        <v>1</v>
      </c>
      <c r="I56" s="107">
        <v>0</v>
      </c>
      <c r="J56" s="146">
        <v>5</v>
      </c>
      <c r="K56" s="102" t="s">
        <v>4</v>
      </c>
      <c r="L56" s="108">
        <v>42186</v>
      </c>
      <c r="M56" s="108">
        <v>42789</v>
      </c>
      <c r="N56" s="136" t="s">
        <v>232</v>
      </c>
      <c r="O56" s="109" t="s">
        <v>47</v>
      </c>
    </row>
    <row r="57" spans="1:16" ht="30" customHeight="1" x14ac:dyDescent="0.3">
      <c r="A57" s="102" t="s">
        <v>234</v>
      </c>
      <c r="B57" s="155" t="s">
        <v>190</v>
      </c>
      <c r="C57" s="150" t="s">
        <v>34</v>
      </c>
      <c r="D57" s="109" t="s">
        <v>36</v>
      </c>
      <c r="E57" s="144" t="s">
        <v>248</v>
      </c>
      <c r="F57" s="145"/>
      <c r="G57" s="135">
        <f>1356000/3.1358/1000</f>
        <v>432.42553734294279</v>
      </c>
      <c r="H57" s="107">
        <v>1</v>
      </c>
      <c r="I57" s="107">
        <v>0</v>
      </c>
      <c r="J57" s="146">
        <v>6</v>
      </c>
      <c r="K57" s="102" t="s">
        <v>5</v>
      </c>
      <c r="L57" s="108">
        <v>42186</v>
      </c>
      <c r="M57" s="108">
        <v>42962</v>
      </c>
      <c r="N57" s="102" t="s">
        <v>301</v>
      </c>
      <c r="O57" s="109" t="s">
        <v>47</v>
      </c>
      <c r="P57" s="148"/>
    </row>
    <row r="58" spans="1:16" ht="30" customHeight="1" x14ac:dyDescent="0.3">
      <c r="A58" s="102" t="s">
        <v>234</v>
      </c>
      <c r="B58" s="155" t="s">
        <v>192</v>
      </c>
      <c r="C58" s="150" t="s">
        <v>286</v>
      </c>
      <c r="D58" s="109" t="s">
        <v>36</v>
      </c>
      <c r="E58" s="156"/>
      <c r="F58" s="157"/>
      <c r="G58" s="135">
        <v>302.09500000000003</v>
      </c>
      <c r="H58" s="107">
        <v>1</v>
      </c>
      <c r="I58" s="107">
        <v>0</v>
      </c>
      <c r="J58" s="146">
        <v>6</v>
      </c>
      <c r="K58" s="102" t="s">
        <v>5</v>
      </c>
      <c r="L58" s="108">
        <v>43115</v>
      </c>
      <c r="M58" s="108">
        <f>L58+180</f>
        <v>43295</v>
      </c>
      <c r="N58" s="102"/>
      <c r="O58" s="109" t="s">
        <v>45</v>
      </c>
      <c r="P58" s="148"/>
    </row>
    <row r="59" spans="1:16" x14ac:dyDescent="0.3">
      <c r="A59" s="122"/>
      <c r="B59" s="122"/>
      <c r="C59" s="122"/>
      <c r="D59" s="122"/>
      <c r="E59" s="138" t="s">
        <v>103</v>
      </c>
      <c r="F59" s="124"/>
      <c r="G59" s="158">
        <f>SUM(G42:G58)</f>
        <v>12400.479782072198</v>
      </c>
      <c r="H59" s="159"/>
      <c r="I59" s="140"/>
      <c r="J59" s="140"/>
      <c r="K59" s="122"/>
      <c r="L59" s="122"/>
      <c r="M59" s="122"/>
      <c r="N59" s="127"/>
      <c r="O59" s="122"/>
    </row>
    <row r="60" spans="1:16" x14ac:dyDescent="0.3">
      <c r="E60" s="138" t="s">
        <v>104</v>
      </c>
      <c r="G60" s="158">
        <f>G59-G43-G44-G47-G48-G50-G51-G53-G54-G56-G57</f>
        <v>1749.7529999999992</v>
      </c>
    </row>
    <row r="61" spans="1:16" x14ac:dyDescent="0.3">
      <c r="E61" s="138"/>
      <c r="G61" s="158"/>
    </row>
    <row r="62" spans="1:16" ht="15.75" customHeight="1" x14ac:dyDescent="0.3">
      <c r="A62" s="93" t="s">
        <v>23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5"/>
    </row>
    <row r="63" spans="1:16" ht="15" customHeight="1" x14ac:dyDescent="0.3">
      <c r="A63" s="97" t="s">
        <v>7</v>
      </c>
      <c r="B63" s="97" t="s">
        <v>87</v>
      </c>
      <c r="C63" s="97" t="s">
        <v>67</v>
      </c>
      <c r="D63" s="97" t="s">
        <v>322</v>
      </c>
      <c r="E63" s="97" t="s">
        <v>255</v>
      </c>
      <c r="F63" s="160" t="s">
        <v>68</v>
      </c>
      <c r="G63" s="98" t="s">
        <v>17</v>
      </c>
      <c r="H63" s="98"/>
      <c r="I63" s="98"/>
      <c r="J63" s="97" t="s">
        <v>66</v>
      </c>
      <c r="K63" s="97" t="s">
        <v>320</v>
      </c>
      <c r="L63" s="97" t="s">
        <v>18</v>
      </c>
      <c r="M63" s="97"/>
      <c r="N63" s="97" t="s">
        <v>41</v>
      </c>
      <c r="O63" s="97" t="s">
        <v>42</v>
      </c>
    </row>
    <row r="64" spans="1:16" ht="41.4" x14ac:dyDescent="0.3">
      <c r="A64" s="97"/>
      <c r="B64" s="97"/>
      <c r="C64" s="97"/>
      <c r="D64" s="97"/>
      <c r="E64" s="97"/>
      <c r="F64" s="142"/>
      <c r="G64" s="99" t="s">
        <v>85</v>
      </c>
      <c r="H64" s="100" t="s">
        <v>73</v>
      </c>
      <c r="I64" s="100" t="s">
        <v>74</v>
      </c>
      <c r="J64" s="97"/>
      <c r="K64" s="97"/>
      <c r="L64" s="101" t="s">
        <v>22</v>
      </c>
      <c r="M64" s="101" t="s">
        <v>20</v>
      </c>
      <c r="N64" s="97"/>
      <c r="O64" s="97"/>
    </row>
    <row r="65" spans="1:16" ht="45" customHeight="1" x14ac:dyDescent="0.3">
      <c r="A65" s="102" t="s">
        <v>234</v>
      </c>
      <c r="B65" s="143" t="s">
        <v>278</v>
      </c>
      <c r="C65" s="150" t="s">
        <v>116</v>
      </c>
      <c r="D65" s="109" t="s">
        <v>27</v>
      </c>
      <c r="E65" s="136" t="s">
        <v>257</v>
      </c>
      <c r="F65" s="102">
        <v>1</v>
      </c>
      <c r="G65" s="106">
        <v>58.03</v>
      </c>
      <c r="H65" s="107">
        <v>1</v>
      </c>
      <c r="I65" s="107">
        <v>0</v>
      </c>
      <c r="J65" s="146">
        <v>1</v>
      </c>
      <c r="K65" s="102" t="s">
        <v>4</v>
      </c>
      <c r="L65" s="108">
        <v>42683</v>
      </c>
      <c r="M65" s="108">
        <v>42760</v>
      </c>
      <c r="N65" s="136" t="s">
        <v>232</v>
      </c>
      <c r="O65" s="109" t="s">
        <v>47</v>
      </c>
      <c r="P65" s="137"/>
    </row>
    <row r="66" spans="1:16" ht="45" customHeight="1" x14ac:dyDescent="0.3">
      <c r="A66" s="102" t="s">
        <v>234</v>
      </c>
      <c r="B66" s="143" t="s">
        <v>154</v>
      </c>
      <c r="C66" s="103" t="s">
        <v>155</v>
      </c>
      <c r="D66" s="109" t="s">
        <v>27</v>
      </c>
      <c r="E66" s="161"/>
      <c r="F66" s="162">
        <v>1</v>
      </c>
      <c r="G66" s="135">
        <v>26.259</v>
      </c>
      <c r="H66" s="163">
        <v>1</v>
      </c>
      <c r="I66" s="163">
        <v>0</v>
      </c>
      <c r="J66" s="164">
        <v>2</v>
      </c>
      <c r="K66" s="102" t="s">
        <v>4</v>
      </c>
      <c r="L66" s="108">
        <v>43146</v>
      </c>
      <c r="M66" s="108">
        <f>L66+60</f>
        <v>43206</v>
      </c>
      <c r="N66" s="136" t="s">
        <v>232</v>
      </c>
      <c r="O66" s="165" t="s">
        <v>45</v>
      </c>
      <c r="P66" s="137"/>
    </row>
    <row r="67" spans="1:16" ht="30" customHeight="1" x14ac:dyDescent="0.3">
      <c r="A67" s="102" t="s">
        <v>234</v>
      </c>
      <c r="B67" s="134" t="s">
        <v>94</v>
      </c>
      <c r="C67" s="150" t="s">
        <v>290</v>
      </c>
      <c r="D67" s="109" t="s">
        <v>27</v>
      </c>
      <c r="E67" s="136" t="s">
        <v>249</v>
      </c>
      <c r="F67" s="102">
        <v>1</v>
      </c>
      <c r="G67" s="106">
        <v>35.840000000000003</v>
      </c>
      <c r="H67" s="107">
        <v>1</v>
      </c>
      <c r="I67" s="107">
        <v>0</v>
      </c>
      <c r="J67" s="102">
        <v>3</v>
      </c>
      <c r="K67" s="102" t="s">
        <v>5</v>
      </c>
      <c r="L67" s="108">
        <v>41845</v>
      </c>
      <c r="M67" s="108">
        <v>42311</v>
      </c>
      <c r="N67" s="102" t="s">
        <v>75</v>
      </c>
      <c r="O67" s="109" t="s">
        <v>2</v>
      </c>
    </row>
    <row r="68" spans="1:16" ht="30" customHeight="1" x14ac:dyDescent="0.3">
      <c r="A68" s="102" t="s">
        <v>234</v>
      </c>
      <c r="B68" s="134" t="s">
        <v>169</v>
      </c>
      <c r="C68" s="150" t="s">
        <v>291</v>
      </c>
      <c r="D68" s="109" t="s">
        <v>27</v>
      </c>
      <c r="E68" s="136" t="s">
        <v>250</v>
      </c>
      <c r="F68" s="102">
        <v>1</v>
      </c>
      <c r="G68" s="106">
        <v>40.31</v>
      </c>
      <c r="H68" s="107">
        <v>1</v>
      </c>
      <c r="I68" s="107">
        <v>0</v>
      </c>
      <c r="J68" s="102">
        <v>5</v>
      </c>
      <c r="K68" s="102" t="s">
        <v>5</v>
      </c>
      <c r="L68" s="108">
        <v>41879</v>
      </c>
      <c r="M68" s="108">
        <v>42241</v>
      </c>
      <c r="N68" s="102" t="s">
        <v>76</v>
      </c>
      <c r="O68" s="109" t="s">
        <v>2</v>
      </c>
    </row>
    <row r="69" spans="1:16" ht="45" customHeight="1" x14ac:dyDescent="0.3">
      <c r="A69" s="102" t="s">
        <v>234</v>
      </c>
      <c r="B69" s="134" t="s">
        <v>191</v>
      </c>
      <c r="C69" s="150" t="s">
        <v>109</v>
      </c>
      <c r="D69" s="109" t="s">
        <v>27</v>
      </c>
      <c r="E69" s="136" t="s">
        <v>288</v>
      </c>
      <c r="F69" s="102">
        <v>1</v>
      </c>
      <c r="G69" s="106">
        <v>20.285</v>
      </c>
      <c r="H69" s="107">
        <v>1</v>
      </c>
      <c r="I69" s="107">
        <v>0</v>
      </c>
      <c r="J69" s="102">
        <v>6</v>
      </c>
      <c r="K69" s="102" t="s">
        <v>4</v>
      </c>
      <c r="L69" s="108">
        <v>42683</v>
      </c>
      <c r="M69" s="108">
        <v>42884</v>
      </c>
      <c r="N69" s="136" t="s">
        <v>232</v>
      </c>
      <c r="O69" s="109" t="s">
        <v>47</v>
      </c>
      <c r="P69" s="148"/>
    </row>
    <row r="70" spans="1:16" x14ac:dyDescent="0.3">
      <c r="A70" s="122"/>
      <c r="B70" s="122"/>
      <c r="C70" s="122"/>
      <c r="D70" s="122"/>
      <c r="E70" s="138" t="s">
        <v>105</v>
      </c>
      <c r="G70" s="139">
        <f>SUM(G65:G69)</f>
        <v>180.72400000000002</v>
      </c>
      <c r="H70" s="140"/>
      <c r="I70" s="140"/>
      <c r="J70" s="122"/>
      <c r="K70" s="122"/>
      <c r="L70" s="122"/>
      <c r="M70" s="122"/>
      <c r="N70" s="127"/>
      <c r="O70" s="122"/>
    </row>
    <row r="71" spans="1:16" x14ac:dyDescent="0.3">
      <c r="E71" s="138" t="s">
        <v>106</v>
      </c>
      <c r="G71" s="139">
        <f>G70-G65-G67-G68-G69</f>
        <v>26.259000000000011</v>
      </c>
      <c r="I71" s="166"/>
    </row>
    <row r="72" spans="1:16" x14ac:dyDescent="0.3">
      <c r="E72" s="138"/>
      <c r="G72" s="139"/>
    </row>
    <row r="73" spans="1:16" ht="15.75" customHeight="1" x14ac:dyDescent="0.3">
      <c r="A73" s="93" t="s">
        <v>24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5"/>
    </row>
    <row r="74" spans="1:16" ht="15" customHeight="1" x14ac:dyDescent="0.3">
      <c r="A74" s="97" t="s">
        <v>7</v>
      </c>
      <c r="B74" s="97" t="s">
        <v>87</v>
      </c>
      <c r="C74" s="97" t="s">
        <v>67</v>
      </c>
      <c r="D74" s="97" t="s">
        <v>322</v>
      </c>
      <c r="E74" s="141"/>
      <c r="F74" s="141"/>
      <c r="G74" s="98" t="s">
        <v>17</v>
      </c>
      <c r="H74" s="98"/>
      <c r="I74" s="98"/>
      <c r="J74" s="97" t="s">
        <v>66</v>
      </c>
      <c r="K74" s="97" t="s">
        <v>320</v>
      </c>
      <c r="L74" s="97" t="s">
        <v>18</v>
      </c>
      <c r="M74" s="97"/>
      <c r="N74" s="97" t="s">
        <v>41</v>
      </c>
      <c r="O74" s="97" t="s">
        <v>42</v>
      </c>
    </row>
    <row r="75" spans="1:16" ht="36" customHeight="1" x14ac:dyDescent="0.3">
      <c r="A75" s="97"/>
      <c r="B75" s="97"/>
      <c r="C75" s="97"/>
      <c r="D75" s="97"/>
      <c r="E75" s="142" t="s">
        <v>255</v>
      </c>
      <c r="F75" s="142"/>
      <c r="G75" s="99" t="s">
        <v>85</v>
      </c>
      <c r="H75" s="100" t="s">
        <v>73</v>
      </c>
      <c r="I75" s="100" t="s">
        <v>74</v>
      </c>
      <c r="J75" s="97"/>
      <c r="K75" s="97"/>
      <c r="L75" s="101" t="s">
        <v>43</v>
      </c>
      <c r="M75" s="101" t="s">
        <v>20</v>
      </c>
      <c r="N75" s="97"/>
      <c r="O75" s="97"/>
    </row>
    <row r="76" spans="1:16" ht="65.099999999999994" customHeight="1" x14ac:dyDescent="0.3">
      <c r="A76" s="128" t="s">
        <v>234</v>
      </c>
      <c r="B76" s="143" t="s">
        <v>279</v>
      </c>
      <c r="C76" s="103" t="s">
        <v>202</v>
      </c>
      <c r="D76" s="109" t="s">
        <v>36</v>
      </c>
      <c r="E76" s="144" t="s">
        <v>251</v>
      </c>
      <c r="F76" s="145"/>
      <c r="G76" s="106">
        <v>543.4</v>
      </c>
      <c r="H76" s="107">
        <v>1</v>
      </c>
      <c r="I76" s="107">
        <v>0</v>
      </c>
      <c r="J76" s="146">
        <v>1</v>
      </c>
      <c r="K76" s="102" t="s">
        <v>5</v>
      </c>
      <c r="L76" s="108">
        <v>42186</v>
      </c>
      <c r="M76" s="108">
        <v>42647</v>
      </c>
      <c r="N76" s="102" t="s">
        <v>148</v>
      </c>
      <c r="O76" s="109" t="s">
        <v>47</v>
      </c>
    </row>
    <row r="77" spans="1:16" ht="65.099999999999994" customHeight="1" x14ac:dyDescent="0.3">
      <c r="A77" s="128" t="s">
        <v>234</v>
      </c>
      <c r="B77" s="143" t="s">
        <v>280</v>
      </c>
      <c r="C77" s="103" t="s">
        <v>33</v>
      </c>
      <c r="D77" s="109" t="s">
        <v>36</v>
      </c>
      <c r="E77" s="144" t="s">
        <v>252</v>
      </c>
      <c r="F77" s="145"/>
      <c r="G77" s="167">
        <v>189.46</v>
      </c>
      <c r="H77" s="107">
        <v>1</v>
      </c>
      <c r="I77" s="107">
        <v>0</v>
      </c>
      <c r="J77" s="146">
        <v>1</v>
      </c>
      <c r="K77" s="102" t="s">
        <v>5</v>
      </c>
      <c r="L77" s="108">
        <v>42186</v>
      </c>
      <c r="M77" s="108">
        <v>42647</v>
      </c>
      <c r="N77" s="102" t="s">
        <v>149</v>
      </c>
      <c r="O77" s="109" t="s">
        <v>47</v>
      </c>
    </row>
    <row r="78" spans="1:16" ht="65.099999999999994" customHeight="1" x14ac:dyDescent="0.3">
      <c r="A78" s="128" t="s">
        <v>234</v>
      </c>
      <c r="B78" s="143" t="s">
        <v>281</v>
      </c>
      <c r="C78" s="103" t="s">
        <v>203</v>
      </c>
      <c r="D78" s="109" t="s">
        <v>36</v>
      </c>
      <c r="E78" s="144" t="s">
        <v>253</v>
      </c>
      <c r="F78" s="145"/>
      <c r="G78" s="167">
        <v>260.52999999999997</v>
      </c>
      <c r="H78" s="107">
        <v>1</v>
      </c>
      <c r="I78" s="107">
        <v>0</v>
      </c>
      <c r="J78" s="146">
        <v>1</v>
      </c>
      <c r="K78" s="102" t="s">
        <v>5</v>
      </c>
      <c r="L78" s="108">
        <v>42186</v>
      </c>
      <c r="M78" s="108">
        <v>42719</v>
      </c>
      <c r="N78" s="102" t="s">
        <v>233</v>
      </c>
      <c r="O78" s="109" t="s">
        <v>47</v>
      </c>
    </row>
    <row r="79" spans="1:16" ht="45" customHeight="1" x14ac:dyDescent="0.3">
      <c r="A79" s="128" t="s">
        <v>234</v>
      </c>
      <c r="B79" s="143" t="s">
        <v>282</v>
      </c>
      <c r="C79" s="103" t="s">
        <v>97</v>
      </c>
      <c r="D79" s="109" t="s">
        <v>26</v>
      </c>
      <c r="E79" s="144" t="s">
        <v>254</v>
      </c>
      <c r="F79" s="145"/>
      <c r="G79" s="167">
        <v>125.65</v>
      </c>
      <c r="H79" s="107">
        <v>1</v>
      </c>
      <c r="I79" s="107">
        <v>0</v>
      </c>
      <c r="J79" s="146">
        <v>1</v>
      </c>
      <c r="K79" s="102" t="s">
        <v>5</v>
      </c>
      <c r="L79" s="108">
        <v>41894</v>
      </c>
      <c r="M79" s="108">
        <v>42199</v>
      </c>
      <c r="N79" s="102" t="s">
        <v>77</v>
      </c>
      <c r="O79" s="109" t="s">
        <v>2</v>
      </c>
    </row>
    <row r="80" spans="1:16" ht="45" customHeight="1" x14ac:dyDescent="0.3">
      <c r="A80" s="128" t="s">
        <v>234</v>
      </c>
      <c r="B80" s="134" t="s">
        <v>283</v>
      </c>
      <c r="C80" s="103" t="s">
        <v>235</v>
      </c>
      <c r="D80" s="109" t="s">
        <v>35</v>
      </c>
      <c r="E80" s="144" t="s">
        <v>299</v>
      </c>
      <c r="F80" s="145"/>
      <c r="G80" s="135">
        <v>70</v>
      </c>
      <c r="H80" s="107">
        <v>1</v>
      </c>
      <c r="I80" s="107">
        <v>0</v>
      </c>
      <c r="J80" s="102">
        <v>3</v>
      </c>
      <c r="K80" s="102" t="s">
        <v>4</v>
      </c>
      <c r="L80" s="108">
        <v>42929</v>
      </c>
      <c r="M80" s="108">
        <f>L80+90</f>
        <v>43019</v>
      </c>
      <c r="N80" s="136" t="s">
        <v>232</v>
      </c>
      <c r="O80" s="109" t="s">
        <v>14</v>
      </c>
      <c r="P80" s="137"/>
    </row>
    <row r="81" spans="1:15" x14ac:dyDescent="0.3">
      <c r="A81" s="122"/>
      <c r="B81" s="122"/>
      <c r="C81" s="122"/>
      <c r="D81" s="122"/>
      <c r="E81" s="123" t="s">
        <v>107</v>
      </c>
      <c r="F81" s="124"/>
      <c r="G81" s="139">
        <f>SUM(G76:G80)</f>
        <v>1189.04</v>
      </c>
      <c r="H81" s="159"/>
      <c r="I81" s="140"/>
      <c r="J81" s="140"/>
      <c r="K81" s="122"/>
      <c r="L81" s="122"/>
      <c r="M81" s="122"/>
      <c r="N81" s="127"/>
      <c r="O81" s="122"/>
    </row>
    <row r="82" spans="1:15" x14ac:dyDescent="0.3">
      <c r="E82" s="123" t="s">
        <v>108</v>
      </c>
      <c r="F82" s="122"/>
      <c r="G82" s="139">
        <f>G81-G76-G77-G78-G79</f>
        <v>69.999999999999972</v>
      </c>
      <c r="H82" s="159"/>
      <c r="I82" s="140"/>
      <c r="J82" s="140"/>
      <c r="K82" s="122"/>
      <c r="L82" s="122"/>
      <c r="M82" s="122"/>
      <c r="N82" s="127"/>
      <c r="O82" s="122"/>
    </row>
    <row r="84" spans="1:15" ht="20.100000000000001" customHeight="1" x14ac:dyDescent="0.3">
      <c r="E84" s="123" t="s">
        <v>3</v>
      </c>
      <c r="G84" s="139">
        <f>G27+G36+G59+G70+G81</f>
        <v>46101.646070866125</v>
      </c>
      <c r="H84" s="139"/>
    </row>
    <row r="85" spans="1:15" x14ac:dyDescent="0.3">
      <c r="E85" s="123" t="s">
        <v>79</v>
      </c>
      <c r="F85" s="168"/>
      <c r="G85" s="139">
        <f>G28+G37+G60+G71+G82</f>
        <v>11612.720288793924</v>
      </c>
    </row>
    <row r="86" spans="1:15" ht="23.25" customHeight="1" x14ac:dyDescent="0.3">
      <c r="A86" s="169" t="s">
        <v>44</v>
      </c>
      <c r="B86" s="170" t="s">
        <v>6</v>
      </c>
    </row>
    <row r="87" spans="1:15" x14ac:dyDescent="0.3">
      <c r="A87" s="171"/>
      <c r="B87" s="170" t="s">
        <v>4</v>
      </c>
    </row>
    <row r="88" spans="1:15" x14ac:dyDescent="0.3">
      <c r="A88" s="172"/>
      <c r="B88" s="173" t="s">
        <v>5</v>
      </c>
    </row>
    <row r="90" spans="1:15" x14ac:dyDescent="0.3">
      <c r="A90" s="174" t="s">
        <v>42</v>
      </c>
      <c r="B90" s="170" t="s">
        <v>45</v>
      </c>
    </row>
    <row r="91" spans="1:15" ht="27.6" x14ac:dyDescent="0.3">
      <c r="A91" s="175"/>
      <c r="B91" s="170" t="s">
        <v>14</v>
      </c>
      <c r="H91" s="176"/>
    </row>
    <row r="92" spans="1:15" x14ac:dyDescent="0.3">
      <c r="A92" s="175"/>
      <c r="B92" s="170" t="s">
        <v>12</v>
      </c>
    </row>
    <row r="93" spans="1:15" ht="27.6" x14ac:dyDescent="0.3">
      <c r="A93" s="175"/>
      <c r="B93" s="170" t="s">
        <v>11</v>
      </c>
    </row>
    <row r="94" spans="1:15" ht="55.2" x14ac:dyDescent="0.3">
      <c r="A94" s="175"/>
      <c r="B94" s="170" t="s">
        <v>46</v>
      </c>
    </row>
    <row r="95" spans="1:15" ht="27.6" x14ac:dyDescent="0.3">
      <c r="A95" s="175"/>
      <c r="B95" s="170" t="s">
        <v>1</v>
      </c>
    </row>
    <row r="96" spans="1:15" ht="41.4" x14ac:dyDescent="0.3">
      <c r="A96" s="175"/>
      <c r="B96" s="170" t="s">
        <v>47</v>
      </c>
    </row>
    <row r="97" spans="1:3" ht="27.6" x14ac:dyDescent="0.3">
      <c r="A97" s="177"/>
      <c r="B97" s="170" t="s">
        <v>2</v>
      </c>
    </row>
    <row r="99" spans="1:3" x14ac:dyDescent="0.3">
      <c r="A99" s="178" t="s">
        <v>48</v>
      </c>
      <c r="B99" s="179" t="s">
        <v>49</v>
      </c>
      <c r="C99" s="170" t="s">
        <v>36</v>
      </c>
    </row>
    <row r="100" spans="1:3" x14ac:dyDescent="0.3">
      <c r="A100" s="178"/>
      <c r="B100" s="179"/>
      <c r="C100" s="170" t="s">
        <v>50</v>
      </c>
    </row>
    <row r="101" spans="1:3" ht="27.6" x14ac:dyDescent="0.3">
      <c r="A101" s="178"/>
      <c r="B101" s="179"/>
      <c r="C101" s="170" t="s">
        <v>26</v>
      </c>
    </row>
    <row r="102" spans="1:3" x14ac:dyDescent="0.3">
      <c r="A102" s="178"/>
      <c r="B102" s="179"/>
      <c r="C102" s="170" t="s">
        <v>13</v>
      </c>
    </row>
    <row r="103" spans="1:3" x14ac:dyDescent="0.3">
      <c r="A103" s="178"/>
      <c r="B103" s="179"/>
      <c r="C103" s="170" t="s">
        <v>6</v>
      </c>
    </row>
    <row r="104" spans="1:3" x14ac:dyDescent="0.3">
      <c r="A104" s="178"/>
      <c r="B104" s="179"/>
      <c r="C104" s="170" t="s">
        <v>51</v>
      </c>
    </row>
    <row r="105" spans="1:3" x14ac:dyDescent="0.3">
      <c r="A105" s="178"/>
      <c r="B105" s="179"/>
      <c r="C105" s="170" t="s">
        <v>37</v>
      </c>
    </row>
    <row r="106" spans="1:3" x14ac:dyDescent="0.3">
      <c r="A106" s="178"/>
      <c r="B106" s="180" t="s">
        <v>52</v>
      </c>
      <c r="C106" s="170" t="s">
        <v>53</v>
      </c>
    </row>
    <row r="107" spans="1:3" x14ac:dyDescent="0.3">
      <c r="A107" s="178"/>
      <c r="B107" s="180"/>
      <c r="C107" s="170" t="s">
        <v>8</v>
      </c>
    </row>
    <row r="108" spans="1:3" x14ac:dyDescent="0.3">
      <c r="A108" s="178"/>
      <c r="B108" s="180"/>
      <c r="C108" s="170" t="s">
        <v>35</v>
      </c>
    </row>
    <row r="109" spans="1:3" x14ac:dyDescent="0.3">
      <c r="A109" s="178"/>
      <c r="B109" s="180"/>
      <c r="C109" s="170" t="s">
        <v>13</v>
      </c>
    </row>
    <row r="110" spans="1:3" x14ac:dyDescent="0.3">
      <c r="A110" s="178"/>
      <c r="B110" s="180"/>
      <c r="C110" s="170" t="s">
        <v>6</v>
      </c>
    </row>
    <row r="111" spans="1:3" x14ac:dyDescent="0.3">
      <c r="A111" s="178"/>
      <c r="B111" s="180"/>
      <c r="C111" s="170" t="s">
        <v>9</v>
      </c>
    </row>
    <row r="112" spans="1:3" ht="27.6" x14ac:dyDescent="0.3">
      <c r="A112" s="178"/>
      <c r="B112" s="180"/>
      <c r="C112" s="170" t="s">
        <v>16</v>
      </c>
    </row>
    <row r="113" spans="1:3" x14ac:dyDescent="0.3">
      <c r="A113" s="178"/>
      <c r="B113" s="180"/>
      <c r="C113" s="170" t="s">
        <v>15</v>
      </c>
    </row>
    <row r="114" spans="1:3" x14ac:dyDescent="0.3">
      <c r="A114" s="178"/>
      <c r="B114" s="180"/>
      <c r="C114" s="170" t="s">
        <v>10</v>
      </c>
    </row>
    <row r="115" spans="1:3" ht="27.6" x14ac:dyDescent="0.3">
      <c r="A115" s="178"/>
      <c r="B115" s="180"/>
      <c r="C115" s="170" t="s">
        <v>25</v>
      </c>
    </row>
    <row r="116" spans="1:3" ht="30" customHeight="1" x14ac:dyDescent="0.3">
      <c r="A116" s="178"/>
      <c r="B116" s="181" t="s">
        <v>54</v>
      </c>
      <c r="C116" s="170" t="s">
        <v>27</v>
      </c>
    </row>
    <row r="117" spans="1:3" x14ac:dyDescent="0.3">
      <c r="A117" s="178"/>
      <c r="B117" s="182"/>
      <c r="C117" s="170" t="s">
        <v>13</v>
      </c>
    </row>
    <row r="118" spans="1:3" x14ac:dyDescent="0.3">
      <c r="A118" s="178"/>
      <c r="B118" s="183"/>
      <c r="C118" s="170" t="s">
        <v>6</v>
      </c>
    </row>
    <row r="129" spans="5:7" ht="15.6" x14ac:dyDescent="0.3">
      <c r="E129" s="184" t="s">
        <v>79</v>
      </c>
      <c r="G129" s="185" t="e">
        <f>G28+G37+#REF!+G60+G71+G82+#REF!</f>
        <v>#REF!</v>
      </c>
    </row>
  </sheetData>
  <sortState ref="A46:O79">
    <sortCondition ref="B46:B79"/>
  </sortState>
  <mergeCells count="93">
    <mergeCell ref="E45:F45"/>
    <mergeCell ref="E55:F55"/>
    <mergeCell ref="E42:F42"/>
    <mergeCell ref="E44:F44"/>
    <mergeCell ref="E48:F48"/>
    <mergeCell ref="E53:F53"/>
    <mergeCell ref="E47:F47"/>
    <mergeCell ref="E52:F52"/>
    <mergeCell ref="E43:F43"/>
    <mergeCell ref="E58:F58"/>
    <mergeCell ref="E46:F46"/>
    <mergeCell ref="E51:F51"/>
    <mergeCell ref="E49:F49"/>
    <mergeCell ref="E50:F50"/>
    <mergeCell ref="E54:F54"/>
    <mergeCell ref="E56:F56"/>
    <mergeCell ref="E57:F57"/>
    <mergeCell ref="A40:A41"/>
    <mergeCell ref="B40:B41"/>
    <mergeCell ref="C40:C41"/>
    <mergeCell ref="D40:D41"/>
    <mergeCell ref="E40:F40"/>
    <mergeCell ref="A30:O30"/>
    <mergeCell ref="A10:O10"/>
    <mergeCell ref="A11:A12"/>
    <mergeCell ref="B11:B12"/>
    <mergeCell ref="C11:C12"/>
    <mergeCell ref="D11:D12"/>
    <mergeCell ref="E11:E12"/>
    <mergeCell ref="F11:F12"/>
    <mergeCell ref="G11:I11"/>
    <mergeCell ref="J11:J12"/>
    <mergeCell ref="K11:K12"/>
    <mergeCell ref="L11:M11"/>
    <mergeCell ref="N11:N12"/>
    <mergeCell ref="O11:O12"/>
    <mergeCell ref="A39:O39"/>
    <mergeCell ref="O31:O32"/>
    <mergeCell ref="G31:I31"/>
    <mergeCell ref="J31:J32"/>
    <mergeCell ref="K31:K32"/>
    <mergeCell ref="L31:M31"/>
    <mergeCell ref="N31:N32"/>
    <mergeCell ref="A31:A32"/>
    <mergeCell ref="B31:B32"/>
    <mergeCell ref="C31:C32"/>
    <mergeCell ref="D31:D32"/>
    <mergeCell ref="E31:E32"/>
    <mergeCell ref="F31:F32"/>
    <mergeCell ref="N40:N41"/>
    <mergeCell ref="O40:O41"/>
    <mergeCell ref="C74:C75"/>
    <mergeCell ref="D74:D75"/>
    <mergeCell ref="E74:F74"/>
    <mergeCell ref="O74:O75"/>
    <mergeCell ref="E75:F75"/>
    <mergeCell ref="N63:N64"/>
    <mergeCell ref="O63:O64"/>
    <mergeCell ref="G74:I74"/>
    <mergeCell ref="J74:J75"/>
    <mergeCell ref="K74:K75"/>
    <mergeCell ref="L74:M74"/>
    <mergeCell ref="N74:N75"/>
    <mergeCell ref="A73:O73"/>
    <mergeCell ref="B74:B75"/>
    <mergeCell ref="J40:J41"/>
    <mergeCell ref="G40:I40"/>
    <mergeCell ref="E41:F41"/>
    <mergeCell ref="K40:K41"/>
    <mergeCell ref="L40:M40"/>
    <mergeCell ref="A74:A75"/>
    <mergeCell ref="D63:D64"/>
    <mergeCell ref="E63:E64"/>
    <mergeCell ref="A99:A118"/>
    <mergeCell ref="B99:B105"/>
    <mergeCell ref="B106:B115"/>
    <mergeCell ref="B116:B118"/>
    <mergeCell ref="A86:A88"/>
    <mergeCell ref="A90:A97"/>
    <mergeCell ref="E76:F76"/>
    <mergeCell ref="E77:F77"/>
    <mergeCell ref="E78:F78"/>
    <mergeCell ref="E79:F79"/>
    <mergeCell ref="E80:F80"/>
    <mergeCell ref="A62:O62"/>
    <mergeCell ref="A63:A64"/>
    <mergeCell ref="B63:B64"/>
    <mergeCell ref="C63:C64"/>
    <mergeCell ref="L63:M63"/>
    <mergeCell ref="G63:I63"/>
    <mergeCell ref="J63:J64"/>
    <mergeCell ref="K63:K64"/>
    <mergeCell ref="F63:F64"/>
  </mergeCells>
  <dataValidations count="8">
    <dataValidation type="list" allowBlank="1" showInputMessage="1" showErrorMessage="1" sqref="O67:O70 O46:O59 O13:O27 O35:O36 O76:O80 O42:O44 O65" xr:uid="{00000000-0002-0000-0200-000000000000}">
      <formula1>$B$90:$B$97</formula1>
    </dataValidation>
    <dataValidation type="list" allowBlank="1" showInputMessage="1" showErrorMessage="1" sqref="D26:D27 D33:D36 D13 D80 D16:D23" xr:uid="{00000000-0002-0000-0200-000001000000}">
      <formula1>$C$106:$C$115</formula1>
    </dataValidation>
    <dataValidation type="list" allowBlank="1" showInputMessage="1" showErrorMessage="1" sqref="D76:D79 D42:D59" xr:uid="{00000000-0002-0000-0200-000002000000}">
      <formula1>$C$99:$C$105</formula1>
    </dataValidation>
    <dataValidation type="list" allowBlank="1" showInputMessage="1" showErrorMessage="1" sqref="K65:K70 K13:K27 K35:K36 K76:K80 K42:K59" xr:uid="{00000000-0002-0000-0200-000003000000}">
      <formula1>$B$86:$B$88</formula1>
    </dataValidation>
    <dataValidation type="list" allowBlank="1" showInputMessage="1" showErrorMessage="1" sqref="K81:K82 D81" xr:uid="{00000000-0002-0000-0200-000004000000}">
      <formula1>#REF!</formula1>
    </dataValidation>
    <dataValidation type="list" allowBlank="1" showInputMessage="1" showErrorMessage="1" sqref="D70" xr:uid="{00000000-0002-0000-0200-000005000000}">
      <formula1>$C$116:$C$118</formula1>
    </dataValidation>
    <dataValidation type="list" allowBlank="1" showInputMessage="1" showErrorMessage="1" sqref="D14:D15 D24:D25" xr:uid="{00000000-0002-0000-0200-000006000000}">
      <formula1>$C$87:$C$96</formula1>
    </dataValidation>
    <dataValidation type="list" allowBlank="1" showInputMessage="1" showErrorMessage="1" sqref="O66" xr:uid="{00000000-0002-0000-0200-000007000000}">
      <formula1>$B$107:$B$114</formula1>
    </dataValidation>
  </dataValidations>
  <printOptions horizontalCentered="1"/>
  <pageMargins left="0.11811023622047245" right="0.11811023622047245" top="0.78740157480314965" bottom="0.39370078740157483" header="0.11811023622047245" footer="0.11811023622047245"/>
  <pageSetup paperSize="9" scale="55" fitToHeight="6" orientation="landscape" horizontalDpi="4294967293" verticalDpi="4294967293" r:id="rId1"/>
  <headerFooter>
    <oddHeader>&amp;L&amp;G&amp;R&amp;G</oddHeader>
    <oddFooter>&amp;C&amp;10Página &amp;P de &amp;N</oddFooter>
  </headerFooter>
  <rowBreaks count="3" manualBreakCount="3">
    <brk id="28" max="14" man="1"/>
    <brk id="47" max="14" man="1"/>
    <brk id="60" max="14" man="1"/>
  </rowBreaks>
  <ignoredErrors>
    <ignoredError sqref="M23:M24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7"/>
  <sheetViews>
    <sheetView zoomScale="75" zoomScaleNormal="75" workbookViewId="0"/>
  </sheetViews>
  <sheetFormatPr defaultColWidth="9.109375" defaultRowHeight="14.4" x14ac:dyDescent="0.3"/>
  <cols>
    <col min="1" max="1" width="3.6640625" style="8" customWidth="1"/>
    <col min="2" max="2" width="9.88671875" style="2" customWidth="1"/>
    <col min="3" max="3" width="36.5546875" style="2" customWidth="1"/>
    <col min="4" max="4" width="23.109375" style="2" customWidth="1"/>
    <col min="5" max="5" width="17.6640625" style="4" customWidth="1"/>
    <col min="6" max="7" width="17.6640625" style="5" customWidth="1"/>
    <col min="8" max="8" width="13.5546875" style="2" customWidth="1"/>
    <col min="9" max="9" width="12.6640625" style="2" customWidth="1"/>
    <col min="10" max="10" width="11.5546875" style="38" customWidth="1"/>
    <col min="11" max="11" width="9.109375" style="2"/>
    <col min="12" max="12" width="16.88671875" style="2" customWidth="1"/>
    <col min="13" max="16384" width="9.109375" style="2"/>
  </cols>
  <sheetData>
    <row r="1" spans="1:13" ht="33.75" customHeight="1" x14ac:dyDescent="0.3">
      <c r="B1" s="14" t="s">
        <v>101</v>
      </c>
      <c r="C1" s="14" t="s">
        <v>55</v>
      </c>
      <c r="D1" s="14" t="s">
        <v>86</v>
      </c>
      <c r="E1" s="14" t="s">
        <v>83</v>
      </c>
      <c r="F1" s="14" t="s">
        <v>84</v>
      </c>
      <c r="G1" s="14" t="s">
        <v>208</v>
      </c>
      <c r="H1" s="14" t="s">
        <v>19</v>
      </c>
      <c r="I1" s="14" t="s">
        <v>20</v>
      </c>
      <c r="J1" s="14" t="s">
        <v>219</v>
      </c>
    </row>
    <row r="2" spans="1:13" ht="41.4" x14ac:dyDescent="0.3">
      <c r="A2" s="9">
        <v>1</v>
      </c>
      <c r="B2" s="21" t="s">
        <v>156</v>
      </c>
      <c r="C2" s="19" t="s">
        <v>98</v>
      </c>
      <c r="D2" s="10" t="s">
        <v>36</v>
      </c>
      <c r="E2" s="12">
        <f>340.1+429.75</f>
        <v>769.85</v>
      </c>
      <c r="F2" s="12">
        <v>0</v>
      </c>
      <c r="G2" s="12">
        <f t="shared" ref="G2:G33" si="0">E2+F2</f>
        <v>769.85</v>
      </c>
      <c r="H2" s="11">
        <v>42663</v>
      </c>
      <c r="I2" s="11">
        <v>42919</v>
      </c>
      <c r="J2" s="77">
        <v>10</v>
      </c>
      <c r="K2" s="1"/>
      <c r="L2" s="71" t="s">
        <v>45</v>
      </c>
      <c r="M2" s="8">
        <v>42</v>
      </c>
    </row>
    <row r="3" spans="1:13" ht="55.2" x14ac:dyDescent="0.3">
      <c r="A3" s="9">
        <v>2</v>
      </c>
      <c r="B3" s="21" t="s">
        <v>117</v>
      </c>
      <c r="C3" s="19" t="s">
        <v>118</v>
      </c>
      <c r="D3" s="10" t="s">
        <v>26</v>
      </c>
      <c r="E3" s="12">
        <v>200</v>
      </c>
      <c r="F3" s="12">
        <v>0</v>
      </c>
      <c r="G3" s="12">
        <f t="shared" si="0"/>
        <v>200</v>
      </c>
      <c r="H3" s="11">
        <v>42709</v>
      </c>
      <c r="I3" s="11">
        <v>42919</v>
      </c>
      <c r="J3" s="77">
        <v>6</v>
      </c>
      <c r="K3" s="1"/>
      <c r="L3" s="72" t="s">
        <v>14</v>
      </c>
      <c r="M3" s="8">
        <v>6</v>
      </c>
    </row>
    <row r="4" spans="1:13" ht="28.8" x14ac:dyDescent="0.3">
      <c r="A4" s="9">
        <v>3</v>
      </c>
      <c r="B4" s="14" t="s">
        <v>119</v>
      </c>
      <c r="C4" s="19" t="s">
        <v>120</v>
      </c>
      <c r="D4" s="10" t="s">
        <v>8</v>
      </c>
      <c r="E4" s="12">
        <v>1000</v>
      </c>
      <c r="F4" s="12">
        <v>0</v>
      </c>
      <c r="G4" s="12">
        <f t="shared" si="0"/>
        <v>1000</v>
      </c>
      <c r="H4" s="11">
        <v>43171</v>
      </c>
      <c r="I4" s="25">
        <v>43339</v>
      </c>
      <c r="J4" s="77">
        <v>8</v>
      </c>
      <c r="K4" s="1"/>
      <c r="L4" s="73" t="s">
        <v>47</v>
      </c>
      <c r="M4" s="8">
        <v>9</v>
      </c>
    </row>
    <row r="5" spans="1:13" ht="41.4" x14ac:dyDescent="0.3">
      <c r="A5" s="9">
        <v>4</v>
      </c>
      <c r="B5" s="14" t="s">
        <v>121</v>
      </c>
      <c r="C5" s="19" t="s">
        <v>201</v>
      </c>
      <c r="D5" s="29" t="s">
        <v>35</v>
      </c>
      <c r="E5" s="12">
        <v>160</v>
      </c>
      <c r="F5" s="12">
        <v>0</v>
      </c>
      <c r="G5" s="12">
        <f t="shared" si="0"/>
        <v>160</v>
      </c>
      <c r="H5" s="11">
        <v>43137</v>
      </c>
      <c r="I5" s="25">
        <v>43305</v>
      </c>
      <c r="J5" s="77">
        <v>10</v>
      </c>
      <c r="K5" s="1"/>
      <c r="L5" s="74" t="s">
        <v>56</v>
      </c>
      <c r="M5" s="8">
        <v>5</v>
      </c>
    </row>
    <row r="6" spans="1:13" ht="41.4" x14ac:dyDescent="0.3">
      <c r="A6" s="9">
        <v>5</v>
      </c>
      <c r="B6" s="21" t="s">
        <v>122</v>
      </c>
      <c r="C6" s="19" t="s">
        <v>123</v>
      </c>
      <c r="D6" s="10" t="s">
        <v>26</v>
      </c>
      <c r="E6" s="12">
        <v>100</v>
      </c>
      <c r="F6" s="12">
        <v>0</v>
      </c>
      <c r="G6" s="12">
        <f t="shared" si="0"/>
        <v>100</v>
      </c>
      <c r="H6" s="25" t="s">
        <v>204</v>
      </c>
      <c r="I6" s="25" t="s">
        <v>204</v>
      </c>
      <c r="J6" s="77">
        <v>6</v>
      </c>
      <c r="K6" s="1"/>
      <c r="L6" s="75" t="s">
        <v>2</v>
      </c>
      <c r="M6" s="8">
        <v>3</v>
      </c>
    </row>
    <row r="7" spans="1:13" ht="27.6" x14ac:dyDescent="0.3">
      <c r="A7" s="9">
        <v>6</v>
      </c>
      <c r="B7" s="14" t="s">
        <v>124</v>
      </c>
      <c r="C7" s="19" t="s">
        <v>125</v>
      </c>
      <c r="D7" s="29" t="s">
        <v>35</v>
      </c>
      <c r="E7" s="12">
        <v>350</v>
      </c>
      <c r="F7" s="12">
        <v>0</v>
      </c>
      <c r="G7" s="12">
        <f t="shared" si="0"/>
        <v>350</v>
      </c>
      <c r="H7" s="11">
        <v>43137</v>
      </c>
      <c r="I7" s="25">
        <v>43305</v>
      </c>
      <c r="J7" s="77">
        <v>6</v>
      </c>
      <c r="K7" s="1"/>
      <c r="L7" s="8"/>
      <c r="M7" s="8">
        <f>SUM(M2:M6)</f>
        <v>65</v>
      </c>
    </row>
    <row r="8" spans="1:13" ht="41.4" x14ac:dyDescent="0.3">
      <c r="A8" s="9">
        <v>7</v>
      </c>
      <c r="B8" s="21" t="s">
        <v>126</v>
      </c>
      <c r="C8" s="19" t="s">
        <v>127</v>
      </c>
      <c r="D8" s="10" t="s">
        <v>26</v>
      </c>
      <c r="E8" s="12">
        <v>105</v>
      </c>
      <c r="F8" s="12">
        <v>0</v>
      </c>
      <c r="G8" s="12">
        <f t="shared" si="0"/>
        <v>105</v>
      </c>
      <c r="H8" s="11">
        <v>43137</v>
      </c>
      <c r="I8" s="25">
        <v>43305</v>
      </c>
      <c r="J8" s="77">
        <v>3</v>
      </c>
      <c r="K8" s="1"/>
    </row>
    <row r="9" spans="1:13" ht="41.4" x14ac:dyDescent="0.3">
      <c r="A9" s="9">
        <v>8</v>
      </c>
      <c r="B9" s="21" t="s">
        <v>197</v>
      </c>
      <c r="C9" s="19" t="s">
        <v>128</v>
      </c>
      <c r="D9" s="10" t="s">
        <v>36</v>
      </c>
      <c r="E9" s="12">
        <v>500</v>
      </c>
      <c r="F9" s="12">
        <v>0</v>
      </c>
      <c r="G9" s="12">
        <f t="shared" si="0"/>
        <v>500</v>
      </c>
      <c r="H9" s="11">
        <v>42663</v>
      </c>
      <c r="I9" s="11">
        <v>42885</v>
      </c>
      <c r="J9" s="77">
        <v>10</v>
      </c>
      <c r="K9" s="1"/>
    </row>
    <row r="10" spans="1:13" ht="27.6" x14ac:dyDescent="0.3">
      <c r="A10" s="9">
        <v>9</v>
      </c>
      <c r="B10" s="39" t="s">
        <v>129</v>
      </c>
      <c r="C10" s="40" t="s">
        <v>32</v>
      </c>
      <c r="D10" s="41" t="s">
        <v>35</v>
      </c>
      <c r="E10" s="42">
        <f>1121850.65/3.1358/1000</f>
        <v>357.75580394157782</v>
      </c>
      <c r="F10" s="42">
        <v>0</v>
      </c>
      <c r="G10" s="42">
        <f t="shared" si="0"/>
        <v>357.75580394157782</v>
      </c>
      <c r="H10" s="43">
        <v>42566</v>
      </c>
      <c r="I10" s="43">
        <v>42705</v>
      </c>
      <c r="J10" s="78">
        <v>9</v>
      </c>
      <c r="K10" s="1"/>
    </row>
    <row r="11" spans="1:13" ht="41.4" x14ac:dyDescent="0.3">
      <c r="A11" s="9">
        <v>10</v>
      </c>
      <c r="B11" s="21" t="s">
        <v>130</v>
      </c>
      <c r="C11" s="19" t="s">
        <v>61</v>
      </c>
      <c r="D11" s="10" t="s">
        <v>36</v>
      </c>
      <c r="E11" s="12">
        <f>1540237.23/3.1358/1000</f>
        <v>491.17840104598503</v>
      </c>
      <c r="F11" s="12">
        <v>0</v>
      </c>
      <c r="G11" s="12">
        <f t="shared" si="0"/>
        <v>491.17840104598503</v>
      </c>
      <c r="H11" s="11">
        <v>42695</v>
      </c>
      <c r="I11" s="11">
        <v>42919</v>
      </c>
      <c r="J11" s="77">
        <v>8</v>
      </c>
      <c r="K11" s="1"/>
    </row>
    <row r="12" spans="1:13" ht="27.6" x14ac:dyDescent="0.3">
      <c r="A12" s="9">
        <v>11</v>
      </c>
      <c r="B12" s="14" t="s">
        <v>131</v>
      </c>
      <c r="C12" s="19" t="s">
        <v>132</v>
      </c>
      <c r="D12" s="10" t="s">
        <v>8</v>
      </c>
      <c r="E12" s="12">
        <v>5708.8220000000001</v>
      </c>
      <c r="F12" s="12">
        <v>0</v>
      </c>
      <c r="G12" s="12">
        <f t="shared" si="0"/>
        <v>5708.8220000000001</v>
      </c>
      <c r="H12" s="25">
        <v>43255</v>
      </c>
      <c r="I12" s="25">
        <v>43423</v>
      </c>
      <c r="J12" s="77">
        <v>12</v>
      </c>
      <c r="K12" s="1"/>
    </row>
    <row r="13" spans="1:13" ht="41.4" x14ac:dyDescent="0.3">
      <c r="A13" s="9">
        <v>12</v>
      </c>
      <c r="B13" s="21" t="s">
        <v>133</v>
      </c>
      <c r="C13" s="16" t="s">
        <v>116</v>
      </c>
      <c r="D13" s="10" t="s">
        <v>27</v>
      </c>
      <c r="E13" s="12">
        <v>60.87</v>
      </c>
      <c r="F13" s="12">
        <v>0</v>
      </c>
      <c r="G13" s="12">
        <f t="shared" si="0"/>
        <v>60.87</v>
      </c>
      <c r="H13" s="11">
        <v>42683</v>
      </c>
      <c r="I13" s="11">
        <v>42758</v>
      </c>
      <c r="J13" s="77">
        <v>4</v>
      </c>
      <c r="K13" s="1"/>
    </row>
    <row r="14" spans="1:13" ht="41.4" x14ac:dyDescent="0.3">
      <c r="A14" s="9">
        <v>13</v>
      </c>
      <c r="B14" s="50" t="s">
        <v>134</v>
      </c>
      <c r="C14" s="32" t="s">
        <v>135</v>
      </c>
      <c r="D14" s="34" t="s">
        <v>13</v>
      </c>
      <c r="E14" s="35">
        <f>65453.19/3.3382/1000</f>
        <v>19.607330297765262</v>
      </c>
      <c r="F14" s="35">
        <v>0</v>
      </c>
      <c r="G14" s="35">
        <f t="shared" si="0"/>
        <v>19.607330297765262</v>
      </c>
      <c r="H14" s="26" t="s">
        <v>205</v>
      </c>
      <c r="I14" s="26">
        <v>42558</v>
      </c>
      <c r="J14" s="80">
        <v>6</v>
      </c>
      <c r="K14" s="1"/>
    </row>
    <row r="15" spans="1:13" ht="41.4" x14ac:dyDescent="0.3">
      <c r="A15" s="9">
        <v>14</v>
      </c>
      <c r="B15" s="21" t="s">
        <v>194</v>
      </c>
      <c r="C15" s="17" t="s">
        <v>195</v>
      </c>
      <c r="D15" s="10" t="s">
        <v>26</v>
      </c>
      <c r="E15" s="12">
        <f>100-E14</f>
        <v>80.392669702234741</v>
      </c>
      <c r="F15" s="12">
        <v>0</v>
      </c>
      <c r="G15" s="12">
        <f t="shared" si="0"/>
        <v>80.392669702234741</v>
      </c>
      <c r="H15" s="11"/>
      <c r="I15" s="11"/>
      <c r="J15" s="77" t="s">
        <v>220</v>
      </c>
      <c r="K15" s="1"/>
    </row>
    <row r="16" spans="1:13" ht="55.2" x14ac:dyDescent="0.3">
      <c r="A16" s="9">
        <v>15</v>
      </c>
      <c r="B16" s="31" t="s">
        <v>184</v>
      </c>
      <c r="C16" s="32" t="s">
        <v>28</v>
      </c>
      <c r="D16" s="34" t="s">
        <v>8</v>
      </c>
      <c r="E16" s="35">
        <f>(6633884.61+983021.21+591206.19)/3.964/1000</f>
        <v>2070.6639783047426</v>
      </c>
      <c r="F16" s="35">
        <v>0</v>
      </c>
      <c r="G16" s="35">
        <f t="shared" si="0"/>
        <v>2070.6639783047426</v>
      </c>
      <c r="H16" s="26">
        <v>42194</v>
      </c>
      <c r="I16" s="26">
        <v>42277</v>
      </c>
      <c r="J16" s="80" t="s">
        <v>221</v>
      </c>
      <c r="K16" s="1"/>
    </row>
    <row r="17" spans="1:11" ht="41.4" x14ac:dyDescent="0.3">
      <c r="A17" s="9">
        <v>16</v>
      </c>
      <c r="B17" s="39" t="s">
        <v>136</v>
      </c>
      <c r="C17" s="40" t="s">
        <v>59</v>
      </c>
      <c r="D17" s="41" t="s">
        <v>8</v>
      </c>
      <c r="E17" s="42">
        <f>2268495.07/3.1358/1000</f>
        <v>723.41828879392813</v>
      </c>
      <c r="F17" s="42">
        <v>0</v>
      </c>
      <c r="G17" s="42">
        <f t="shared" si="0"/>
        <v>723.41828879392813</v>
      </c>
      <c r="H17" s="43">
        <v>42736</v>
      </c>
      <c r="I17" s="43">
        <v>42908</v>
      </c>
      <c r="J17" s="78">
        <v>6</v>
      </c>
      <c r="K17" s="7"/>
    </row>
    <row r="18" spans="1:11" x14ac:dyDescent="0.3">
      <c r="A18" s="9">
        <v>17</v>
      </c>
      <c r="B18" s="14" t="s">
        <v>137</v>
      </c>
      <c r="C18" s="17" t="s">
        <v>60</v>
      </c>
      <c r="D18" s="13" t="s">
        <v>35</v>
      </c>
      <c r="E18" s="12">
        <f>1355174.61/3.1358/1000</f>
        <v>432.16232221442692</v>
      </c>
      <c r="F18" s="12">
        <v>0</v>
      </c>
      <c r="G18" s="12">
        <f t="shared" si="0"/>
        <v>432.16232221442692</v>
      </c>
      <c r="H18" s="30">
        <v>42736</v>
      </c>
      <c r="I18" s="30">
        <v>42908</v>
      </c>
      <c r="J18" s="77">
        <v>8</v>
      </c>
      <c r="K18" s="7"/>
    </row>
    <row r="19" spans="1:11" x14ac:dyDescent="0.3">
      <c r="A19" s="9">
        <v>18</v>
      </c>
      <c r="B19" s="14" t="s">
        <v>138</v>
      </c>
      <c r="C19" s="28" t="s">
        <v>139</v>
      </c>
      <c r="D19" s="10" t="s">
        <v>8</v>
      </c>
      <c r="E19" s="12">
        <f>3000-E20-E21</f>
        <v>2000</v>
      </c>
      <c r="F19" s="12">
        <v>0</v>
      </c>
      <c r="G19" s="12">
        <f t="shared" si="0"/>
        <v>2000</v>
      </c>
      <c r="H19" s="11"/>
      <c r="I19" s="11"/>
      <c r="J19" s="77" t="s">
        <v>220</v>
      </c>
      <c r="K19" s="7"/>
    </row>
    <row r="20" spans="1:11" ht="27.6" x14ac:dyDescent="0.3">
      <c r="A20" s="9">
        <v>19</v>
      </c>
      <c r="B20" s="14" t="s">
        <v>198</v>
      </c>
      <c r="C20" s="18" t="s">
        <v>57</v>
      </c>
      <c r="D20" s="3" t="s">
        <v>8</v>
      </c>
      <c r="E20" s="12">
        <v>500</v>
      </c>
      <c r="F20" s="12">
        <v>0</v>
      </c>
      <c r="G20" s="12">
        <f t="shared" si="0"/>
        <v>500</v>
      </c>
      <c r="H20" s="6">
        <v>42799</v>
      </c>
      <c r="I20" s="11">
        <v>42965</v>
      </c>
      <c r="J20" s="77">
        <v>8</v>
      </c>
      <c r="K20" s="23"/>
    </row>
    <row r="21" spans="1:11" ht="27.6" x14ac:dyDescent="0.3">
      <c r="A21" s="9">
        <v>20</v>
      </c>
      <c r="B21" s="14" t="s">
        <v>199</v>
      </c>
      <c r="C21" s="18" t="s">
        <v>58</v>
      </c>
      <c r="D21" s="3" t="s">
        <v>8</v>
      </c>
      <c r="E21" s="12">
        <v>500</v>
      </c>
      <c r="F21" s="12">
        <v>0</v>
      </c>
      <c r="G21" s="12">
        <f t="shared" si="0"/>
        <v>500</v>
      </c>
      <c r="H21" s="6">
        <v>42799</v>
      </c>
      <c r="I21" s="11">
        <v>42965</v>
      </c>
      <c r="J21" s="77">
        <v>8</v>
      </c>
      <c r="K21" s="23"/>
    </row>
    <row r="22" spans="1:11" ht="27.6" x14ac:dyDescent="0.3">
      <c r="A22" s="9">
        <v>21</v>
      </c>
      <c r="B22" s="51" t="s">
        <v>140</v>
      </c>
      <c r="C22" s="32" t="s">
        <v>80</v>
      </c>
      <c r="D22" s="34" t="s">
        <v>36</v>
      </c>
      <c r="E22" s="35">
        <f>1695591.45/3.1358/1000</f>
        <v>540.72053383506602</v>
      </c>
      <c r="F22" s="35">
        <v>0</v>
      </c>
      <c r="G22" s="35">
        <f t="shared" si="0"/>
        <v>540.72053383506602</v>
      </c>
      <c r="H22" s="26">
        <v>42248</v>
      </c>
      <c r="I22" s="26">
        <v>42614</v>
      </c>
      <c r="J22" s="80">
        <v>12</v>
      </c>
    </row>
    <row r="23" spans="1:11" ht="41.4" x14ac:dyDescent="0.3">
      <c r="A23" s="9">
        <v>22</v>
      </c>
      <c r="B23" s="21" t="s">
        <v>143</v>
      </c>
      <c r="C23" s="19" t="s">
        <v>142</v>
      </c>
      <c r="D23" s="10" t="s">
        <v>36</v>
      </c>
      <c r="E23" s="12">
        <v>1459.068</v>
      </c>
      <c r="F23" s="12">
        <v>0</v>
      </c>
      <c r="G23" s="12">
        <f t="shared" si="0"/>
        <v>1459.068</v>
      </c>
      <c r="H23" s="11">
        <v>42740</v>
      </c>
      <c r="I23" s="11">
        <v>42950</v>
      </c>
      <c r="J23" s="77">
        <v>10</v>
      </c>
    </row>
    <row r="24" spans="1:11" ht="55.2" x14ac:dyDescent="0.3">
      <c r="A24" s="9">
        <v>23</v>
      </c>
      <c r="B24" s="50" t="s">
        <v>144</v>
      </c>
      <c r="C24" s="32" t="s">
        <v>202</v>
      </c>
      <c r="D24" s="34" t="s">
        <v>36</v>
      </c>
      <c r="E24" s="35">
        <f>1749600/3.1358/1000</f>
        <v>557.94374641239881</v>
      </c>
      <c r="F24" s="35">
        <v>0</v>
      </c>
      <c r="G24" s="35">
        <f t="shared" si="0"/>
        <v>557.94374641239881</v>
      </c>
      <c r="H24" s="26">
        <v>42186</v>
      </c>
      <c r="I24" s="26">
        <v>42647</v>
      </c>
      <c r="J24" s="80">
        <v>26</v>
      </c>
    </row>
    <row r="25" spans="1:11" ht="55.2" x14ac:dyDescent="0.3">
      <c r="A25" s="9">
        <v>24</v>
      </c>
      <c r="B25" s="50" t="s">
        <v>145</v>
      </c>
      <c r="C25" s="32" t="s">
        <v>33</v>
      </c>
      <c r="D25" s="34" t="s">
        <v>36</v>
      </c>
      <c r="E25" s="54">
        <f>601000/3.1358/1000</f>
        <v>191.65763122648127</v>
      </c>
      <c r="F25" s="35">
        <v>0</v>
      </c>
      <c r="G25" s="35">
        <f t="shared" si="0"/>
        <v>191.65763122648127</v>
      </c>
      <c r="H25" s="26">
        <v>42186</v>
      </c>
      <c r="I25" s="26">
        <v>42647</v>
      </c>
      <c r="J25" s="80">
        <v>12</v>
      </c>
    </row>
    <row r="26" spans="1:11" s="37" customFormat="1" ht="55.2" x14ac:dyDescent="0.3">
      <c r="A26" s="9">
        <v>25</v>
      </c>
      <c r="B26" s="55" t="s">
        <v>146</v>
      </c>
      <c r="C26" s="40" t="s">
        <v>203</v>
      </c>
      <c r="D26" s="44" t="s">
        <v>36</v>
      </c>
      <c r="E26" s="56">
        <f>788927.25/3.1358/1000</f>
        <v>251.58723451750748</v>
      </c>
      <c r="F26" s="42">
        <v>0</v>
      </c>
      <c r="G26" s="42">
        <f t="shared" si="0"/>
        <v>251.58723451750748</v>
      </c>
      <c r="H26" s="43">
        <v>42186</v>
      </c>
      <c r="I26" s="43">
        <v>42719</v>
      </c>
      <c r="J26" s="78">
        <v>22</v>
      </c>
    </row>
    <row r="27" spans="1:11" ht="41.4" x14ac:dyDescent="0.3">
      <c r="A27" s="9">
        <v>26</v>
      </c>
      <c r="B27" s="57" t="s">
        <v>147</v>
      </c>
      <c r="C27" s="58" t="s">
        <v>97</v>
      </c>
      <c r="D27" s="59" t="s">
        <v>26</v>
      </c>
      <c r="E27" s="60">
        <f>(382699.68+30000)/1000/3.1224</f>
        <v>132.1738662567256</v>
      </c>
      <c r="F27" s="61">
        <v>0</v>
      </c>
      <c r="G27" s="61">
        <f t="shared" si="0"/>
        <v>132.1738662567256</v>
      </c>
      <c r="H27" s="62">
        <v>41894</v>
      </c>
      <c r="I27" s="62">
        <v>42199</v>
      </c>
      <c r="J27" s="81" t="s">
        <v>221</v>
      </c>
    </row>
    <row r="28" spans="1:11" ht="41.4" x14ac:dyDescent="0.3">
      <c r="A28" s="9">
        <v>27</v>
      </c>
      <c r="B28" s="52" t="s">
        <v>64</v>
      </c>
      <c r="C28" s="40" t="s">
        <v>63</v>
      </c>
      <c r="D28" s="44" t="s">
        <v>36</v>
      </c>
      <c r="E28" s="42">
        <v>300</v>
      </c>
      <c r="F28" s="42">
        <v>0</v>
      </c>
      <c r="G28" s="42">
        <f t="shared" si="0"/>
        <v>300</v>
      </c>
      <c r="H28" s="43">
        <v>42451</v>
      </c>
      <c r="I28" s="43">
        <v>42705</v>
      </c>
      <c r="J28" s="78">
        <v>4</v>
      </c>
    </row>
    <row r="29" spans="1:11" ht="27.6" x14ac:dyDescent="0.3">
      <c r="A29" s="9">
        <v>28</v>
      </c>
      <c r="B29" s="21" t="s">
        <v>150</v>
      </c>
      <c r="C29" s="20" t="s">
        <v>151</v>
      </c>
      <c r="D29" s="13" t="s">
        <v>8</v>
      </c>
      <c r="E29" s="12">
        <v>2000</v>
      </c>
      <c r="F29" s="12">
        <v>0</v>
      </c>
      <c r="G29" s="12">
        <f t="shared" si="0"/>
        <v>2000</v>
      </c>
      <c r="H29" s="11">
        <v>42906</v>
      </c>
      <c r="I29" s="11">
        <v>43074</v>
      </c>
      <c r="J29" s="77">
        <v>8</v>
      </c>
    </row>
    <row r="30" spans="1:11" ht="41.4" x14ac:dyDescent="0.3">
      <c r="A30" s="9">
        <v>29</v>
      </c>
      <c r="B30" s="21" t="s">
        <v>152</v>
      </c>
      <c r="C30" s="20" t="s">
        <v>153</v>
      </c>
      <c r="D30" s="13" t="s">
        <v>8</v>
      </c>
      <c r="E30" s="12">
        <v>2000</v>
      </c>
      <c r="F30" s="12">
        <v>0</v>
      </c>
      <c r="G30" s="12">
        <f t="shared" si="0"/>
        <v>2000</v>
      </c>
      <c r="H30" s="11">
        <v>42906</v>
      </c>
      <c r="I30" s="11">
        <v>43074</v>
      </c>
      <c r="J30" s="77">
        <v>4</v>
      </c>
      <c r="K30" s="22"/>
    </row>
    <row r="31" spans="1:11" ht="27.6" x14ac:dyDescent="0.3">
      <c r="A31" s="9">
        <v>30</v>
      </c>
      <c r="B31" s="21" t="s">
        <v>154</v>
      </c>
      <c r="C31" s="19" t="s">
        <v>155</v>
      </c>
      <c r="D31" s="10" t="s">
        <v>36</v>
      </c>
      <c r="E31" s="12">
        <v>300</v>
      </c>
      <c r="F31" s="12">
        <v>0</v>
      </c>
      <c r="G31" s="12">
        <f t="shared" si="0"/>
        <v>300</v>
      </c>
      <c r="H31" s="11">
        <v>42906</v>
      </c>
      <c r="I31" s="11">
        <v>43116</v>
      </c>
      <c r="J31" s="77">
        <v>8</v>
      </c>
    </row>
    <row r="32" spans="1:11" ht="27.6" x14ac:dyDescent="0.3">
      <c r="A32" s="9">
        <v>31</v>
      </c>
      <c r="B32" s="63" t="s">
        <v>94</v>
      </c>
      <c r="C32" s="64" t="s">
        <v>93</v>
      </c>
      <c r="D32" s="59" t="s">
        <v>27</v>
      </c>
      <c r="E32" s="61">
        <f>137985.55/1000/3.812</f>
        <v>36.197678384050363</v>
      </c>
      <c r="F32" s="61">
        <v>0</v>
      </c>
      <c r="G32" s="61">
        <f t="shared" si="0"/>
        <v>36.197678384050363</v>
      </c>
      <c r="H32" s="62">
        <v>41845</v>
      </c>
      <c r="I32" s="62">
        <v>42311</v>
      </c>
      <c r="J32" s="81" t="s">
        <v>221</v>
      </c>
    </row>
    <row r="33" spans="1:11" ht="27.6" x14ac:dyDescent="0.3">
      <c r="A33" s="9">
        <v>32</v>
      </c>
      <c r="B33" s="21" t="s">
        <v>88</v>
      </c>
      <c r="C33" s="20" t="s">
        <v>110</v>
      </c>
      <c r="D33" s="10" t="s">
        <v>35</v>
      </c>
      <c r="E33" s="12">
        <v>250</v>
      </c>
      <c r="F33" s="12">
        <v>0</v>
      </c>
      <c r="G33" s="12">
        <f t="shared" si="0"/>
        <v>250</v>
      </c>
      <c r="H33" s="11">
        <v>42740</v>
      </c>
      <c r="I33" s="11">
        <v>42950</v>
      </c>
      <c r="J33" s="77">
        <v>6</v>
      </c>
      <c r="K33" s="22"/>
    </row>
    <row r="34" spans="1:11" ht="27.6" x14ac:dyDescent="0.3">
      <c r="A34" s="9">
        <v>33</v>
      </c>
      <c r="B34" s="15" t="s">
        <v>99</v>
      </c>
      <c r="C34" s="20" t="s">
        <v>157</v>
      </c>
      <c r="D34" s="10" t="s">
        <v>36</v>
      </c>
      <c r="E34" s="12">
        <v>250</v>
      </c>
      <c r="F34" s="12">
        <v>0</v>
      </c>
      <c r="G34" s="12">
        <f t="shared" ref="G34:G65" si="1">E34+F34</f>
        <v>250</v>
      </c>
      <c r="H34" s="11">
        <v>42740</v>
      </c>
      <c r="I34" s="11">
        <v>42950</v>
      </c>
      <c r="J34" s="77">
        <v>10</v>
      </c>
      <c r="K34" s="22"/>
    </row>
    <row r="35" spans="1:11" ht="27.6" x14ac:dyDescent="0.3">
      <c r="A35" s="9">
        <v>34</v>
      </c>
      <c r="B35" s="21" t="s">
        <v>158</v>
      </c>
      <c r="C35" s="20" t="s">
        <v>159</v>
      </c>
      <c r="D35" s="10" t="s">
        <v>36</v>
      </c>
      <c r="E35" s="12">
        <v>350</v>
      </c>
      <c r="F35" s="12">
        <v>0</v>
      </c>
      <c r="G35" s="12">
        <f t="shared" si="1"/>
        <v>350</v>
      </c>
      <c r="H35" s="11">
        <v>42771</v>
      </c>
      <c r="I35" s="11">
        <v>42979</v>
      </c>
      <c r="J35" s="77">
        <v>8</v>
      </c>
      <c r="K35" s="22"/>
    </row>
    <row r="36" spans="1:11" ht="27.6" x14ac:dyDescent="0.3">
      <c r="A36" s="9">
        <v>35</v>
      </c>
      <c r="B36" s="21" t="s">
        <v>160</v>
      </c>
      <c r="C36" s="20" t="s">
        <v>161</v>
      </c>
      <c r="D36" s="10" t="s">
        <v>36</v>
      </c>
      <c r="E36" s="12">
        <v>310.88</v>
      </c>
      <c r="F36" s="12">
        <v>0</v>
      </c>
      <c r="G36" s="12">
        <f t="shared" si="1"/>
        <v>310.88</v>
      </c>
      <c r="H36" s="11">
        <v>42799</v>
      </c>
      <c r="I36" s="11">
        <v>43007</v>
      </c>
      <c r="J36" s="77">
        <v>4</v>
      </c>
      <c r="K36" s="22"/>
    </row>
    <row r="37" spans="1:11" ht="27.6" x14ac:dyDescent="0.3">
      <c r="A37" s="9">
        <v>36</v>
      </c>
      <c r="B37" s="21" t="s">
        <v>162</v>
      </c>
      <c r="C37" s="20" t="s">
        <v>100</v>
      </c>
      <c r="D37" s="10" t="s">
        <v>36</v>
      </c>
      <c r="E37" s="12">
        <v>221.66</v>
      </c>
      <c r="F37" s="12">
        <v>0</v>
      </c>
      <c r="G37" s="12">
        <f t="shared" si="1"/>
        <v>221.66</v>
      </c>
      <c r="H37" s="11">
        <v>42663</v>
      </c>
      <c r="I37" s="11">
        <v>42885</v>
      </c>
      <c r="J37" s="77">
        <v>6</v>
      </c>
      <c r="K37" s="22"/>
    </row>
    <row r="38" spans="1:11" ht="27.6" x14ac:dyDescent="0.3">
      <c r="A38" s="9">
        <v>37</v>
      </c>
      <c r="B38" s="15" t="s">
        <v>163</v>
      </c>
      <c r="C38" s="28" t="s">
        <v>164</v>
      </c>
      <c r="D38" s="10" t="s">
        <v>35</v>
      </c>
      <c r="E38" s="12">
        <v>650</v>
      </c>
      <c r="F38" s="12">
        <v>0</v>
      </c>
      <c r="G38" s="12">
        <f t="shared" si="1"/>
        <v>650</v>
      </c>
      <c r="H38" s="11">
        <v>43095</v>
      </c>
      <c r="I38" s="25">
        <v>43263</v>
      </c>
      <c r="J38" s="77">
        <v>3</v>
      </c>
      <c r="K38" s="22"/>
    </row>
    <row r="39" spans="1:11" ht="27.6" x14ac:dyDescent="0.3">
      <c r="A39" s="9">
        <v>38</v>
      </c>
      <c r="B39" s="15" t="s">
        <v>165</v>
      </c>
      <c r="C39" s="28" t="s">
        <v>166</v>
      </c>
      <c r="D39" s="10" t="s">
        <v>35</v>
      </c>
      <c r="E39" s="12">
        <v>700</v>
      </c>
      <c r="F39" s="12">
        <v>0</v>
      </c>
      <c r="G39" s="12">
        <f t="shared" si="1"/>
        <v>700</v>
      </c>
      <c r="H39" s="11">
        <v>43095</v>
      </c>
      <c r="I39" s="25">
        <v>43263</v>
      </c>
      <c r="J39" s="77">
        <v>3</v>
      </c>
      <c r="K39" s="22"/>
    </row>
    <row r="40" spans="1:11" x14ac:dyDescent="0.3">
      <c r="A40" s="9">
        <v>39</v>
      </c>
      <c r="B40" s="15" t="s">
        <v>167</v>
      </c>
      <c r="C40" s="19" t="s">
        <v>168</v>
      </c>
      <c r="D40" s="10" t="s">
        <v>35</v>
      </c>
      <c r="E40" s="12">
        <v>50</v>
      </c>
      <c r="F40" s="12">
        <v>0</v>
      </c>
      <c r="G40" s="12">
        <f t="shared" si="1"/>
        <v>50</v>
      </c>
      <c r="H40" s="11">
        <v>42709</v>
      </c>
      <c r="I40" s="11">
        <v>42835</v>
      </c>
      <c r="J40" s="77">
        <v>12</v>
      </c>
    </row>
    <row r="41" spans="1:11" ht="82.8" x14ac:dyDescent="0.3">
      <c r="A41" s="9">
        <v>40</v>
      </c>
      <c r="B41" s="45" t="s">
        <v>81</v>
      </c>
      <c r="C41" s="46" t="s">
        <v>215</v>
      </c>
      <c r="D41" s="47" t="s">
        <v>6</v>
      </c>
      <c r="E41" s="48">
        <v>0</v>
      </c>
      <c r="F41" s="48">
        <f>444.067+444.067</f>
        <v>888.13400000000001</v>
      </c>
      <c r="G41" s="48">
        <f t="shared" si="1"/>
        <v>888.13400000000001</v>
      </c>
      <c r="H41" s="49" t="s">
        <v>204</v>
      </c>
      <c r="I41" s="49" t="s">
        <v>204</v>
      </c>
      <c r="J41" s="79" t="s">
        <v>221</v>
      </c>
    </row>
    <row r="42" spans="1:11" ht="41.4" x14ac:dyDescent="0.3">
      <c r="A42" s="9">
        <v>41</v>
      </c>
      <c r="B42" s="45" t="s">
        <v>82</v>
      </c>
      <c r="C42" s="46" t="s">
        <v>213</v>
      </c>
      <c r="D42" s="47" t="s">
        <v>6</v>
      </c>
      <c r="E42" s="48">
        <v>0</v>
      </c>
      <c r="F42" s="48">
        <v>6340.7389999999996</v>
      </c>
      <c r="G42" s="48">
        <f t="shared" si="1"/>
        <v>6340.7389999999996</v>
      </c>
      <c r="H42" s="49" t="s">
        <v>204</v>
      </c>
      <c r="I42" s="49" t="s">
        <v>204</v>
      </c>
      <c r="J42" s="79" t="s">
        <v>221</v>
      </c>
    </row>
    <row r="43" spans="1:11" ht="41.4" x14ac:dyDescent="0.3">
      <c r="A43" s="9">
        <v>42</v>
      </c>
      <c r="B43" s="45" t="s">
        <v>209</v>
      </c>
      <c r="C43" s="46" t="s">
        <v>212</v>
      </c>
      <c r="D43" s="47" t="s">
        <v>6</v>
      </c>
      <c r="E43" s="48">
        <v>0</v>
      </c>
      <c r="F43" s="48">
        <f>19804733.43/1000/2.3414</f>
        <v>8458.5006534551976</v>
      </c>
      <c r="G43" s="48">
        <f t="shared" si="1"/>
        <v>8458.5006534551976</v>
      </c>
      <c r="H43" s="49" t="s">
        <v>204</v>
      </c>
      <c r="I43" s="49" t="s">
        <v>204</v>
      </c>
      <c r="J43" s="79" t="s">
        <v>222</v>
      </c>
    </row>
    <row r="44" spans="1:11" ht="69" x14ac:dyDescent="0.3">
      <c r="A44" s="9">
        <v>43</v>
      </c>
      <c r="B44" s="45" t="s">
        <v>210</v>
      </c>
      <c r="C44" s="46" t="s">
        <v>217</v>
      </c>
      <c r="D44" s="47" t="s">
        <v>6</v>
      </c>
      <c r="E44" s="48">
        <v>0</v>
      </c>
      <c r="F44" s="48">
        <f>10011903.44/1000/2.398</f>
        <v>4175.105688073394</v>
      </c>
      <c r="G44" s="48">
        <f t="shared" si="1"/>
        <v>4175.105688073394</v>
      </c>
      <c r="H44" s="49" t="s">
        <v>204</v>
      </c>
      <c r="I44" s="49" t="s">
        <v>204</v>
      </c>
      <c r="J44" s="79" t="s">
        <v>222</v>
      </c>
    </row>
    <row r="45" spans="1:11" ht="55.2" x14ac:dyDescent="0.3">
      <c r="A45" s="9">
        <v>44</v>
      </c>
      <c r="B45" s="45" t="s">
        <v>211</v>
      </c>
      <c r="C45" s="46" t="s">
        <v>218</v>
      </c>
      <c r="D45" s="47" t="s">
        <v>6</v>
      </c>
      <c r="E45" s="48">
        <v>0</v>
      </c>
      <c r="F45" s="48">
        <f>11232192.79/1000/2.3602</f>
        <v>4759.0004194559779</v>
      </c>
      <c r="G45" s="48">
        <f t="shared" si="1"/>
        <v>4759.0004194559779</v>
      </c>
      <c r="H45" s="49" t="s">
        <v>204</v>
      </c>
      <c r="I45" s="49" t="s">
        <v>204</v>
      </c>
      <c r="J45" s="79" t="s">
        <v>222</v>
      </c>
    </row>
    <row r="46" spans="1:11" ht="55.2" x14ac:dyDescent="0.3">
      <c r="A46" s="9">
        <v>45</v>
      </c>
      <c r="B46" s="21" t="s">
        <v>111</v>
      </c>
      <c r="C46" s="20" t="s">
        <v>207</v>
      </c>
      <c r="D46" s="10" t="s">
        <v>36</v>
      </c>
      <c r="E46" s="12">
        <v>410</v>
      </c>
      <c r="F46" s="12">
        <v>0</v>
      </c>
      <c r="G46" s="12">
        <f t="shared" si="1"/>
        <v>410</v>
      </c>
      <c r="H46" s="11">
        <v>42678</v>
      </c>
      <c r="I46" s="11">
        <v>42885</v>
      </c>
      <c r="J46" s="77">
        <v>12</v>
      </c>
    </row>
    <row r="47" spans="1:11" ht="27.6" x14ac:dyDescent="0.3">
      <c r="A47" s="9">
        <v>46</v>
      </c>
      <c r="B47" s="63" t="s">
        <v>169</v>
      </c>
      <c r="C47" s="64" t="s">
        <v>95</v>
      </c>
      <c r="D47" s="59" t="s">
        <v>27</v>
      </c>
      <c r="E47" s="61">
        <f>136240/1000/3.5339</f>
        <v>38.552307648773315</v>
      </c>
      <c r="F47" s="61">
        <v>0</v>
      </c>
      <c r="G47" s="61">
        <f t="shared" si="1"/>
        <v>38.552307648773315</v>
      </c>
      <c r="H47" s="62">
        <v>41879</v>
      </c>
      <c r="I47" s="62">
        <v>42241</v>
      </c>
      <c r="J47" s="81" t="s">
        <v>221</v>
      </c>
    </row>
    <row r="48" spans="1:11" ht="27.6" x14ac:dyDescent="0.3">
      <c r="A48" s="9">
        <v>47</v>
      </c>
      <c r="B48" s="21" t="s">
        <v>170</v>
      </c>
      <c r="C48" s="70" t="s">
        <v>171</v>
      </c>
      <c r="D48" s="10" t="s">
        <v>36</v>
      </c>
      <c r="E48" s="12">
        <v>350.048</v>
      </c>
      <c r="F48" s="12">
        <v>0</v>
      </c>
      <c r="G48" s="12">
        <f t="shared" si="1"/>
        <v>350.048</v>
      </c>
      <c r="H48" s="11">
        <v>42740</v>
      </c>
      <c r="I48" s="11">
        <v>42950</v>
      </c>
      <c r="J48" s="77">
        <v>10</v>
      </c>
    </row>
    <row r="49" spans="1:12" ht="55.2" x14ac:dyDescent="0.3">
      <c r="A49" s="9">
        <v>48</v>
      </c>
      <c r="B49" s="21" t="s">
        <v>29</v>
      </c>
      <c r="C49" s="16" t="s">
        <v>70</v>
      </c>
      <c r="D49" s="10" t="s">
        <v>36</v>
      </c>
      <c r="E49" s="12">
        <v>400.18</v>
      </c>
      <c r="F49" s="12">
        <v>0</v>
      </c>
      <c r="G49" s="12">
        <f t="shared" si="1"/>
        <v>400.18</v>
      </c>
      <c r="H49" s="11">
        <v>42740</v>
      </c>
      <c r="I49" s="11">
        <v>42950</v>
      </c>
      <c r="J49" s="77">
        <v>6</v>
      </c>
      <c r="L49" s="36"/>
    </row>
    <row r="50" spans="1:12" ht="41.4" x14ac:dyDescent="0.3">
      <c r="A50" s="9">
        <v>49</v>
      </c>
      <c r="B50" s="21" t="s">
        <v>172</v>
      </c>
      <c r="C50" s="16" t="s">
        <v>173</v>
      </c>
      <c r="D50" s="10" t="s">
        <v>26</v>
      </c>
      <c r="E50" s="12">
        <v>200</v>
      </c>
      <c r="F50" s="12">
        <v>0</v>
      </c>
      <c r="G50" s="12">
        <f t="shared" si="1"/>
        <v>200</v>
      </c>
      <c r="H50" s="25">
        <v>43202</v>
      </c>
      <c r="I50" s="25">
        <v>43412</v>
      </c>
      <c r="J50" s="77">
        <v>5</v>
      </c>
    </row>
    <row r="51" spans="1:12" ht="27.6" x14ac:dyDescent="0.3">
      <c r="A51" s="9">
        <v>50</v>
      </c>
      <c r="B51" s="21" t="s">
        <v>174</v>
      </c>
      <c r="C51" s="16" t="s">
        <v>175</v>
      </c>
      <c r="D51" s="10" t="s">
        <v>36</v>
      </c>
      <c r="E51" s="12">
        <v>300</v>
      </c>
      <c r="F51" s="12">
        <v>0</v>
      </c>
      <c r="G51" s="12">
        <f t="shared" si="1"/>
        <v>300</v>
      </c>
      <c r="H51" s="11">
        <v>42740</v>
      </c>
      <c r="I51" s="11">
        <v>42950</v>
      </c>
      <c r="J51" s="77">
        <v>6</v>
      </c>
    </row>
    <row r="52" spans="1:12" ht="27.6" x14ac:dyDescent="0.3">
      <c r="A52" s="9">
        <v>51</v>
      </c>
      <c r="B52" s="15" t="s">
        <v>96</v>
      </c>
      <c r="C52" s="16" t="s">
        <v>69</v>
      </c>
      <c r="D52" s="10" t="s">
        <v>36</v>
      </c>
      <c r="E52" s="12">
        <v>450</v>
      </c>
      <c r="F52" s="12">
        <v>0</v>
      </c>
      <c r="G52" s="12">
        <f t="shared" si="1"/>
        <v>450</v>
      </c>
      <c r="H52" s="11">
        <v>42678</v>
      </c>
      <c r="I52" s="11">
        <v>42885</v>
      </c>
      <c r="J52" s="77">
        <v>6</v>
      </c>
    </row>
    <row r="53" spans="1:12" ht="41.4" x14ac:dyDescent="0.3">
      <c r="A53" s="9">
        <v>52</v>
      </c>
      <c r="B53" s="21" t="s">
        <v>176</v>
      </c>
      <c r="C53" s="16" t="s">
        <v>178</v>
      </c>
      <c r="D53" s="10" t="s">
        <v>36</v>
      </c>
      <c r="E53" s="12">
        <v>347.81900000000002</v>
      </c>
      <c r="F53" s="12">
        <v>0</v>
      </c>
      <c r="G53" s="12">
        <f t="shared" si="1"/>
        <v>347.81900000000002</v>
      </c>
      <c r="H53" s="25">
        <v>43202</v>
      </c>
      <c r="I53" s="25">
        <v>43412</v>
      </c>
      <c r="J53" s="77">
        <v>4</v>
      </c>
    </row>
    <row r="54" spans="1:12" ht="27.6" x14ac:dyDescent="0.3">
      <c r="A54" s="9">
        <v>53</v>
      </c>
      <c r="B54" s="66" t="s">
        <v>177</v>
      </c>
      <c r="C54" s="67" t="s">
        <v>179</v>
      </c>
      <c r="D54" s="27" t="s">
        <v>36</v>
      </c>
      <c r="E54" s="68">
        <v>347.81900000000002</v>
      </c>
      <c r="F54" s="68">
        <v>0</v>
      </c>
      <c r="G54" s="68">
        <f t="shared" si="1"/>
        <v>347.81900000000002</v>
      </c>
      <c r="H54" s="30">
        <v>43136</v>
      </c>
      <c r="I54" s="69">
        <f>H54+180</f>
        <v>43316</v>
      </c>
      <c r="J54" s="77">
        <v>6</v>
      </c>
      <c r="K54" s="22"/>
    </row>
    <row r="55" spans="1:12" ht="41.4" x14ac:dyDescent="0.3">
      <c r="A55" s="9">
        <v>54</v>
      </c>
      <c r="B55" s="51" t="s">
        <v>90</v>
      </c>
      <c r="C55" s="53" t="s">
        <v>38</v>
      </c>
      <c r="D55" s="34" t="s">
        <v>36</v>
      </c>
      <c r="E55" s="35">
        <v>247</v>
      </c>
      <c r="F55" s="35">
        <v>0</v>
      </c>
      <c r="G55" s="35">
        <f t="shared" si="1"/>
        <v>247</v>
      </c>
      <c r="H55" s="26">
        <v>42186</v>
      </c>
      <c r="I55" s="26">
        <v>42662</v>
      </c>
      <c r="J55" s="80">
        <v>8</v>
      </c>
      <c r="K55" s="22"/>
    </row>
    <row r="56" spans="1:12" ht="69" x14ac:dyDescent="0.3">
      <c r="A56" s="9">
        <v>55</v>
      </c>
      <c r="B56" s="21" t="s">
        <v>180</v>
      </c>
      <c r="C56" s="16" t="s">
        <v>206</v>
      </c>
      <c r="D56" s="10" t="s">
        <v>36</v>
      </c>
      <c r="E56" s="12">
        <v>400</v>
      </c>
      <c r="F56" s="12">
        <v>0</v>
      </c>
      <c r="G56" s="12">
        <f t="shared" si="1"/>
        <v>400</v>
      </c>
      <c r="H56" s="11">
        <v>42740</v>
      </c>
      <c r="I56" s="11">
        <v>42950</v>
      </c>
      <c r="J56" s="77">
        <v>8</v>
      </c>
      <c r="K56" s="23"/>
    </row>
    <row r="57" spans="1:12" ht="27.6" x14ac:dyDescent="0.3">
      <c r="A57" s="9">
        <v>56</v>
      </c>
      <c r="B57" s="51" t="s">
        <v>181</v>
      </c>
      <c r="C57" s="53" t="s">
        <v>30</v>
      </c>
      <c r="D57" s="34" t="s">
        <v>36</v>
      </c>
      <c r="E57" s="35">
        <f>1441939.34 /3.1358/1000</f>
        <v>459.83141144205626</v>
      </c>
      <c r="F57" s="35">
        <v>0</v>
      </c>
      <c r="G57" s="35">
        <f t="shared" si="1"/>
        <v>459.83141144205626</v>
      </c>
      <c r="H57" s="26">
        <v>42186</v>
      </c>
      <c r="I57" s="26">
        <v>42662</v>
      </c>
      <c r="J57" s="80">
        <v>14</v>
      </c>
    </row>
    <row r="58" spans="1:12" ht="55.2" x14ac:dyDescent="0.3">
      <c r="A58" s="9">
        <v>57</v>
      </c>
      <c r="B58" s="15" t="s">
        <v>89</v>
      </c>
      <c r="C58" s="16" t="s">
        <v>200</v>
      </c>
      <c r="D58" s="10" t="s">
        <v>26</v>
      </c>
      <c r="E58" s="12">
        <v>102.333</v>
      </c>
      <c r="F58" s="12">
        <v>0</v>
      </c>
      <c r="G58" s="12">
        <f t="shared" si="1"/>
        <v>102.333</v>
      </c>
      <c r="H58" s="11">
        <v>42709</v>
      </c>
      <c r="I58" s="11">
        <v>42919</v>
      </c>
      <c r="J58" s="77">
        <v>6</v>
      </c>
    </row>
    <row r="59" spans="1:12" ht="41.4" x14ac:dyDescent="0.3">
      <c r="A59" s="9">
        <v>58</v>
      </c>
      <c r="B59" s="31" t="s">
        <v>182</v>
      </c>
      <c r="C59" s="32" t="s">
        <v>62</v>
      </c>
      <c r="D59" s="33" t="s">
        <v>8</v>
      </c>
      <c r="E59" s="35">
        <f>5984822.67/3.1358/1000</f>
        <v>1908.5473148797753</v>
      </c>
      <c r="F59" s="35">
        <v>0</v>
      </c>
      <c r="G59" s="35">
        <f t="shared" si="1"/>
        <v>1908.5473148797753</v>
      </c>
      <c r="H59" s="26">
        <v>42471</v>
      </c>
      <c r="I59" s="26">
        <v>42647</v>
      </c>
      <c r="J59" s="80">
        <v>10</v>
      </c>
      <c r="K59" s="22"/>
    </row>
    <row r="60" spans="1:12" ht="27.6" x14ac:dyDescent="0.3">
      <c r="A60" s="9">
        <v>59</v>
      </c>
      <c r="B60" s="52" t="s">
        <v>91</v>
      </c>
      <c r="C60" s="65" t="s">
        <v>31</v>
      </c>
      <c r="D60" s="44" t="s">
        <v>36</v>
      </c>
      <c r="E60" s="42">
        <f>((343011.03)+(111648.73 *3.5014))/3.1358/1000</f>
        <v>234.05124472925567</v>
      </c>
      <c r="F60" s="42">
        <v>0</v>
      </c>
      <c r="G60" s="42">
        <f t="shared" si="1"/>
        <v>234.05124472925567</v>
      </c>
      <c r="H60" s="43">
        <v>42186</v>
      </c>
      <c r="I60" s="43">
        <v>42705</v>
      </c>
      <c r="J60" s="78">
        <v>10</v>
      </c>
    </row>
    <row r="61" spans="1:12" ht="41.4" x14ac:dyDescent="0.3">
      <c r="A61" s="9">
        <v>60</v>
      </c>
      <c r="B61" s="15" t="s">
        <v>185</v>
      </c>
      <c r="C61" s="16" t="s">
        <v>186</v>
      </c>
      <c r="D61" s="10" t="s">
        <v>26</v>
      </c>
      <c r="E61" s="12">
        <v>150</v>
      </c>
      <c r="F61" s="12">
        <v>0</v>
      </c>
      <c r="G61" s="12">
        <f t="shared" si="1"/>
        <v>150</v>
      </c>
      <c r="H61" s="25">
        <v>43255</v>
      </c>
      <c r="I61" s="25">
        <v>43465</v>
      </c>
      <c r="J61" s="77">
        <v>5</v>
      </c>
    </row>
    <row r="62" spans="1:12" ht="41.4" x14ac:dyDescent="0.3">
      <c r="A62" s="9">
        <v>61</v>
      </c>
      <c r="B62" s="15" t="s">
        <v>187</v>
      </c>
      <c r="C62" s="16" t="s">
        <v>188</v>
      </c>
      <c r="D62" s="10" t="s">
        <v>26</v>
      </c>
      <c r="E62" s="12">
        <v>200</v>
      </c>
      <c r="F62" s="12">
        <v>0</v>
      </c>
      <c r="G62" s="12">
        <f t="shared" si="1"/>
        <v>200</v>
      </c>
      <c r="H62" s="11">
        <v>42799</v>
      </c>
      <c r="I62" s="11">
        <v>43007</v>
      </c>
      <c r="J62" s="77">
        <v>5</v>
      </c>
    </row>
    <row r="63" spans="1:12" ht="55.2" x14ac:dyDescent="0.3">
      <c r="A63" s="9">
        <v>62</v>
      </c>
      <c r="B63" s="51" t="s">
        <v>189</v>
      </c>
      <c r="C63" s="53" t="s">
        <v>92</v>
      </c>
      <c r="D63" s="34" t="s">
        <v>50</v>
      </c>
      <c r="E63" s="35">
        <f>14401167/1000/2.26</f>
        <v>6372.1977876106203</v>
      </c>
      <c r="F63" s="35">
        <v>0</v>
      </c>
      <c r="G63" s="35">
        <f t="shared" si="1"/>
        <v>6372.1977876106203</v>
      </c>
      <c r="H63" s="26">
        <v>41430</v>
      </c>
      <c r="I63" s="26">
        <v>41852</v>
      </c>
      <c r="J63" s="80">
        <v>53</v>
      </c>
    </row>
    <row r="64" spans="1:12" ht="27.6" x14ac:dyDescent="0.3">
      <c r="A64" s="9">
        <v>63</v>
      </c>
      <c r="B64" s="52" t="s">
        <v>190</v>
      </c>
      <c r="C64" s="65" t="s">
        <v>34</v>
      </c>
      <c r="D64" s="44" t="s">
        <v>36</v>
      </c>
      <c r="E64" s="42">
        <f>1356000/3.1358/1000</f>
        <v>432.42553734294279</v>
      </c>
      <c r="F64" s="42">
        <v>0</v>
      </c>
      <c r="G64" s="42">
        <f t="shared" si="1"/>
        <v>432.42553734294279</v>
      </c>
      <c r="H64" s="43">
        <v>42186</v>
      </c>
      <c r="I64" s="43">
        <v>42719</v>
      </c>
      <c r="J64" s="78">
        <v>10</v>
      </c>
    </row>
    <row r="65" spans="1:11" ht="27.6" x14ac:dyDescent="0.3">
      <c r="A65" s="9">
        <v>64</v>
      </c>
      <c r="B65" s="15" t="s">
        <v>191</v>
      </c>
      <c r="C65" s="16" t="s">
        <v>109</v>
      </c>
      <c r="D65" s="10" t="s">
        <v>27</v>
      </c>
      <c r="E65" s="12">
        <v>20</v>
      </c>
      <c r="F65" s="12">
        <v>0</v>
      </c>
      <c r="G65" s="12">
        <f t="shared" si="1"/>
        <v>20</v>
      </c>
      <c r="H65" s="11">
        <v>42683</v>
      </c>
      <c r="I65" s="11">
        <v>43158</v>
      </c>
      <c r="J65" s="77">
        <v>3</v>
      </c>
      <c r="K65" s="23"/>
    </row>
    <row r="66" spans="1:11" ht="41.4" x14ac:dyDescent="0.3">
      <c r="A66" s="9">
        <v>65</v>
      </c>
      <c r="B66" s="24" t="s">
        <v>192</v>
      </c>
      <c r="C66" s="16" t="s">
        <v>193</v>
      </c>
      <c r="D66" s="10" t="s">
        <v>26</v>
      </c>
      <c r="E66" s="12">
        <v>99.94</v>
      </c>
      <c r="F66" s="12">
        <v>0</v>
      </c>
      <c r="G66" s="12">
        <f t="shared" ref="G66" si="2">E66+F66</f>
        <v>99.94</v>
      </c>
      <c r="H66" s="25">
        <v>43578</v>
      </c>
      <c r="I66" s="25">
        <v>43788</v>
      </c>
      <c r="J66" s="77">
        <v>3</v>
      </c>
    </row>
    <row r="67" spans="1:11" x14ac:dyDescent="0.3">
      <c r="E67" s="76">
        <f>SUM(E2:E66)</f>
        <v>40152.354088586311</v>
      </c>
      <c r="F67" s="76">
        <f>SUM(F2:F66)</f>
        <v>24621.479760984566</v>
      </c>
      <c r="G67" s="76">
        <f>SUM(G2:G66)</f>
        <v>64773.833849570903</v>
      </c>
    </row>
  </sheetData>
  <autoFilter ref="B1:J1" xr:uid="{00000000-0009-0000-0000-000003000000}">
    <sortState ref="B2:J64">
      <sortCondition ref="B1"/>
    </sortState>
  </autoFilter>
  <dataValidations count="2">
    <dataValidation type="list" allowBlank="1" showInputMessage="1" showErrorMessage="1" sqref="D60:D66 D2:D44 D46:D55" xr:uid="{00000000-0002-0000-0300-000000000000}">
      <formula1>#REF!</formula1>
    </dataValidation>
    <dataValidation type="list" allowBlank="1" showInputMessage="1" showErrorMessage="1" sqref="D45" xr:uid="{00000000-0002-0000-0300-000001000000}">
      <formula1>$C$108:$C$117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7" fitToHeight="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Plano Aquisicoes</vt:lpstr>
      <vt:lpstr>Limpo</vt:lpstr>
      <vt:lpstr>Limpo!Area_de_impressao</vt:lpstr>
      <vt:lpstr>'Plano Aquisicoes'!Area_de_impressao</vt:lpstr>
      <vt:lpstr>Limpo!Titulos_de_impressao</vt:lpstr>
      <vt:lpstr>'Plano Aquisicoes'!Titulos_de_impressao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PRODETUR/SE</dc:title>
  <dc:subject>Plano de Aquisicoes</dc:subject>
  <dc:creator>Eduardo Paiva</dc:creator>
  <cp:keywords>COBRAPE</cp:keywords>
  <cp:lastModifiedBy>Gomes,Higor Seiberlich</cp:lastModifiedBy>
  <cp:lastPrinted>2017-11-01T16:43:22Z</cp:lastPrinted>
  <dcterms:created xsi:type="dcterms:W3CDTF">2011-03-30T14:45:37Z</dcterms:created>
  <dcterms:modified xsi:type="dcterms:W3CDTF">2017-11-09T18:11:04Z</dcterms:modified>
</cp:coreProperties>
</file>