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30" yWindow="15" windowWidth="17340" windowHeight="6330" firstSheet="1" activeTab="2"/>
  </bookViews>
  <sheets>
    <sheet name="cuadro 1 (2)" sheetId="7" state="hidden" r:id="rId1"/>
    <sheet name="COSTO DE LA OPERACION" sheetId="10" r:id="rId2"/>
    <sheet name="Costo por actividades" sheetId="9" r:id="rId3"/>
    <sheet name="Costo por año" sheetId="11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1" l="1"/>
  <c r="N29" i="11"/>
  <c r="N28" i="11"/>
  <c r="M27" i="11"/>
  <c r="L27" i="11"/>
  <c r="K27" i="11"/>
  <c r="J27" i="11"/>
  <c r="I27" i="11"/>
  <c r="H27" i="11"/>
  <c r="G27" i="11"/>
  <c r="F27" i="11"/>
  <c r="E27" i="11"/>
  <c r="D27" i="11"/>
  <c r="N27" i="11" s="1"/>
  <c r="N24" i="11"/>
  <c r="M24" i="11"/>
  <c r="L24" i="11"/>
  <c r="L22" i="11"/>
  <c r="J22" i="11"/>
  <c r="J19" i="11" s="1"/>
  <c r="H22" i="11"/>
  <c r="L21" i="11"/>
  <c r="J21" i="11"/>
  <c r="L20" i="11"/>
  <c r="L19" i="11" s="1"/>
  <c r="M19" i="11"/>
  <c r="K19" i="11"/>
  <c r="I19" i="11"/>
  <c r="H19" i="11"/>
  <c r="L18" i="11"/>
  <c r="J18" i="11"/>
  <c r="H18" i="11"/>
  <c r="L17" i="11"/>
  <c r="J17" i="11"/>
  <c r="H17" i="11"/>
  <c r="H13" i="11" s="1"/>
  <c r="L16" i="11"/>
  <c r="J16" i="11"/>
  <c r="H16" i="11"/>
  <c r="L15" i="11"/>
  <c r="L13" i="11" s="1"/>
  <c r="J15" i="11"/>
  <c r="H15" i="11"/>
  <c r="L14" i="11"/>
  <c r="J14" i="11"/>
  <c r="J13" i="11" s="1"/>
  <c r="H14" i="11"/>
  <c r="M13" i="11"/>
  <c r="K13" i="11"/>
  <c r="I13" i="11"/>
  <c r="F12" i="11"/>
  <c r="D11" i="11"/>
  <c r="H10" i="11"/>
  <c r="F10" i="11"/>
  <c r="F9" i="11"/>
  <c r="F8" i="11" s="1"/>
  <c r="D9" i="11"/>
  <c r="I8" i="11"/>
  <c r="H8" i="11"/>
  <c r="G8" i="11"/>
  <c r="E8" i="11"/>
  <c r="D8" i="11"/>
  <c r="N8" i="11" s="1"/>
  <c r="H66" i="9"/>
  <c r="H65" i="9"/>
  <c r="H64" i="9"/>
  <c r="J32" i="11" l="1"/>
  <c r="K32" i="11"/>
  <c r="L32" i="11"/>
  <c r="M32" i="11"/>
  <c r="H32" i="11" l="1"/>
  <c r="I32" i="11"/>
  <c r="G32" i="11"/>
  <c r="E32" i="11"/>
  <c r="F32" i="11" l="1"/>
  <c r="D32" i="11"/>
  <c r="E18" i="10"/>
  <c r="E12" i="10"/>
  <c r="N32" i="11" l="1"/>
  <c r="G9" i="10" l="1"/>
  <c r="I9" i="10" s="1"/>
  <c r="F18" i="10"/>
  <c r="D18" i="10"/>
  <c r="F12" i="10"/>
  <c r="D12" i="10"/>
  <c r="H17" i="10"/>
  <c r="H16" i="10"/>
  <c r="H13" i="10"/>
  <c r="H15" i="10"/>
  <c r="H14" i="10"/>
  <c r="F7" i="10"/>
  <c r="D7" i="10"/>
  <c r="H11" i="10"/>
  <c r="G11" i="10" s="1"/>
  <c r="I11" i="10" s="1"/>
  <c r="H8" i="10"/>
  <c r="G8" i="10" s="1"/>
  <c r="I8" i="10" s="1"/>
  <c r="H10" i="10"/>
  <c r="G10" i="10" s="1"/>
  <c r="I10" i="10" s="1"/>
  <c r="H9" i="10"/>
  <c r="D27" i="10" l="1"/>
  <c r="G24" i="10"/>
  <c r="E23" i="10"/>
  <c r="H7" i="10"/>
  <c r="H18" i="10"/>
  <c r="G18" i="10" s="1"/>
  <c r="F27" i="10" l="1"/>
  <c r="I24" i="10"/>
  <c r="H12" i="10"/>
  <c r="G23" i="10"/>
  <c r="I23" i="10" s="1"/>
  <c r="I18" i="10"/>
  <c r="E7" i="10"/>
  <c r="G7" i="10"/>
  <c r="H27" i="10" l="1"/>
  <c r="G27" i="10" s="1"/>
  <c r="I7" i="10"/>
  <c r="E27" i="10" l="1"/>
  <c r="I27" i="10" s="1"/>
  <c r="F70" i="9" l="1"/>
  <c r="D70" i="9" l="1"/>
  <c r="H70" i="9" l="1"/>
  <c r="E70" i="9" l="1"/>
  <c r="G70" i="9"/>
  <c r="I70" i="9" l="1"/>
</calcChain>
</file>

<file path=xl/sharedStrings.xml><?xml version="1.0" encoding="utf-8"?>
<sst xmlns="http://schemas.openxmlformats.org/spreadsheetml/2006/main" count="185" uniqueCount="113">
  <si>
    <t>Cuadro Nro 1 - Descripción por componentes</t>
  </si>
  <si>
    <t>Componente</t>
  </si>
  <si>
    <t>Problemas a los que responde</t>
  </si>
  <si>
    <t>Productos esperados</t>
  </si>
  <si>
    <t>Resultados asociados/indicadores</t>
  </si>
  <si>
    <t>Aporte BID</t>
  </si>
  <si>
    <t>Aporte local</t>
  </si>
  <si>
    <t>Total</t>
  </si>
  <si>
    <t>Relevamiento de experiencias internacionales</t>
  </si>
  <si>
    <t>Definición de arquitectura institucional de la VUCE</t>
  </si>
  <si>
    <t>Definición de arquitectura tecnológica de la VUCE</t>
  </si>
  <si>
    <t>Definición de arquitectura normativa de la VUCE</t>
  </si>
  <si>
    <t>Relevamiento de sistemas de información</t>
  </si>
  <si>
    <t>Relevamiento de brecha tecnológica entre organismos</t>
  </si>
  <si>
    <t>Relevamiento de procesos, revisión y modificaciones</t>
  </si>
  <si>
    <t>Relevamiento de metodologías de integración entre sistemas</t>
  </si>
  <si>
    <t>Documento de optimización de procesos</t>
  </si>
  <si>
    <t>Documentación de procesos por organismos</t>
  </si>
  <si>
    <t>Cantidad de procesos modelizados por organismos</t>
  </si>
  <si>
    <t>Documentos de relevamiento de sistemas de información por organismos</t>
  </si>
  <si>
    <t>Documento de relevamiento de brecha tecnológica entre organismos</t>
  </si>
  <si>
    <t>Documento de metodologías de integración entre sistemas según la tecnología disponible</t>
  </si>
  <si>
    <t>Cantidad de procesos optimizados por organismos. Ahorro de tiempo y costo como resultado de la optimización</t>
  </si>
  <si>
    <t>Cantidad de sistemas de información relevados por organismos</t>
  </si>
  <si>
    <t>Cantidad de organismos relevados</t>
  </si>
  <si>
    <t>Definición de metodologías de integración entre los sistemas que integran la VUCE</t>
  </si>
  <si>
    <r>
      <rPr>
        <u/>
        <sz val="11"/>
        <color theme="1"/>
        <rFont val="Calibri"/>
        <family val="2"/>
        <scheme val="minor"/>
      </rPr>
      <t>Problema</t>
    </r>
    <r>
      <rPr>
        <sz val="11"/>
        <color theme="1"/>
        <rFont val="Calibri"/>
        <family val="2"/>
        <scheme val="minor"/>
      </rPr>
      <t xml:space="preserve">: riesgo de revisión del diseño del proyecto durante el trancurso de la implementación. </t>
    </r>
    <r>
      <rPr>
        <u/>
        <sz val="11"/>
        <color theme="1"/>
        <rFont val="Calibri"/>
        <family val="2"/>
        <scheme val="minor"/>
      </rPr>
      <t>Necesidad de</t>
    </r>
    <r>
      <rPr>
        <sz val="11"/>
        <color theme="1"/>
        <rFont val="Calibri"/>
        <family val="2"/>
        <scheme val="minor"/>
      </rPr>
      <t xml:space="preserve"> realizar un diseño detallado previo de todos los aspectos que comprenderán la VUCE (institucional, normativo y tecnológico)</t>
    </r>
  </si>
  <si>
    <r>
      <rPr>
        <u/>
        <sz val="11"/>
        <color theme="1"/>
        <rFont val="Calibri"/>
        <family val="2"/>
        <scheme val="minor"/>
      </rPr>
      <t>Problema</t>
    </r>
    <r>
      <rPr>
        <sz val="11"/>
        <color theme="1"/>
        <rFont val="Calibri"/>
        <family val="2"/>
        <scheme val="minor"/>
      </rPr>
      <t xml:space="preserve">: falta de conocimiento del estado real de situación de los organismos involucrados en la plataforma VUCE. </t>
    </r>
    <r>
      <rPr>
        <u/>
        <sz val="11"/>
        <color theme="1"/>
        <rFont val="Calibri"/>
        <family val="2"/>
        <scheme val="minor"/>
      </rPr>
      <t>Necesidad de</t>
    </r>
    <r>
      <rPr>
        <sz val="11"/>
        <color theme="1"/>
        <rFont val="Calibri"/>
        <family val="2"/>
        <scheme val="minor"/>
      </rPr>
      <t xml:space="preserve"> realizar un diagnóstico detallado del estado de situación</t>
    </r>
  </si>
  <si>
    <t>Cantidad de viajes y reportes de misiones a países con VUCE en operación</t>
  </si>
  <si>
    <t>Licencias de software para la operación VUCE</t>
  </si>
  <si>
    <t>Compra de equipamiento para organismos involucrados</t>
  </si>
  <si>
    <t>Desarrollo del portal VUCE</t>
  </si>
  <si>
    <t>Digitalización de procesos en plataforma VUCE</t>
  </si>
  <si>
    <t>Documento descriptivo de arquitectura institucional de la plataforma VUCE</t>
  </si>
  <si>
    <t>Cantidad de modificaciones de normas vigentes y propuesta de nuevas normas para constituir el marco legal de la plataforma VUCE</t>
  </si>
  <si>
    <t>Documento descriptivo de arquitectura tecnológica de la plataforma VUCE (aspectos de infraestructura de servidores, conectividad, seguridad y contingencia)</t>
  </si>
  <si>
    <t>Procesos de compras y contrataciones de los diferentes productos y servicios tecnológicos necesarios para la implementación de la plataforma VUCE</t>
  </si>
  <si>
    <t>Pliegos de compras de servidores, storage, conectividad, licencias de software.</t>
  </si>
  <si>
    <t>Contratación del desarrollo del software que sustenta el portal VUCE, la digitalización de procesos y los mecanismos de integración entre sistemas.</t>
  </si>
  <si>
    <t>Cantidad de pliegos definidos y procesos de compras y contrataciones llevados a cabo.</t>
  </si>
  <si>
    <t>Período de prueba de plataforma VUCE</t>
  </si>
  <si>
    <t>Puesta en producción fase 1 de plataforma VUCE</t>
  </si>
  <si>
    <t>Puesta en producción fase 2 de plataforma VUCE</t>
  </si>
  <si>
    <t>Puesta en producción fase 3 de plataforma VUCE</t>
  </si>
  <si>
    <t>Puesta en producción fase 4 de plataforma VUCE</t>
  </si>
  <si>
    <t>Puesta en producción fase 5 de plataforma VUCE</t>
  </si>
  <si>
    <t>Puesta en prueba de la plataforma de software VUCE</t>
  </si>
  <si>
    <t>Puesta en producción de la plataforma VUCE definida en 5 fases para distitntos grupos de posiciones arancelarias</t>
  </si>
  <si>
    <t>Posiciones arancelarias implementadas en la plataforma VUCE</t>
  </si>
  <si>
    <r>
      <rPr>
        <u/>
        <sz val="11"/>
        <color theme="1"/>
        <rFont val="Calibri"/>
        <family val="2"/>
        <scheme val="minor"/>
      </rPr>
      <t>Problema</t>
    </r>
    <r>
      <rPr>
        <sz val="11"/>
        <color theme="1"/>
        <rFont val="Calibri"/>
        <family val="2"/>
        <scheme val="minor"/>
      </rPr>
      <t>: extensión de los tiempos de compras y contrataciones, riesgos de impugnaciones. Dificultades en la implementación de la infraestructura de hardware y el software de la plataforma VUCE.</t>
    </r>
  </si>
  <si>
    <t>TOTAL</t>
  </si>
  <si>
    <t>Problema: desconocimiento acerca del funcionamiento real de las operatorias de comercio exterior</t>
  </si>
  <si>
    <t>Definición de un set de estadísticas destinadas a publicarse como resultado de las operaciones de comercio exterior administradas desde la plataforma VUCE</t>
  </si>
  <si>
    <t>Definición de un set de indicadores de eficiencias por organismos involucrados en la plataforma VUCE</t>
  </si>
  <si>
    <t>Cantidad de series de datos a publicarse</t>
  </si>
  <si>
    <t>Cantidad de indicadores por organismos que midan la eficiencia de los procesos internos</t>
  </si>
  <si>
    <t>Indicadores de eficiencia de organismos involucrados</t>
  </si>
  <si>
    <t>Componente V: gestión del programa</t>
  </si>
  <si>
    <t>Recursos humanos y administración</t>
  </si>
  <si>
    <t>Seguimiento y monitoreo</t>
  </si>
  <si>
    <t>Evaluación y auditoría</t>
  </si>
  <si>
    <t>Esquema de interoperabilidad con otras VUCE de la región</t>
  </si>
  <si>
    <t>Cantidad de VUCEs con las que se interopera</t>
  </si>
  <si>
    <r>
      <rPr>
        <b/>
        <u/>
        <sz val="11"/>
        <color theme="1"/>
        <rFont val="Calibri"/>
        <family val="2"/>
        <scheme val="minor"/>
      </rPr>
      <t>Componente II</t>
    </r>
    <r>
      <rPr>
        <sz val="11"/>
        <color theme="1"/>
        <rFont val="Calibri"/>
        <family val="2"/>
        <scheme val="minor"/>
      </rPr>
      <t>: diseño de la plataforma VUCE</t>
    </r>
  </si>
  <si>
    <r>
      <rPr>
        <b/>
        <u/>
        <sz val="11"/>
        <color theme="1"/>
        <rFont val="Calibri"/>
        <family val="2"/>
        <scheme val="minor"/>
      </rPr>
      <t>Componente III</t>
    </r>
    <r>
      <rPr>
        <sz val="11"/>
        <color theme="1"/>
        <rFont val="Calibri"/>
        <family val="2"/>
        <scheme val="minor"/>
      </rPr>
      <t>: implementación de la plataforma VUCE</t>
    </r>
  </si>
  <si>
    <r>
      <rPr>
        <b/>
        <u/>
        <sz val="11"/>
        <color theme="1"/>
        <rFont val="Calibri"/>
        <family val="2"/>
        <scheme val="minor"/>
      </rPr>
      <t>Componente IV</t>
    </r>
    <r>
      <rPr>
        <sz val="11"/>
        <color theme="1"/>
        <rFont val="Calibri"/>
        <family val="2"/>
        <scheme val="minor"/>
      </rPr>
      <t>: gobierno abierto en plataforma VUCE</t>
    </r>
  </si>
  <si>
    <r>
      <rPr>
        <b/>
        <u/>
        <sz val="11"/>
        <color theme="1"/>
        <rFont val="Calibri"/>
        <family val="2"/>
        <scheme val="minor"/>
      </rPr>
      <t>Componente I</t>
    </r>
    <r>
      <rPr>
        <sz val="11"/>
        <color theme="1"/>
        <rFont val="Calibri"/>
        <family val="2"/>
        <scheme val="minor"/>
      </rPr>
      <t>: relevamiento institucional</t>
    </r>
  </si>
  <si>
    <t>Componente I: diseño de la VUCEA y reingeniería de procesos</t>
  </si>
  <si>
    <t>(i) RELEVAMIENTO DE LAS INSTITUCIONES</t>
  </si>
  <si>
    <t>(ii) OPTIMIZACIÓN DE PROCESOS</t>
  </si>
  <si>
    <t>Participación red VUCE</t>
  </si>
  <si>
    <t>Reingeniería de procesos</t>
  </si>
  <si>
    <t>(iii) ADECUACIONES NORMATIVAS Y DE RECURSOS HUMANOS</t>
  </si>
  <si>
    <t>(iv) DISEÑO DE LA VUCEA</t>
  </si>
  <si>
    <t>Propuesta de adecuaciones normativas y de recursos humanos</t>
  </si>
  <si>
    <t>Desarrollo de consensos para la implementación</t>
  </si>
  <si>
    <t>Componente II: implementación de la VUCE y armonización tecnológica</t>
  </si>
  <si>
    <t>Soporte y acompañamiento post-producción</t>
  </si>
  <si>
    <t>(i) ADQUISICIÓN DE INFRAESTRUCTURA TECNOLÓGICA VUCEA</t>
  </si>
  <si>
    <t>Infraestructura de servidores para la operación VUCEA</t>
  </si>
  <si>
    <t>Infraestructura de storage para la operación VUCEA</t>
  </si>
  <si>
    <t>Conectividad para la operación VUCEA</t>
  </si>
  <si>
    <t>(ii) ADQUISICIÓN DE INFRAESTRUCTURA TECNOLÓGICA A INSTITUCIONES</t>
  </si>
  <si>
    <t>Integración de la plataforma VUCE bajo BPM (webservices)</t>
  </si>
  <si>
    <t>(v) SOPORTE EN LA PUESTA EN PRODUCCION Y POSTERIOR</t>
  </si>
  <si>
    <t>(ii) DESARROLLO DE SISTEMA DE BI PARA COMERCIO EXTERIOR</t>
  </si>
  <si>
    <t>(iii) CAPACITACION Y DIFUSIÓN DE LOS BENEFICIOS DE LA VUCEA</t>
  </si>
  <si>
    <t>Material de capacitación visual e interactivo (e-learning)</t>
  </si>
  <si>
    <t>Actividades de difusión</t>
  </si>
  <si>
    <t>Apoyo en diseño de estrategias comerciales</t>
  </si>
  <si>
    <t>Desarrollo de servicios para empresas</t>
  </si>
  <si>
    <t>Desarrollo e implementación (DW, indicadores, dashboards)</t>
  </si>
  <si>
    <t>(iv) SISTEMA DE MONITOREO Y EVALUACIÓN</t>
  </si>
  <si>
    <t>Componente IV: gestión de interoperabilidad</t>
  </si>
  <si>
    <t>Promoción con VUCEs de otros países</t>
  </si>
  <si>
    <t>Promoción con actores privados</t>
  </si>
  <si>
    <t>(iii) DESARROLLO DE LA VUCE</t>
  </si>
  <si>
    <t>(iv) INTEGRACION DE VUCE CON INSTITUCIONES E INTEROPERABILIDAD</t>
  </si>
  <si>
    <t>Componente III: gestión del cambio y coordinación inter-institucional</t>
  </si>
  <si>
    <t>(i) CAPACITACIÓN Y COORDINACIÓN</t>
  </si>
  <si>
    <t>En la Secretaría de Comercio</t>
  </si>
  <si>
    <t>En la Agencia de Inversión</t>
  </si>
  <si>
    <t>En otros organismos</t>
  </si>
  <si>
    <t xml:space="preserve">PROGRAMA DE IMPLEMENTACIÓN DEL RÉGIMEN NACIONAL DE VENTANILLA ÚNICA DE COMERCIO EXTERIOR ARGENTINO </t>
  </si>
  <si>
    <t>AR-L1251</t>
  </si>
  <si>
    <t>Cuadro Nro 1 - costo de la operación (en USD)</t>
  </si>
  <si>
    <t>Cuadro Nro 2 - costo de la operación por actividades  (en USD)</t>
  </si>
  <si>
    <t>Cuadro Nro 3 - costo de la operación por año  (en USD)</t>
  </si>
  <si>
    <t>Año 1</t>
  </si>
  <si>
    <t>Año 2</t>
  </si>
  <si>
    <t>Año 3</t>
  </si>
  <si>
    <t>Año 4</t>
  </si>
  <si>
    <t>Año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</si>
</sst>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0" fillId="0" borderId="0" xfId="0" applyAlignment="1">
      <alignment horizontal="left" vertical="top" wrapText="1"/>
    </xf>
    <xf numFmtId="0" fontId="2" fillId="0" borderId="4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/>
    <xf numFmtId="0" fontId="2" fillId="0" borderId="8" xfId="0" applyFont="1" applyBorder="1" applyAlignment="1">
      <alignment horizontal="center" vertical="center" wrapText="1"/>
    </xf>
    <xf numFmtId="0" fontId="0" fillId="0" borderId="9" xfId="0" applyBorder="1"/>
    <xf numFmtId="43" fontId="0" fillId="0" borderId="6" xfId="1" applyFont="1" applyBorder="1" applyAlignment="1">
      <alignment horizontal="center" vertical="center" wrapText="1"/>
    </xf>
    <xf numFmtId="43" fontId="0" fillId="0" borderId="8" xfId="1" applyFont="1" applyBorder="1" applyAlignment="1">
      <alignment horizontal="center" vertical="center" wrapText="1"/>
    </xf>
    <xf numFmtId="9" fontId="0" fillId="0" borderId="7" xfId="2" applyFont="1" applyFill="1" applyBorder="1" applyAlignment="1">
      <alignment horizontal="center" vertical="center" wrapText="1"/>
    </xf>
    <xf numFmtId="9" fontId="0" fillId="0" borderId="9" xfId="2" applyFont="1" applyFill="1" applyBorder="1" applyAlignment="1">
      <alignment horizontal="center" vertical="center" wrapText="1"/>
    </xf>
    <xf numFmtId="9" fontId="0" fillId="0" borderId="7" xfId="2" applyFont="1" applyBorder="1" applyAlignment="1">
      <alignment horizontal="center" vertical="center" wrapText="1"/>
    </xf>
    <xf numFmtId="9" fontId="0" fillId="0" borderId="9" xfId="2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0" fillId="0" borderId="6" xfId="1" applyFont="1" applyFill="1" applyBorder="1" applyAlignment="1">
      <alignment horizontal="center" vertical="center" wrapText="1"/>
    </xf>
    <xf numFmtId="43" fontId="0" fillId="0" borderId="8" xfId="1" applyFont="1" applyFill="1" applyBorder="1" applyAlignment="1">
      <alignment horizontal="center" vertical="center" wrapText="1"/>
    </xf>
    <xf numFmtId="43" fontId="2" fillId="0" borderId="4" xfId="1" applyFont="1" applyBorder="1" applyAlignment="1">
      <alignment horizontal="center" vertical="center" wrapText="1"/>
    </xf>
    <xf numFmtId="9" fontId="2" fillId="0" borderId="5" xfId="2" applyFont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3" fontId="0" fillId="0" borderId="0" xfId="0" applyNumberFormat="1"/>
    <xf numFmtId="0" fontId="0" fillId="0" borderId="1" xfId="0" applyBorder="1" applyAlignment="1">
      <alignment vertical="top" wrapText="1"/>
    </xf>
    <xf numFmtId="0" fontId="0" fillId="0" borderId="7" xfId="0" applyFill="1" applyBorder="1"/>
    <xf numFmtId="0" fontId="0" fillId="0" borderId="9" xfId="0" applyFill="1" applyBorder="1"/>
    <xf numFmtId="43" fontId="2" fillId="3" borderId="1" xfId="0" applyNumberFormat="1" applyFont="1" applyFill="1" applyBorder="1"/>
    <xf numFmtId="9" fontId="2" fillId="3" borderId="1" xfId="2" applyFont="1" applyFill="1" applyBorder="1"/>
    <xf numFmtId="9" fontId="2" fillId="0" borderId="7" xfId="2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Fill="1" applyBorder="1" applyAlignment="1">
      <alignment horizontal="center" vertical="center" wrapText="1"/>
    </xf>
    <xf numFmtId="165" fontId="2" fillId="3" borderId="1" xfId="2" applyNumberFormat="1" applyFont="1" applyFill="1" applyBorder="1"/>
    <xf numFmtId="9" fontId="2" fillId="0" borderId="5" xfId="2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Fill="1"/>
    <xf numFmtId="164" fontId="0" fillId="0" borderId="0" xfId="1" applyNumberFormat="1" applyFont="1"/>
    <xf numFmtId="0" fontId="2" fillId="0" borderId="7" xfId="0" applyFont="1" applyBorder="1" applyAlignment="1">
      <alignment horizontal="center" vertical="center" wrapText="1"/>
    </xf>
    <xf numFmtId="0" fontId="0" fillId="0" borderId="6" xfId="0" applyFont="1" applyBorder="1"/>
    <xf numFmtId="0" fontId="2" fillId="0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1" fillId="0" borderId="6" xfId="1" applyFont="1" applyBorder="1" applyAlignment="1">
      <alignment horizontal="center" vertical="center" wrapText="1"/>
    </xf>
    <xf numFmtId="43" fontId="1" fillId="0" borderId="6" xfId="1" applyFont="1" applyFill="1" applyBorder="1" applyAlignment="1">
      <alignment horizontal="center" vertical="center" wrapText="1"/>
    </xf>
    <xf numFmtId="43" fontId="0" fillId="0" borderId="7" xfId="2" applyNumberFormat="1" applyFont="1" applyFill="1" applyBorder="1" applyAlignment="1">
      <alignment horizontal="center" vertical="center" wrapText="1"/>
    </xf>
    <xf numFmtId="9" fontId="1" fillId="0" borderId="7" xfId="2" applyFont="1" applyBorder="1" applyAlignment="1">
      <alignment horizontal="center" vertical="center" wrapText="1"/>
    </xf>
    <xf numFmtId="0" fontId="0" fillId="0" borderId="6" xfId="0" applyFont="1" applyFill="1" applyBorder="1"/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3" fontId="2" fillId="0" borderId="7" xfId="2" applyNumberFormat="1" applyFont="1" applyFill="1" applyBorder="1" applyAlignment="1">
      <alignment horizontal="center" vertical="center" wrapText="1"/>
    </xf>
    <xf numFmtId="9" fontId="2" fillId="0" borderId="7" xfId="2" applyFont="1" applyFill="1" applyBorder="1" applyAlignment="1">
      <alignment horizontal="center" vertical="center" wrapText="1"/>
    </xf>
    <xf numFmtId="0" fontId="0" fillId="0" borderId="7" xfId="0" applyFill="1" applyBorder="1" applyAlignment="1">
      <alignment wrapText="1"/>
    </xf>
    <xf numFmtId="9" fontId="2" fillId="0" borderId="5" xfId="2" applyNumberFormat="1" applyFont="1" applyFill="1" applyBorder="1" applyAlignment="1">
      <alignment horizontal="center" vertical="center" wrapText="1"/>
    </xf>
    <xf numFmtId="9" fontId="1" fillId="0" borderId="9" xfId="2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4" borderId="4" xfId="0" applyFont="1" applyFill="1" applyBorder="1"/>
    <xf numFmtId="0" fontId="2" fillId="4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4" xfId="0" applyFont="1" applyFill="1" applyBorder="1"/>
    <xf numFmtId="40" fontId="5" fillId="0" borderId="0" xfId="0" applyNumberFormat="1" applyFont="1"/>
    <xf numFmtId="43" fontId="1" fillId="0" borderId="0" xfId="1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8"/>
  <sheetViews>
    <sheetView showGridLines="0" workbookViewId="0"/>
  </sheetViews>
  <sheetFormatPr defaultColWidth="11.42578125" defaultRowHeight="15" x14ac:dyDescent="0.25"/>
  <cols>
    <col min="1" max="1" width="2.28515625" customWidth="1"/>
    <col min="2" max="2" width="37.7109375" bestFit="1" customWidth="1"/>
    <col min="3" max="3" width="33.28515625" customWidth="1"/>
    <col min="4" max="4" width="49.140625" bestFit="1" customWidth="1"/>
    <col min="5" max="5" width="45.85546875" customWidth="1"/>
  </cols>
  <sheetData>
    <row r="1" spans="2:5" x14ac:dyDescent="0.25">
      <c r="B1" s="1" t="s">
        <v>0</v>
      </c>
    </row>
    <row r="3" spans="2:5" x14ac:dyDescent="0.25">
      <c r="B3" s="15" t="s">
        <v>1</v>
      </c>
      <c r="C3" s="15" t="s">
        <v>2</v>
      </c>
      <c r="D3" s="15" t="s">
        <v>3</v>
      </c>
      <c r="E3" s="15" t="s">
        <v>4</v>
      </c>
    </row>
    <row r="4" spans="2:5" ht="30" x14ac:dyDescent="0.25">
      <c r="B4" s="65" t="s">
        <v>66</v>
      </c>
      <c r="C4" s="66" t="s">
        <v>27</v>
      </c>
      <c r="D4" s="34" t="s">
        <v>17</v>
      </c>
      <c r="E4" s="34" t="s">
        <v>18</v>
      </c>
    </row>
    <row r="5" spans="2:5" ht="45" x14ac:dyDescent="0.25">
      <c r="B5" s="65"/>
      <c r="C5" s="66"/>
      <c r="D5" s="34" t="s">
        <v>16</v>
      </c>
      <c r="E5" s="34" t="s">
        <v>22</v>
      </c>
    </row>
    <row r="6" spans="2:5" ht="30" x14ac:dyDescent="0.25">
      <c r="B6" s="65"/>
      <c r="C6" s="66"/>
      <c r="D6" s="34" t="s">
        <v>19</v>
      </c>
      <c r="E6" s="34" t="s">
        <v>23</v>
      </c>
    </row>
    <row r="7" spans="2:5" ht="30" x14ac:dyDescent="0.25">
      <c r="B7" s="65"/>
      <c r="C7" s="66"/>
      <c r="D7" s="34" t="s">
        <v>20</v>
      </c>
      <c r="E7" s="34" t="s">
        <v>24</v>
      </c>
    </row>
    <row r="8" spans="2:5" ht="30" x14ac:dyDescent="0.25">
      <c r="B8" s="65"/>
      <c r="C8" s="66"/>
      <c r="D8" s="34" t="s">
        <v>21</v>
      </c>
      <c r="E8" s="34" t="s">
        <v>25</v>
      </c>
    </row>
    <row r="9" spans="2:5" ht="30" x14ac:dyDescent="0.25">
      <c r="B9" s="65" t="s">
        <v>63</v>
      </c>
      <c r="C9" s="65" t="s">
        <v>26</v>
      </c>
      <c r="D9" s="34" t="s">
        <v>8</v>
      </c>
      <c r="E9" s="34" t="s">
        <v>28</v>
      </c>
    </row>
    <row r="10" spans="2:5" ht="30" x14ac:dyDescent="0.25">
      <c r="B10" s="65"/>
      <c r="C10" s="65"/>
      <c r="D10" s="34" t="s">
        <v>9</v>
      </c>
      <c r="E10" s="34" t="s">
        <v>33</v>
      </c>
    </row>
    <row r="11" spans="2:5" ht="45" x14ac:dyDescent="0.25">
      <c r="B11" s="65"/>
      <c r="C11" s="65"/>
      <c r="D11" s="34" t="s">
        <v>11</v>
      </c>
      <c r="E11" s="34" t="s">
        <v>34</v>
      </c>
    </row>
    <row r="12" spans="2:5" ht="60" x14ac:dyDescent="0.25">
      <c r="B12" s="65"/>
      <c r="C12" s="65"/>
      <c r="D12" s="34" t="s">
        <v>10</v>
      </c>
      <c r="E12" s="34" t="s">
        <v>35</v>
      </c>
    </row>
    <row r="14" spans="2:5" ht="14.45" x14ac:dyDescent="0.3">
      <c r="B14" s="15" t="s">
        <v>1</v>
      </c>
      <c r="C14" s="15" t="s">
        <v>2</v>
      </c>
      <c r="D14" s="15" t="s">
        <v>3</v>
      </c>
      <c r="E14" s="15" t="s">
        <v>4</v>
      </c>
    </row>
    <row r="15" spans="2:5" ht="60" x14ac:dyDescent="0.25">
      <c r="B15" s="62" t="s">
        <v>64</v>
      </c>
      <c r="C15" s="67" t="s">
        <v>49</v>
      </c>
      <c r="D15" s="34" t="s">
        <v>36</v>
      </c>
      <c r="E15" s="23" t="s">
        <v>39</v>
      </c>
    </row>
    <row r="16" spans="2:5" ht="30" x14ac:dyDescent="0.25">
      <c r="B16" s="63"/>
      <c r="C16" s="68"/>
      <c r="D16" s="34" t="s">
        <v>37</v>
      </c>
      <c r="E16" s="62" t="s">
        <v>48</v>
      </c>
    </row>
    <row r="17" spans="2:5" ht="45" x14ac:dyDescent="0.25">
      <c r="B17" s="63"/>
      <c r="C17" s="68"/>
      <c r="D17" s="34" t="s">
        <v>38</v>
      </c>
      <c r="E17" s="63"/>
    </row>
    <row r="18" spans="2:5" x14ac:dyDescent="0.25">
      <c r="B18" s="63"/>
      <c r="C18" s="68"/>
      <c r="D18" s="34" t="s">
        <v>46</v>
      </c>
      <c r="E18" s="63"/>
    </row>
    <row r="19" spans="2:5" ht="45" x14ac:dyDescent="0.25">
      <c r="B19" s="63"/>
      <c r="C19" s="68"/>
      <c r="D19" s="34" t="s">
        <v>47</v>
      </c>
      <c r="E19" s="64"/>
    </row>
    <row r="20" spans="2:5" ht="30" x14ac:dyDescent="0.25">
      <c r="B20" s="64"/>
      <c r="C20" s="69"/>
      <c r="D20" s="34" t="s">
        <v>61</v>
      </c>
      <c r="E20" s="33" t="s">
        <v>62</v>
      </c>
    </row>
    <row r="21" spans="2:5" ht="60" x14ac:dyDescent="0.25">
      <c r="B21" s="65" t="s">
        <v>65</v>
      </c>
      <c r="C21" s="65" t="s">
        <v>51</v>
      </c>
      <c r="D21" s="34" t="s">
        <v>52</v>
      </c>
      <c r="E21" s="34" t="s">
        <v>54</v>
      </c>
    </row>
    <row r="22" spans="2:5" ht="30" x14ac:dyDescent="0.25">
      <c r="B22" s="65"/>
      <c r="C22" s="65"/>
      <c r="D22" s="34" t="s">
        <v>53</v>
      </c>
      <c r="E22" s="34" t="s">
        <v>55</v>
      </c>
    </row>
    <row r="23" spans="2:5" x14ac:dyDescent="0.25">
      <c r="B23" s="2"/>
      <c r="C23" s="2"/>
      <c r="D23" s="2"/>
      <c r="E23" s="2"/>
    </row>
    <row r="24" spans="2:5" x14ac:dyDescent="0.25">
      <c r="B24" s="2"/>
      <c r="C24" s="2"/>
      <c r="D24" s="2"/>
      <c r="E24" s="2"/>
    </row>
    <row r="25" spans="2:5" x14ac:dyDescent="0.25">
      <c r="B25" s="2"/>
      <c r="C25" s="2"/>
      <c r="D25" s="2"/>
      <c r="E25" s="2"/>
    </row>
    <row r="26" spans="2:5" x14ac:dyDescent="0.25">
      <c r="B26" s="2"/>
      <c r="C26" s="2"/>
      <c r="D26" s="2"/>
      <c r="E26" s="2"/>
    </row>
    <row r="27" spans="2:5" x14ac:dyDescent="0.25">
      <c r="B27" s="2"/>
      <c r="C27" s="2"/>
      <c r="D27" s="2"/>
      <c r="E27" s="2"/>
    </row>
    <row r="28" spans="2:5" x14ac:dyDescent="0.25">
      <c r="B28" s="2"/>
      <c r="C28" s="2"/>
      <c r="D28" s="2"/>
      <c r="E28" s="2"/>
    </row>
  </sheetData>
  <mergeCells count="9">
    <mergeCell ref="E16:E19"/>
    <mergeCell ref="B21:B22"/>
    <mergeCell ref="C21:C22"/>
    <mergeCell ref="B4:B8"/>
    <mergeCell ref="C4:C8"/>
    <mergeCell ref="B9:B12"/>
    <mergeCell ref="C9:C12"/>
    <mergeCell ref="B15:B20"/>
    <mergeCell ref="C15:C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N29"/>
  <sheetViews>
    <sheetView showGridLines="0" zoomScale="80" zoomScaleNormal="80" workbookViewId="0">
      <selection activeCell="G23" sqref="G23"/>
    </sheetView>
  </sheetViews>
  <sheetFormatPr defaultColWidth="11.42578125" defaultRowHeight="15" x14ac:dyDescent="0.25"/>
  <cols>
    <col min="1" max="2" width="2.28515625" customWidth="1"/>
    <col min="3" max="3" width="58.5703125" customWidth="1"/>
    <col min="4" max="4" width="14.5703125" customWidth="1"/>
    <col min="5" max="5" width="15" customWidth="1"/>
    <col min="6" max="6" width="14.5703125" customWidth="1"/>
    <col min="7" max="7" width="8.5703125" customWidth="1"/>
    <col min="8" max="8" width="14.5703125" customWidth="1"/>
    <col min="9" max="9" width="12.7109375" customWidth="1"/>
    <col min="10" max="10" width="5.85546875" customWidth="1"/>
  </cols>
  <sheetData>
    <row r="2" spans="2:14" x14ac:dyDescent="0.25">
      <c r="B2" t="s">
        <v>103</v>
      </c>
    </row>
    <row r="3" spans="2:14" x14ac:dyDescent="0.25">
      <c r="B3" t="s">
        <v>104</v>
      </c>
    </row>
    <row r="4" spans="2:14" x14ac:dyDescent="0.25">
      <c r="B4" s="1" t="s">
        <v>105</v>
      </c>
      <c r="C4" s="1"/>
    </row>
    <row r="6" spans="2:14" x14ac:dyDescent="0.25">
      <c r="B6" s="70" t="s">
        <v>1</v>
      </c>
      <c r="C6" s="71"/>
      <c r="D6" s="70" t="s">
        <v>5</v>
      </c>
      <c r="E6" s="71"/>
      <c r="F6" s="70" t="s">
        <v>6</v>
      </c>
      <c r="G6" s="71"/>
      <c r="H6" s="70" t="s">
        <v>7</v>
      </c>
      <c r="I6" s="71"/>
    </row>
    <row r="7" spans="2:14" x14ac:dyDescent="0.25">
      <c r="B7" s="58" t="s">
        <v>67</v>
      </c>
      <c r="C7" s="47"/>
      <c r="D7" s="18">
        <f>SUM(D8:D11)</f>
        <v>7052400</v>
      </c>
      <c r="E7" s="19">
        <f>D7/$H7</f>
        <v>0.9</v>
      </c>
      <c r="F7" s="20">
        <f>SUM(F8:F11)</f>
        <v>783600</v>
      </c>
      <c r="G7" s="19">
        <f>F7/$H7</f>
        <v>0.1</v>
      </c>
      <c r="H7" s="18">
        <f>D7+F7</f>
        <v>7836000</v>
      </c>
      <c r="I7" s="19">
        <f>E7+G7</f>
        <v>1</v>
      </c>
    </row>
    <row r="8" spans="2:14" x14ac:dyDescent="0.25">
      <c r="B8" s="38" t="s">
        <v>68</v>
      </c>
      <c r="C8" s="37"/>
      <c r="D8" s="42">
        <v>3477600</v>
      </c>
      <c r="E8" s="45">
        <v>0.9</v>
      </c>
      <c r="F8" s="42">
        <v>386400</v>
      </c>
      <c r="G8" s="45">
        <f t="shared" ref="G8:G11" si="0">F8/$H8</f>
        <v>0.1</v>
      </c>
      <c r="H8" s="43">
        <f t="shared" ref="H8:H18" si="1">D8+F8</f>
        <v>3864000</v>
      </c>
      <c r="I8" s="45">
        <f t="shared" ref="I8:I11" si="2">E8+G8</f>
        <v>1</v>
      </c>
    </row>
    <row r="9" spans="2:14" x14ac:dyDescent="0.25">
      <c r="B9" s="38" t="s">
        <v>69</v>
      </c>
      <c r="C9" s="37"/>
      <c r="D9" s="42">
        <v>842400</v>
      </c>
      <c r="E9" s="45">
        <v>0.9</v>
      </c>
      <c r="F9" s="42">
        <v>93600</v>
      </c>
      <c r="G9" s="45">
        <f t="shared" si="0"/>
        <v>0.1</v>
      </c>
      <c r="H9" s="43">
        <f t="shared" si="1"/>
        <v>936000</v>
      </c>
      <c r="I9" s="45">
        <f t="shared" si="2"/>
        <v>1</v>
      </c>
    </row>
    <row r="10" spans="2:14" x14ac:dyDescent="0.25">
      <c r="B10" s="38" t="s">
        <v>72</v>
      </c>
      <c r="C10" s="6"/>
      <c r="D10" s="42">
        <v>842400</v>
      </c>
      <c r="E10" s="45">
        <v>0.9</v>
      </c>
      <c r="F10" s="42">
        <v>93600</v>
      </c>
      <c r="G10" s="45">
        <f t="shared" si="0"/>
        <v>0.1</v>
      </c>
      <c r="H10" s="43">
        <f t="shared" si="1"/>
        <v>936000</v>
      </c>
      <c r="I10" s="45">
        <f t="shared" si="2"/>
        <v>1</v>
      </c>
    </row>
    <row r="11" spans="2:14" x14ac:dyDescent="0.25">
      <c r="B11" s="38" t="s">
        <v>73</v>
      </c>
      <c r="C11" s="6"/>
      <c r="D11" s="42">
        <v>1890000</v>
      </c>
      <c r="E11" s="45">
        <v>0.9</v>
      </c>
      <c r="F11" s="42">
        <v>210000</v>
      </c>
      <c r="G11" s="53">
        <f t="shared" si="0"/>
        <v>0.1</v>
      </c>
      <c r="H11" s="43">
        <f t="shared" si="1"/>
        <v>2100000</v>
      </c>
      <c r="I11" s="45">
        <f t="shared" si="2"/>
        <v>1</v>
      </c>
    </row>
    <row r="12" spans="2:14" x14ac:dyDescent="0.25">
      <c r="B12" s="3" t="s">
        <v>76</v>
      </c>
      <c r="C12" s="4"/>
      <c r="D12" s="18">
        <f>SUM(D13:D17)</f>
        <v>61180800</v>
      </c>
      <c r="E12" s="19">
        <f>D12/$H12</f>
        <v>0.91341893102418636</v>
      </c>
      <c r="F12" s="20">
        <f>SUM(F13:F17)</f>
        <v>5799200</v>
      </c>
      <c r="G12" s="19">
        <v>0.09</v>
      </c>
      <c r="H12" s="20">
        <f t="shared" si="1"/>
        <v>66980000</v>
      </c>
      <c r="I12" s="19">
        <v>1</v>
      </c>
    </row>
    <row r="13" spans="2:14" x14ac:dyDescent="0.25">
      <c r="B13" s="38" t="s">
        <v>78</v>
      </c>
      <c r="C13" s="37"/>
      <c r="D13" s="42">
        <v>28800000</v>
      </c>
      <c r="E13" s="45">
        <v>0.9</v>
      </c>
      <c r="F13" s="42">
        <v>3200000</v>
      </c>
      <c r="G13" s="45">
        <v>0.1</v>
      </c>
      <c r="H13" s="43">
        <f t="shared" si="1"/>
        <v>32000000</v>
      </c>
      <c r="I13" s="28">
        <v>1</v>
      </c>
    </row>
    <row r="14" spans="2:14" x14ac:dyDescent="0.25">
      <c r="B14" s="38" t="s">
        <v>82</v>
      </c>
      <c r="C14" s="6"/>
      <c r="D14" s="9">
        <v>25380000</v>
      </c>
      <c r="E14" s="11">
        <v>0.94</v>
      </c>
      <c r="F14" s="9">
        <v>1620000</v>
      </c>
      <c r="G14" s="11">
        <v>0.06</v>
      </c>
      <c r="H14" s="16">
        <f t="shared" si="1"/>
        <v>27000000</v>
      </c>
      <c r="I14" s="13">
        <v>1</v>
      </c>
    </row>
    <row r="15" spans="2:14" x14ac:dyDescent="0.25">
      <c r="B15" s="38" t="s">
        <v>96</v>
      </c>
      <c r="C15" s="6"/>
      <c r="D15" s="9">
        <v>3024000</v>
      </c>
      <c r="E15" s="11">
        <v>0.9</v>
      </c>
      <c r="F15" s="9">
        <v>636000</v>
      </c>
      <c r="G15" s="11">
        <v>0.1</v>
      </c>
      <c r="H15" s="16">
        <f t="shared" si="1"/>
        <v>3660000</v>
      </c>
      <c r="I15" s="13">
        <v>1</v>
      </c>
      <c r="N15" s="36"/>
    </row>
    <row r="16" spans="2:14" x14ac:dyDescent="0.25">
      <c r="B16" s="38" t="s">
        <v>97</v>
      </c>
      <c r="C16" s="6"/>
      <c r="D16" s="9">
        <v>475200</v>
      </c>
      <c r="E16" s="11">
        <v>0.9</v>
      </c>
      <c r="F16" s="16">
        <v>52800</v>
      </c>
      <c r="G16" s="11">
        <v>0.1</v>
      </c>
      <c r="H16" s="16">
        <f t="shared" si="1"/>
        <v>528000</v>
      </c>
      <c r="I16" s="11">
        <v>1</v>
      </c>
      <c r="J16" s="35"/>
    </row>
    <row r="17" spans="2:9" x14ac:dyDescent="0.25">
      <c r="B17" s="38" t="s">
        <v>84</v>
      </c>
      <c r="C17" s="6"/>
      <c r="D17" s="9">
        <v>3501600</v>
      </c>
      <c r="E17" s="11">
        <v>0.93</v>
      </c>
      <c r="F17" s="9">
        <v>290400</v>
      </c>
      <c r="G17" s="11">
        <v>7.0000000000000007E-2</v>
      </c>
      <c r="H17" s="16">
        <f t="shared" si="1"/>
        <v>3792000</v>
      </c>
      <c r="I17" s="13">
        <v>1</v>
      </c>
    </row>
    <row r="18" spans="2:9" x14ac:dyDescent="0.25">
      <c r="B18" s="3" t="s">
        <v>98</v>
      </c>
      <c r="C18" s="4"/>
      <c r="D18" s="18">
        <f>SUM(D19:D22)</f>
        <v>4094400</v>
      </c>
      <c r="E18" s="19">
        <f>D18/H18</f>
        <v>0.81626794258373203</v>
      </c>
      <c r="F18" s="20">
        <f>SUM(F19:F22)</f>
        <v>921600</v>
      </c>
      <c r="G18" s="19">
        <f>F18/$H18</f>
        <v>0.18373205741626794</v>
      </c>
      <c r="H18" s="20">
        <f t="shared" si="1"/>
        <v>5016000</v>
      </c>
      <c r="I18" s="19">
        <f>E18+G18</f>
        <v>1</v>
      </c>
    </row>
    <row r="19" spans="2:9" x14ac:dyDescent="0.25">
      <c r="B19" s="38" t="s">
        <v>99</v>
      </c>
      <c r="C19" s="37"/>
      <c r="D19" s="42">
        <v>1200000</v>
      </c>
      <c r="E19" s="45">
        <v>0.8</v>
      </c>
      <c r="F19" s="42">
        <v>300000</v>
      </c>
      <c r="G19" s="45">
        <v>0.2</v>
      </c>
      <c r="H19" s="43">
        <v>1500000</v>
      </c>
      <c r="I19" s="45">
        <v>1</v>
      </c>
    </row>
    <row r="20" spans="2:9" x14ac:dyDescent="0.25">
      <c r="B20" s="38" t="s">
        <v>85</v>
      </c>
      <c r="C20" s="37"/>
      <c r="D20" s="9">
        <v>1600000</v>
      </c>
      <c r="E20" s="11">
        <v>0.8</v>
      </c>
      <c r="F20" s="9">
        <v>400000</v>
      </c>
      <c r="G20" s="11">
        <v>0.2</v>
      </c>
      <c r="H20" s="16">
        <v>2000000</v>
      </c>
      <c r="I20" s="13">
        <v>1</v>
      </c>
    </row>
    <row r="21" spans="2:9" x14ac:dyDescent="0.25">
      <c r="B21" s="38" t="s">
        <v>86</v>
      </c>
      <c r="C21" s="6"/>
      <c r="D21" s="9">
        <v>560000</v>
      </c>
      <c r="E21" s="11">
        <v>0.8</v>
      </c>
      <c r="F21" s="9">
        <v>140000</v>
      </c>
      <c r="G21" s="11">
        <v>0.2</v>
      </c>
      <c r="H21" s="16">
        <v>700000</v>
      </c>
      <c r="I21" s="13">
        <v>1</v>
      </c>
    </row>
    <row r="22" spans="2:9" x14ac:dyDescent="0.25">
      <c r="B22" s="46" t="s">
        <v>92</v>
      </c>
      <c r="C22" s="24"/>
      <c r="D22" s="10">
        <v>734400</v>
      </c>
      <c r="E22" s="12">
        <v>0.9</v>
      </c>
      <c r="F22" s="10">
        <v>81600</v>
      </c>
      <c r="G22" s="12">
        <v>0.1</v>
      </c>
      <c r="H22" s="17">
        <v>816000</v>
      </c>
      <c r="I22" s="14">
        <v>1</v>
      </c>
    </row>
    <row r="23" spans="2:9" ht="22.5" customHeight="1" x14ac:dyDescent="0.25">
      <c r="B23" s="3" t="s">
        <v>93</v>
      </c>
      <c r="C23" s="4"/>
      <c r="D23" s="29">
        <v>255000</v>
      </c>
      <c r="E23" s="28">
        <f>D23/$H23</f>
        <v>0.85</v>
      </c>
      <c r="F23" s="30">
        <v>45000</v>
      </c>
      <c r="G23" s="28">
        <f>F23/$H23</f>
        <v>0.15</v>
      </c>
      <c r="H23" s="30">
        <v>300000</v>
      </c>
      <c r="I23" s="28">
        <f>E23+G23</f>
        <v>1</v>
      </c>
    </row>
    <row r="24" spans="2:9" x14ac:dyDescent="0.25">
      <c r="B24" s="3" t="s">
        <v>57</v>
      </c>
      <c r="C24" s="4"/>
      <c r="D24" s="18">
        <v>1017400</v>
      </c>
      <c r="E24" s="19">
        <v>0.54</v>
      </c>
      <c r="F24" s="20">
        <v>850600</v>
      </c>
      <c r="G24" s="19">
        <f>F24/$H24</f>
        <v>0.45535331905781584</v>
      </c>
      <c r="H24" s="20">
        <v>1868000</v>
      </c>
      <c r="I24" s="19">
        <f>E24+G24</f>
        <v>0.99535331905781588</v>
      </c>
    </row>
    <row r="25" spans="2:9" x14ac:dyDescent="0.25">
      <c r="B25" s="7"/>
      <c r="C25" s="8"/>
      <c r="D25" s="10"/>
      <c r="E25" s="12"/>
      <c r="F25" s="10"/>
      <c r="G25" s="12"/>
      <c r="H25" s="17"/>
      <c r="I25" s="14"/>
    </row>
    <row r="26" spans="2:9" ht="14.45" x14ac:dyDescent="0.3">
      <c r="H26" s="22"/>
    </row>
    <row r="27" spans="2:9" ht="14.45" x14ac:dyDescent="0.3">
      <c r="B27" s="72" t="s">
        <v>50</v>
      </c>
      <c r="C27" s="72"/>
      <c r="D27" s="26">
        <f>D7+D12+D18+D23+D24</f>
        <v>73600000</v>
      </c>
      <c r="E27" s="31">
        <f>D27/H27</f>
        <v>0.89756097560975612</v>
      </c>
      <c r="F27" s="26">
        <f>F7+F12+F18+F23+F24</f>
        <v>8400000</v>
      </c>
      <c r="G27" s="31">
        <f>F27/H27</f>
        <v>0.1024390243902439</v>
      </c>
      <c r="H27" s="26">
        <f>H7+H12+H18+H23+H24</f>
        <v>82000000</v>
      </c>
      <c r="I27" s="27">
        <f>E27+G27</f>
        <v>1</v>
      </c>
    </row>
    <row r="29" spans="2:9" ht="14.45" x14ac:dyDescent="0.3">
      <c r="H29" s="22"/>
    </row>
  </sheetData>
  <mergeCells count="5">
    <mergeCell ref="B6:C6"/>
    <mergeCell ref="D6:E6"/>
    <mergeCell ref="F6:G6"/>
    <mergeCell ref="H6:I6"/>
    <mergeCell ref="B27:C27"/>
  </mergeCells>
  <pageMargins left="0.7" right="0.7" top="0.75" bottom="0.75" header="0.3" footer="0.3"/>
  <pageSetup paperSize="9" scale="91" orientation="landscape" r:id="rId1"/>
  <ignoredErrors>
    <ignoredError sqref="E7" formula="1"/>
    <ignoredError sqref="D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J72"/>
  <sheetViews>
    <sheetView showGridLines="0" tabSelected="1" zoomScale="80" zoomScaleNormal="80" workbookViewId="0">
      <selection activeCell="K24" sqref="K24"/>
    </sheetView>
  </sheetViews>
  <sheetFormatPr defaultColWidth="11.42578125" defaultRowHeight="15" x14ac:dyDescent="0.25"/>
  <cols>
    <col min="1" max="2" width="2.28515625" customWidth="1"/>
    <col min="3" max="3" width="58.5703125" customWidth="1"/>
    <col min="4" max="4" width="14.5703125" customWidth="1"/>
    <col min="5" max="5" width="15" customWidth="1"/>
    <col min="6" max="6" width="14.5703125" customWidth="1"/>
    <col min="7" max="7" width="8.5703125" customWidth="1"/>
    <col min="8" max="8" width="14.5703125" customWidth="1"/>
    <col min="9" max="9" width="12.7109375" customWidth="1"/>
    <col min="10" max="10" width="5.85546875" customWidth="1"/>
  </cols>
  <sheetData>
    <row r="2" spans="2:9" x14ac:dyDescent="0.25">
      <c r="B2" t="s">
        <v>103</v>
      </c>
    </row>
    <row r="3" spans="2:9" x14ac:dyDescent="0.25">
      <c r="B3" t="s">
        <v>104</v>
      </c>
    </row>
    <row r="4" spans="2:9" x14ac:dyDescent="0.25">
      <c r="B4" s="1" t="s">
        <v>106</v>
      </c>
      <c r="C4" s="1"/>
    </row>
    <row r="6" spans="2:9" x14ac:dyDescent="0.25">
      <c r="B6" s="70" t="s">
        <v>1</v>
      </c>
      <c r="C6" s="71"/>
      <c r="D6" s="70" t="s">
        <v>5</v>
      </c>
      <c r="E6" s="71"/>
      <c r="F6" s="70" t="s">
        <v>6</v>
      </c>
      <c r="G6" s="71"/>
      <c r="H6" s="70" t="s">
        <v>7</v>
      </c>
      <c r="I6" s="71"/>
    </row>
    <row r="7" spans="2:9" x14ac:dyDescent="0.25">
      <c r="B7" s="55" t="s">
        <v>67</v>
      </c>
      <c r="C7" s="56"/>
      <c r="D7" s="20">
        <v>7052400</v>
      </c>
      <c r="E7" s="52">
        <v>0.9</v>
      </c>
      <c r="F7" s="20">
        <v>783599.99999999988</v>
      </c>
      <c r="G7" s="32">
        <v>9.9999999999999992E-2</v>
      </c>
      <c r="H7" s="20">
        <v>7836000</v>
      </c>
      <c r="I7" s="32">
        <v>1</v>
      </c>
    </row>
    <row r="8" spans="2:9" x14ac:dyDescent="0.25">
      <c r="B8" s="38" t="s">
        <v>68</v>
      </c>
      <c r="C8" s="48"/>
      <c r="D8" s="30"/>
      <c r="E8" s="49"/>
      <c r="F8" s="30"/>
      <c r="G8" s="50"/>
      <c r="H8" s="30"/>
      <c r="I8" s="50"/>
    </row>
    <row r="9" spans="2:9" x14ac:dyDescent="0.25">
      <c r="B9" s="5"/>
      <c r="C9" s="24" t="s">
        <v>14</v>
      </c>
      <c r="D9" s="16">
        <v>1555200</v>
      </c>
      <c r="E9" s="11">
        <v>0.9</v>
      </c>
      <c r="F9" s="16">
        <v>172799.99999999997</v>
      </c>
      <c r="G9" s="11">
        <v>9.9999999999999978E-2</v>
      </c>
      <c r="H9" s="16">
        <v>1728000</v>
      </c>
      <c r="I9" s="11">
        <v>1</v>
      </c>
    </row>
    <row r="10" spans="2:9" x14ac:dyDescent="0.25">
      <c r="B10" s="5"/>
      <c r="C10" s="24" t="s">
        <v>12</v>
      </c>
      <c r="D10" s="16">
        <v>475200</v>
      </c>
      <c r="E10" s="11">
        <v>0.9</v>
      </c>
      <c r="F10" s="16">
        <v>52799.999999999985</v>
      </c>
      <c r="G10" s="11">
        <v>9.9999999999999978E-2</v>
      </c>
      <c r="H10" s="16">
        <v>528000</v>
      </c>
      <c r="I10" s="11">
        <v>1</v>
      </c>
    </row>
    <row r="11" spans="2:9" x14ac:dyDescent="0.25">
      <c r="B11" s="5"/>
      <c r="C11" s="24" t="s">
        <v>13</v>
      </c>
      <c r="D11" s="16">
        <v>864000</v>
      </c>
      <c r="E11" s="11">
        <v>0.9</v>
      </c>
      <c r="F11" s="16">
        <v>95999.999999999985</v>
      </c>
      <c r="G11" s="11">
        <v>9.9999999999999978E-2</v>
      </c>
      <c r="H11" s="16">
        <v>960000</v>
      </c>
      <c r="I11" s="11">
        <v>1</v>
      </c>
    </row>
    <row r="12" spans="2:9" x14ac:dyDescent="0.25">
      <c r="B12" s="5"/>
      <c r="C12" s="24" t="s">
        <v>15</v>
      </c>
      <c r="D12" s="16">
        <v>583200</v>
      </c>
      <c r="E12" s="11">
        <v>0.9</v>
      </c>
      <c r="F12" s="16">
        <v>64799.999999999985</v>
      </c>
      <c r="G12" s="11">
        <v>9.9999999999999978E-2</v>
      </c>
      <c r="H12" s="16">
        <v>648000</v>
      </c>
      <c r="I12" s="11">
        <v>1</v>
      </c>
    </row>
    <row r="13" spans="2:9" x14ac:dyDescent="0.25">
      <c r="B13" s="5"/>
      <c r="C13" s="24"/>
      <c r="D13" s="16"/>
      <c r="E13" s="44"/>
      <c r="F13" s="16"/>
      <c r="G13" s="11"/>
      <c r="H13" s="16"/>
      <c r="I13" s="11"/>
    </row>
    <row r="14" spans="2:9" x14ac:dyDescent="0.25">
      <c r="B14" s="38" t="s">
        <v>69</v>
      </c>
      <c r="C14" s="48"/>
      <c r="D14" s="30"/>
      <c r="E14" s="50"/>
      <c r="F14" s="30"/>
      <c r="G14" s="50"/>
      <c r="H14" s="30"/>
      <c r="I14" s="50"/>
    </row>
    <row r="15" spans="2:9" x14ac:dyDescent="0.25">
      <c r="B15" s="38"/>
      <c r="C15" s="24" t="s">
        <v>71</v>
      </c>
      <c r="D15" s="16">
        <v>518400</v>
      </c>
      <c r="E15" s="11">
        <v>0.9</v>
      </c>
      <c r="F15" s="16">
        <v>57599.999999999985</v>
      </c>
      <c r="G15" s="11">
        <v>9.9999999999999978E-2</v>
      </c>
      <c r="H15" s="16">
        <v>576000</v>
      </c>
      <c r="I15" s="11">
        <v>1</v>
      </c>
    </row>
    <row r="16" spans="2:9" x14ac:dyDescent="0.25">
      <c r="B16" s="5"/>
      <c r="C16" s="24" t="s">
        <v>8</v>
      </c>
      <c r="D16" s="16">
        <v>252000</v>
      </c>
      <c r="E16" s="11">
        <v>0.9</v>
      </c>
      <c r="F16" s="16">
        <v>27999.999999999993</v>
      </c>
      <c r="G16" s="11">
        <v>9.9999999999999978E-2</v>
      </c>
      <c r="H16" s="16">
        <v>280000</v>
      </c>
      <c r="I16" s="11">
        <v>1</v>
      </c>
    </row>
    <row r="17" spans="2:9" x14ac:dyDescent="0.25">
      <c r="B17" s="5"/>
      <c r="C17" s="24" t="s">
        <v>70</v>
      </c>
      <c r="D17" s="16">
        <v>72000</v>
      </c>
      <c r="E17" s="11">
        <v>0.9</v>
      </c>
      <c r="F17" s="16">
        <v>7999.9999999999982</v>
      </c>
      <c r="G17" s="11">
        <v>9.9999999999999978E-2</v>
      </c>
      <c r="H17" s="16">
        <v>80000</v>
      </c>
      <c r="I17" s="11">
        <v>1</v>
      </c>
    </row>
    <row r="18" spans="2:9" x14ac:dyDescent="0.25">
      <c r="B18" s="38" t="s">
        <v>72</v>
      </c>
      <c r="C18" s="24"/>
      <c r="D18" s="16"/>
      <c r="E18" s="44"/>
      <c r="F18" s="16"/>
      <c r="G18" s="11"/>
      <c r="H18" s="16"/>
      <c r="I18" s="11"/>
    </row>
    <row r="19" spans="2:9" x14ac:dyDescent="0.25">
      <c r="B19" s="38"/>
      <c r="C19" s="24" t="s">
        <v>74</v>
      </c>
      <c r="D19" s="16">
        <v>561600</v>
      </c>
      <c r="E19" s="11">
        <v>0.9</v>
      </c>
      <c r="F19" s="16">
        <v>62399.999999999985</v>
      </c>
      <c r="G19" s="11">
        <v>9.9999999999999978E-2</v>
      </c>
      <c r="H19" s="16">
        <v>624000</v>
      </c>
      <c r="I19" s="11">
        <v>1</v>
      </c>
    </row>
    <row r="20" spans="2:9" x14ac:dyDescent="0.25">
      <c r="B20" s="38"/>
      <c r="C20" s="24" t="s">
        <v>75</v>
      </c>
      <c r="D20" s="16">
        <v>280800</v>
      </c>
      <c r="E20" s="11">
        <v>0.9</v>
      </c>
      <c r="F20" s="16">
        <v>31199.999999999993</v>
      </c>
      <c r="G20" s="11">
        <v>9.9999999999999978E-2</v>
      </c>
      <c r="H20" s="16">
        <v>312000</v>
      </c>
      <c r="I20" s="11">
        <v>1</v>
      </c>
    </row>
    <row r="21" spans="2:9" x14ac:dyDescent="0.25">
      <c r="B21" s="38" t="s">
        <v>73</v>
      </c>
      <c r="C21" s="24"/>
      <c r="D21" s="16"/>
      <c r="E21" s="44"/>
      <c r="F21" s="16"/>
      <c r="G21" s="11"/>
      <c r="H21" s="16"/>
      <c r="I21" s="11"/>
    </row>
    <row r="22" spans="2:9" x14ac:dyDescent="0.25">
      <c r="B22" s="5"/>
      <c r="C22" s="24" t="s">
        <v>9</v>
      </c>
      <c r="D22" s="16">
        <v>680400</v>
      </c>
      <c r="E22" s="11">
        <v>0.9</v>
      </c>
      <c r="F22" s="16">
        <v>75599.999999999985</v>
      </c>
      <c r="G22" s="11">
        <v>9.9999999999999978E-2</v>
      </c>
      <c r="H22" s="16">
        <v>756000</v>
      </c>
      <c r="I22" s="11">
        <v>1</v>
      </c>
    </row>
    <row r="23" spans="2:9" x14ac:dyDescent="0.25">
      <c r="B23" s="5"/>
      <c r="C23" s="24" t="s">
        <v>11</v>
      </c>
      <c r="D23" s="16">
        <v>518400</v>
      </c>
      <c r="E23" s="11">
        <v>0.9</v>
      </c>
      <c r="F23" s="16">
        <v>57599.999999999985</v>
      </c>
      <c r="G23" s="11">
        <v>9.9999999999999978E-2</v>
      </c>
      <c r="H23" s="16">
        <v>576000</v>
      </c>
      <c r="I23" s="11">
        <v>1</v>
      </c>
    </row>
    <row r="24" spans="2:9" x14ac:dyDescent="0.25">
      <c r="B24" s="7"/>
      <c r="C24" s="25" t="s">
        <v>10</v>
      </c>
      <c r="D24" s="17">
        <v>691200</v>
      </c>
      <c r="E24" s="12">
        <v>0.9</v>
      </c>
      <c r="F24" s="17">
        <v>76799.999999999985</v>
      </c>
      <c r="G24" s="12">
        <v>9.9999999999999978E-2</v>
      </c>
      <c r="H24" s="17">
        <v>768000</v>
      </c>
      <c r="I24" s="12">
        <v>1</v>
      </c>
    </row>
    <row r="25" spans="2:9" x14ac:dyDescent="0.25">
      <c r="B25" s="3" t="s">
        <v>76</v>
      </c>
      <c r="C25" s="47"/>
      <c r="D25" s="20">
        <v>61180800</v>
      </c>
      <c r="E25" s="52">
        <v>0.91</v>
      </c>
      <c r="F25" s="20">
        <v>5799200</v>
      </c>
      <c r="G25" s="32">
        <v>0.09</v>
      </c>
      <c r="H25" s="20">
        <v>66980000</v>
      </c>
      <c r="I25" s="32">
        <v>1</v>
      </c>
    </row>
    <row r="26" spans="2:9" x14ac:dyDescent="0.25">
      <c r="B26" s="38" t="s">
        <v>78</v>
      </c>
      <c r="C26" s="48"/>
      <c r="D26" s="30"/>
      <c r="E26" s="50"/>
      <c r="F26" s="30"/>
      <c r="G26" s="50"/>
      <c r="H26" s="30"/>
      <c r="I26" s="50"/>
    </row>
    <row r="27" spans="2:9" x14ac:dyDescent="0.25">
      <c r="B27" s="5"/>
      <c r="C27" s="24" t="s">
        <v>79</v>
      </c>
      <c r="D27" s="16">
        <v>13500000</v>
      </c>
      <c r="E27" s="11">
        <v>0.9</v>
      </c>
      <c r="F27" s="16">
        <v>1499999.9999999998</v>
      </c>
      <c r="G27" s="11">
        <v>9.9999999999999978E-2</v>
      </c>
      <c r="H27" s="16">
        <v>15000000</v>
      </c>
      <c r="I27" s="11">
        <v>1</v>
      </c>
    </row>
    <row r="28" spans="2:9" x14ac:dyDescent="0.25">
      <c r="B28" s="5"/>
      <c r="C28" s="24" t="s">
        <v>80</v>
      </c>
      <c r="D28" s="16">
        <v>3600000</v>
      </c>
      <c r="E28" s="11">
        <v>0.9</v>
      </c>
      <c r="F28" s="16">
        <v>399999.99999999988</v>
      </c>
      <c r="G28" s="11">
        <v>9.9999999999999978E-2</v>
      </c>
      <c r="H28" s="16">
        <v>4000000</v>
      </c>
      <c r="I28" s="11">
        <v>1</v>
      </c>
    </row>
    <row r="29" spans="2:9" x14ac:dyDescent="0.25">
      <c r="B29" s="5"/>
      <c r="C29" s="24" t="s">
        <v>81</v>
      </c>
      <c r="D29" s="16">
        <v>7200000</v>
      </c>
      <c r="E29" s="11">
        <v>0.9</v>
      </c>
      <c r="F29" s="16">
        <v>799999.99999999977</v>
      </c>
      <c r="G29" s="11">
        <v>9.9999999999999978E-2</v>
      </c>
      <c r="H29" s="16">
        <v>8000000</v>
      </c>
      <c r="I29" s="11">
        <v>1</v>
      </c>
    </row>
    <row r="30" spans="2:9" x14ac:dyDescent="0.25">
      <c r="B30" s="5"/>
      <c r="C30" s="24" t="s">
        <v>29</v>
      </c>
      <c r="D30" s="16">
        <v>4500000</v>
      </c>
      <c r="E30" s="11">
        <v>0.9</v>
      </c>
      <c r="F30" s="16">
        <v>499999.99999999988</v>
      </c>
      <c r="G30" s="11">
        <v>9.9999999999999978E-2</v>
      </c>
      <c r="H30" s="16">
        <v>5000000</v>
      </c>
      <c r="I30" s="11">
        <v>1</v>
      </c>
    </row>
    <row r="31" spans="2:9" x14ac:dyDescent="0.25">
      <c r="B31" s="38" t="s">
        <v>82</v>
      </c>
      <c r="C31" s="24"/>
      <c r="D31" s="16"/>
      <c r="E31" s="11"/>
      <c r="F31" s="16"/>
      <c r="G31" s="11"/>
      <c r="H31" s="16"/>
      <c r="I31" s="11"/>
    </row>
    <row r="32" spans="2:9" x14ac:dyDescent="0.25">
      <c r="B32" s="5"/>
      <c r="C32" s="24" t="s">
        <v>30</v>
      </c>
      <c r="D32" s="16">
        <v>25380000</v>
      </c>
      <c r="E32" s="11">
        <v>0.94</v>
      </c>
      <c r="F32" s="16">
        <v>1620000.0000000014</v>
      </c>
      <c r="G32" s="11">
        <v>6.0000000000000053E-2</v>
      </c>
      <c r="H32" s="16">
        <v>27000000</v>
      </c>
      <c r="I32" s="11">
        <v>1</v>
      </c>
    </row>
    <row r="33" spans="2:10" x14ac:dyDescent="0.25">
      <c r="B33" s="38" t="s">
        <v>96</v>
      </c>
      <c r="C33" s="24"/>
      <c r="D33" s="16"/>
      <c r="E33" s="11"/>
      <c r="F33" s="16"/>
      <c r="G33" s="11"/>
      <c r="H33" s="16"/>
      <c r="I33" s="11"/>
    </row>
    <row r="34" spans="2:10" x14ac:dyDescent="0.25">
      <c r="B34" s="5"/>
      <c r="C34" s="24" t="s">
        <v>31</v>
      </c>
      <c r="D34" s="16">
        <v>864000</v>
      </c>
      <c r="E34" s="11">
        <v>0.9</v>
      </c>
      <c r="F34" s="16">
        <v>95999.999999999985</v>
      </c>
      <c r="G34" s="11">
        <v>9.9999999999999978E-2</v>
      </c>
      <c r="H34" s="16">
        <v>960000</v>
      </c>
      <c r="I34" s="11">
        <v>1</v>
      </c>
    </row>
    <row r="35" spans="2:10" x14ac:dyDescent="0.25">
      <c r="B35" s="5"/>
      <c r="C35" s="24" t="s">
        <v>32</v>
      </c>
      <c r="D35" s="16">
        <v>2160000</v>
      </c>
      <c r="E35" s="11">
        <v>0.8</v>
      </c>
      <c r="F35" s="16">
        <v>539999.99999999988</v>
      </c>
      <c r="G35" s="11">
        <v>0.19999999999999996</v>
      </c>
      <c r="H35" s="16">
        <v>2700000</v>
      </c>
      <c r="I35" s="11">
        <v>1</v>
      </c>
    </row>
    <row r="36" spans="2:10" x14ac:dyDescent="0.25">
      <c r="B36" s="38" t="s">
        <v>97</v>
      </c>
      <c r="C36" s="24"/>
      <c r="D36" s="16"/>
      <c r="E36" s="11"/>
      <c r="F36" s="16"/>
      <c r="G36" s="11"/>
      <c r="H36" s="16"/>
      <c r="I36" s="11"/>
      <c r="J36" s="35"/>
    </row>
    <row r="37" spans="2:10" x14ac:dyDescent="0.25">
      <c r="B37" s="5"/>
      <c r="C37" s="24" t="s">
        <v>83</v>
      </c>
      <c r="D37" s="16">
        <v>475200</v>
      </c>
      <c r="E37" s="11">
        <v>0.9</v>
      </c>
      <c r="F37" s="16">
        <v>52799.999999999985</v>
      </c>
      <c r="G37" s="11">
        <v>9.9999999999999978E-2</v>
      </c>
      <c r="H37" s="16">
        <v>528000</v>
      </c>
      <c r="I37" s="11">
        <v>1</v>
      </c>
    </row>
    <row r="38" spans="2:10" x14ac:dyDescent="0.25">
      <c r="B38" s="38" t="s">
        <v>84</v>
      </c>
      <c r="C38" s="24"/>
      <c r="D38" s="16"/>
      <c r="E38" s="11"/>
      <c r="F38" s="16"/>
      <c r="G38" s="11"/>
      <c r="H38" s="16"/>
      <c r="I38" s="11"/>
    </row>
    <row r="39" spans="2:10" x14ac:dyDescent="0.25">
      <c r="B39" s="5"/>
      <c r="C39" s="24" t="s">
        <v>40</v>
      </c>
      <c r="D39" s="16">
        <v>537600</v>
      </c>
      <c r="E39" s="11">
        <v>0.8</v>
      </c>
      <c r="F39" s="16">
        <v>134399.99999999997</v>
      </c>
      <c r="G39" s="11">
        <v>0.19999999999999996</v>
      </c>
      <c r="H39" s="16">
        <v>672000</v>
      </c>
      <c r="I39" s="11">
        <v>1</v>
      </c>
    </row>
    <row r="40" spans="2:10" x14ac:dyDescent="0.25">
      <c r="B40" s="5"/>
      <c r="C40" s="24" t="s">
        <v>41</v>
      </c>
      <c r="D40" s="16">
        <v>456000</v>
      </c>
      <c r="E40" s="11">
        <v>0.95</v>
      </c>
      <c r="F40" s="16">
        <v>24000.000000000022</v>
      </c>
      <c r="G40" s="11">
        <v>5.0000000000000044E-2</v>
      </c>
      <c r="H40" s="16">
        <v>480000</v>
      </c>
      <c r="I40" s="11">
        <v>1</v>
      </c>
    </row>
    <row r="41" spans="2:10" x14ac:dyDescent="0.25">
      <c r="B41" s="5"/>
      <c r="C41" s="24" t="s">
        <v>42</v>
      </c>
      <c r="D41" s="16">
        <v>456000</v>
      </c>
      <c r="E41" s="11">
        <v>0.95</v>
      </c>
      <c r="F41" s="16">
        <v>24000.000000000022</v>
      </c>
      <c r="G41" s="11">
        <v>5.0000000000000044E-2</v>
      </c>
      <c r="H41" s="16">
        <v>480000</v>
      </c>
      <c r="I41" s="11">
        <v>1</v>
      </c>
    </row>
    <row r="42" spans="2:10" x14ac:dyDescent="0.25">
      <c r="B42" s="5"/>
      <c r="C42" s="24" t="s">
        <v>43</v>
      </c>
      <c r="D42" s="16">
        <v>456000</v>
      </c>
      <c r="E42" s="11">
        <v>0.95</v>
      </c>
      <c r="F42" s="16">
        <v>24000.000000000022</v>
      </c>
      <c r="G42" s="11">
        <v>5.0000000000000044E-2</v>
      </c>
      <c r="H42" s="16">
        <v>480000</v>
      </c>
      <c r="I42" s="11">
        <v>1</v>
      </c>
    </row>
    <row r="43" spans="2:10" x14ac:dyDescent="0.25">
      <c r="B43" s="5"/>
      <c r="C43" s="24" t="s">
        <v>44</v>
      </c>
      <c r="D43" s="16">
        <v>456000</v>
      </c>
      <c r="E43" s="11">
        <v>0.95</v>
      </c>
      <c r="F43" s="16">
        <v>24000.000000000022</v>
      </c>
      <c r="G43" s="11">
        <v>5.0000000000000044E-2</v>
      </c>
      <c r="H43" s="16">
        <v>480000</v>
      </c>
      <c r="I43" s="11">
        <v>1</v>
      </c>
    </row>
    <row r="44" spans="2:10" x14ac:dyDescent="0.25">
      <c r="B44" s="5"/>
      <c r="C44" s="24" t="s">
        <v>45</v>
      </c>
      <c r="D44" s="16">
        <v>456000</v>
      </c>
      <c r="E44" s="11">
        <v>0.95</v>
      </c>
      <c r="F44" s="16">
        <v>24000.000000000022</v>
      </c>
      <c r="G44" s="11">
        <v>5.0000000000000044E-2</v>
      </c>
      <c r="H44" s="16">
        <v>480000</v>
      </c>
      <c r="I44" s="11">
        <v>1</v>
      </c>
    </row>
    <row r="45" spans="2:10" x14ac:dyDescent="0.25">
      <c r="B45" s="5"/>
      <c r="C45" s="24" t="s">
        <v>77</v>
      </c>
      <c r="D45" s="16">
        <v>684000</v>
      </c>
      <c r="E45" s="11">
        <v>0.95</v>
      </c>
      <c r="F45" s="16">
        <v>36000.000000000029</v>
      </c>
      <c r="G45" s="11">
        <v>5.0000000000000044E-2</v>
      </c>
      <c r="H45" s="16">
        <v>720000</v>
      </c>
      <c r="I45" s="11">
        <v>1</v>
      </c>
    </row>
    <row r="46" spans="2:10" x14ac:dyDescent="0.25">
      <c r="B46" s="3" t="s">
        <v>98</v>
      </c>
      <c r="C46" s="47"/>
      <c r="D46" s="20">
        <v>4094400</v>
      </c>
      <c r="E46" s="32">
        <v>0.81626794258373203</v>
      </c>
      <c r="F46" s="20">
        <v>921599.99999999977</v>
      </c>
      <c r="G46" s="32">
        <v>0.18373205741626789</v>
      </c>
      <c r="H46" s="20">
        <v>5016000</v>
      </c>
      <c r="I46" s="32">
        <v>0.99999999999999989</v>
      </c>
    </row>
    <row r="47" spans="2:10" x14ac:dyDescent="0.25">
      <c r="B47" s="38" t="s">
        <v>99</v>
      </c>
      <c r="C47" s="48"/>
      <c r="D47" s="30"/>
      <c r="E47" s="50"/>
      <c r="F47" s="30"/>
      <c r="G47" s="50"/>
      <c r="H47" s="30"/>
      <c r="I47" s="50"/>
    </row>
    <row r="48" spans="2:10" x14ac:dyDescent="0.25">
      <c r="B48" s="5"/>
      <c r="C48" s="24" t="s">
        <v>100</v>
      </c>
      <c r="D48" s="16">
        <v>400000</v>
      </c>
      <c r="E48" s="11">
        <v>0.8</v>
      </c>
      <c r="F48" s="16">
        <v>99999.999999999971</v>
      </c>
      <c r="G48" s="11">
        <v>0.19999999999999996</v>
      </c>
      <c r="H48" s="16">
        <v>500000</v>
      </c>
      <c r="I48" s="11">
        <v>1</v>
      </c>
    </row>
    <row r="49" spans="2:9" x14ac:dyDescent="0.25">
      <c r="B49" s="5"/>
      <c r="C49" s="24" t="s">
        <v>101</v>
      </c>
      <c r="D49" s="16">
        <v>400000</v>
      </c>
      <c r="E49" s="11">
        <v>0.8</v>
      </c>
      <c r="F49" s="16">
        <v>99999.999999999971</v>
      </c>
      <c r="G49" s="11">
        <v>0.19999999999999996</v>
      </c>
      <c r="H49" s="16">
        <v>500000</v>
      </c>
      <c r="I49" s="11">
        <v>1</v>
      </c>
    </row>
    <row r="50" spans="2:9" x14ac:dyDescent="0.25">
      <c r="B50" s="5"/>
      <c r="C50" s="24" t="s">
        <v>102</v>
      </c>
      <c r="D50" s="16">
        <v>400000</v>
      </c>
      <c r="E50" s="11">
        <v>0.8</v>
      </c>
      <c r="F50" s="16">
        <v>99999.999999999971</v>
      </c>
      <c r="G50" s="11">
        <v>0.19999999999999996</v>
      </c>
      <c r="H50" s="16">
        <v>500000</v>
      </c>
      <c r="I50" s="11">
        <v>1</v>
      </c>
    </row>
    <row r="51" spans="2:9" x14ac:dyDescent="0.25">
      <c r="B51" s="38" t="s">
        <v>85</v>
      </c>
      <c r="C51" s="48"/>
      <c r="D51" s="16"/>
      <c r="E51" s="11"/>
      <c r="F51" s="16"/>
      <c r="G51" s="11"/>
      <c r="H51" s="16"/>
      <c r="I51" s="11"/>
    </row>
    <row r="52" spans="2:9" ht="28.5" customHeight="1" x14ac:dyDescent="0.25">
      <c r="B52" s="38"/>
      <c r="C52" s="51" t="s">
        <v>91</v>
      </c>
      <c r="D52" s="16">
        <v>1200000</v>
      </c>
      <c r="E52" s="11">
        <v>0.8</v>
      </c>
      <c r="F52" s="16">
        <v>299999.99999999994</v>
      </c>
      <c r="G52" s="11">
        <v>0.19999999999999996</v>
      </c>
      <c r="H52" s="16">
        <v>1500000</v>
      </c>
      <c r="I52" s="11">
        <v>1</v>
      </c>
    </row>
    <row r="53" spans="2:9" x14ac:dyDescent="0.25">
      <c r="B53" s="38"/>
      <c r="C53" s="24" t="s">
        <v>90</v>
      </c>
      <c r="D53" s="16">
        <v>400000</v>
      </c>
      <c r="E53" s="11">
        <v>0.8</v>
      </c>
      <c r="F53" s="16">
        <v>99999.999999999971</v>
      </c>
      <c r="G53" s="11">
        <v>0.19999999999999996</v>
      </c>
      <c r="H53" s="16">
        <v>500000</v>
      </c>
      <c r="I53" s="11">
        <v>1</v>
      </c>
    </row>
    <row r="54" spans="2:9" x14ac:dyDescent="0.25">
      <c r="B54" s="38" t="s">
        <v>86</v>
      </c>
      <c r="C54" s="24"/>
      <c r="D54" s="16"/>
      <c r="E54" s="11"/>
      <c r="F54" s="16"/>
      <c r="G54" s="11"/>
      <c r="H54" s="16"/>
      <c r="I54" s="11"/>
    </row>
    <row r="55" spans="2:9" x14ac:dyDescent="0.25">
      <c r="B55" s="38"/>
      <c r="C55" s="24" t="s">
        <v>87</v>
      </c>
      <c r="D55" s="16">
        <v>120000</v>
      </c>
      <c r="E55" s="11">
        <v>0.8</v>
      </c>
      <c r="F55" s="16">
        <v>29999.999999999993</v>
      </c>
      <c r="G55" s="11">
        <v>0.19999999999999996</v>
      </c>
      <c r="H55" s="16">
        <v>150000</v>
      </c>
      <c r="I55" s="11">
        <v>1</v>
      </c>
    </row>
    <row r="56" spans="2:9" x14ac:dyDescent="0.25">
      <c r="B56" s="38"/>
      <c r="C56" s="24" t="s">
        <v>88</v>
      </c>
      <c r="D56" s="16">
        <v>280000</v>
      </c>
      <c r="E56" s="11">
        <v>0.8</v>
      </c>
      <c r="F56" s="16">
        <v>69999.999999999985</v>
      </c>
      <c r="G56" s="11">
        <v>0.19999999999999996</v>
      </c>
      <c r="H56" s="16">
        <v>350000</v>
      </c>
      <c r="I56" s="11">
        <v>1</v>
      </c>
    </row>
    <row r="57" spans="2:9" x14ac:dyDescent="0.25">
      <c r="B57" s="38"/>
      <c r="C57" s="24" t="s">
        <v>89</v>
      </c>
      <c r="D57" s="16">
        <v>160000</v>
      </c>
      <c r="E57" s="11">
        <v>0.8</v>
      </c>
      <c r="F57" s="16">
        <v>39999.999999999993</v>
      </c>
      <c r="G57" s="11">
        <v>0.19999999999999996</v>
      </c>
      <c r="H57" s="16">
        <v>200000</v>
      </c>
      <c r="I57" s="11">
        <v>1</v>
      </c>
    </row>
    <row r="58" spans="2:9" x14ac:dyDescent="0.25">
      <c r="B58" s="46" t="s">
        <v>92</v>
      </c>
      <c r="C58" s="24"/>
      <c r="D58" s="16"/>
      <c r="E58" s="11"/>
      <c r="F58" s="16"/>
      <c r="G58" s="11"/>
      <c r="H58" s="16"/>
      <c r="I58" s="11"/>
    </row>
    <row r="59" spans="2:9" x14ac:dyDescent="0.25">
      <c r="B59" s="39"/>
      <c r="C59" s="24" t="s">
        <v>56</v>
      </c>
      <c r="D59" s="17">
        <v>734400</v>
      </c>
      <c r="E59" s="12">
        <v>0.9</v>
      </c>
      <c r="F59" s="17">
        <v>81599.999999999985</v>
      </c>
      <c r="G59" s="12">
        <v>9.9999999999999978E-2</v>
      </c>
      <c r="H59" s="17">
        <v>816000</v>
      </c>
      <c r="I59" s="12">
        <v>1</v>
      </c>
    </row>
    <row r="60" spans="2:9" x14ac:dyDescent="0.25">
      <c r="B60" s="3" t="s">
        <v>93</v>
      </c>
      <c r="C60" s="47"/>
      <c r="D60" s="30">
        <v>255000</v>
      </c>
      <c r="E60" s="50">
        <v>0.85</v>
      </c>
      <c r="F60" s="30">
        <v>45000.000000000007</v>
      </c>
      <c r="G60" s="50">
        <v>0.15000000000000002</v>
      </c>
      <c r="H60" s="30">
        <v>300000</v>
      </c>
      <c r="I60" s="50">
        <v>1</v>
      </c>
    </row>
    <row r="61" spans="2:9" x14ac:dyDescent="0.25">
      <c r="B61" s="5"/>
      <c r="C61" s="24" t="s">
        <v>95</v>
      </c>
      <c r="D61" s="16">
        <v>127500</v>
      </c>
      <c r="E61" s="11">
        <v>0.85</v>
      </c>
      <c r="F61" s="16">
        <v>22500.000000000004</v>
      </c>
      <c r="G61" s="11">
        <v>0.15000000000000002</v>
      </c>
      <c r="H61" s="16">
        <v>150000</v>
      </c>
      <c r="I61" s="11">
        <v>1</v>
      </c>
    </row>
    <row r="62" spans="2:9" x14ac:dyDescent="0.25">
      <c r="B62" s="5"/>
      <c r="C62" s="24" t="s">
        <v>94</v>
      </c>
      <c r="D62" s="17">
        <v>127500</v>
      </c>
      <c r="E62" s="12">
        <v>0.85</v>
      </c>
      <c r="F62" s="17">
        <v>22500.000000000004</v>
      </c>
      <c r="G62" s="12">
        <v>0.15000000000000002</v>
      </c>
      <c r="H62" s="17">
        <v>150000</v>
      </c>
      <c r="I62" s="12">
        <v>1</v>
      </c>
    </row>
    <row r="63" spans="2:9" x14ac:dyDescent="0.25">
      <c r="B63" s="3" t="s">
        <v>57</v>
      </c>
      <c r="C63" s="47"/>
      <c r="D63" s="30">
        <v>1017400</v>
      </c>
      <c r="E63" s="50">
        <v>0.54464668094218416</v>
      </c>
      <c r="F63" s="30">
        <v>850600</v>
      </c>
      <c r="G63" s="50">
        <v>0.45535331905781584</v>
      </c>
      <c r="H63" s="30">
        <v>1868000</v>
      </c>
      <c r="I63" s="50">
        <v>1</v>
      </c>
    </row>
    <row r="64" spans="2:9" x14ac:dyDescent="0.25">
      <c r="B64" s="5"/>
      <c r="C64" s="24" t="s">
        <v>58</v>
      </c>
      <c r="D64" s="16">
        <v>709400</v>
      </c>
      <c r="E64" s="11">
        <v>0.54</v>
      </c>
      <c r="F64" s="16">
        <v>758600</v>
      </c>
      <c r="G64" s="11">
        <v>0.46</v>
      </c>
      <c r="H64" s="16">
        <f>D64+F64</f>
        <v>1468000</v>
      </c>
      <c r="I64" s="11">
        <v>1</v>
      </c>
    </row>
    <row r="65" spans="2:9" x14ac:dyDescent="0.25">
      <c r="B65" s="5"/>
      <c r="C65" s="24" t="s">
        <v>59</v>
      </c>
      <c r="D65" s="16">
        <v>108000</v>
      </c>
      <c r="E65" s="11">
        <v>0.54</v>
      </c>
      <c r="F65" s="16">
        <v>92000</v>
      </c>
      <c r="G65" s="11">
        <v>0.46</v>
      </c>
      <c r="H65" s="16">
        <f>D65+F65</f>
        <v>200000</v>
      </c>
      <c r="I65" s="11">
        <v>1</v>
      </c>
    </row>
    <row r="66" spans="2:9" x14ac:dyDescent="0.25">
      <c r="B66" s="5"/>
      <c r="C66" s="24" t="s">
        <v>60</v>
      </c>
      <c r="D66" s="16">
        <v>200000</v>
      </c>
      <c r="E66" s="11">
        <v>1</v>
      </c>
      <c r="F66" s="16">
        <v>0</v>
      </c>
      <c r="G66" s="11">
        <v>0</v>
      </c>
      <c r="H66" s="16">
        <f>D66</f>
        <v>200000</v>
      </c>
      <c r="I66" s="11">
        <v>1</v>
      </c>
    </row>
    <row r="67" spans="2:9" x14ac:dyDescent="0.25">
      <c r="B67" s="39"/>
      <c r="C67" s="24"/>
      <c r="D67" s="16"/>
      <c r="E67" s="11"/>
      <c r="F67" s="16"/>
      <c r="G67" s="11"/>
      <c r="H67" s="16"/>
      <c r="I67" s="11"/>
    </row>
    <row r="68" spans="2:9" x14ac:dyDescent="0.25">
      <c r="B68" s="7"/>
      <c r="C68" s="25"/>
      <c r="D68" s="17"/>
      <c r="E68" s="12"/>
      <c r="F68" s="17"/>
      <c r="G68" s="12"/>
      <c r="H68" s="17"/>
      <c r="I68" s="12"/>
    </row>
    <row r="69" spans="2:9" x14ac:dyDescent="0.25">
      <c r="H69" s="22"/>
    </row>
    <row r="70" spans="2:9" x14ac:dyDescent="0.25">
      <c r="B70" s="72" t="s">
        <v>50</v>
      </c>
      <c r="C70" s="72"/>
      <c r="D70" s="26">
        <f>D7+D25+D46+D60+D63</f>
        <v>73600000</v>
      </c>
      <c r="E70" s="31">
        <f>D70/H70</f>
        <v>0.89756097560975612</v>
      </c>
      <c r="F70" s="26">
        <f>F7+F25+F46+F60+F63</f>
        <v>8400000</v>
      </c>
      <c r="G70" s="31">
        <f>F70/H70</f>
        <v>0.1024390243902439</v>
      </c>
      <c r="H70" s="26">
        <f>H7+H25+H46+H60+H63</f>
        <v>82000000</v>
      </c>
      <c r="I70" s="27">
        <f>E70+G70</f>
        <v>1</v>
      </c>
    </row>
    <row r="72" spans="2:9" x14ac:dyDescent="0.25">
      <c r="H72" s="22"/>
    </row>
  </sheetData>
  <mergeCells count="5">
    <mergeCell ref="B6:C6"/>
    <mergeCell ref="D6:E6"/>
    <mergeCell ref="F6:G6"/>
    <mergeCell ref="H6:I6"/>
    <mergeCell ref="B70:C70"/>
  </mergeCells>
  <pageMargins left="0.7" right="0.7" top="0.75" bottom="0.75" header="0.3" footer="0.3"/>
  <pageSetup paperSize="9" orientation="portrait" r:id="rId1"/>
  <ignoredErrors>
    <ignoredError sqref="E70 G7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P38"/>
  <sheetViews>
    <sheetView showGridLines="0" topLeftCell="A3" zoomScale="80" zoomScaleNormal="80" workbookViewId="0">
      <selection activeCell="F37" sqref="F37"/>
    </sheetView>
  </sheetViews>
  <sheetFormatPr defaultColWidth="11.42578125" defaultRowHeight="15" x14ac:dyDescent="0.25"/>
  <cols>
    <col min="1" max="2" width="2.28515625" customWidth="1"/>
    <col min="3" max="3" width="58.5703125" customWidth="1"/>
    <col min="4" max="14" width="14.5703125" customWidth="1"/>
    <col min="15" max="15" width="9.140625" customWidth="1"/>
    <col min="16" max="16" width="5.85546875" customWidth="1"/>
  </cols>
  <sheetData>
    <row r="2" spans="2:15" x14ac:dyDescent="0.25">
      <c r="B2" t="s">
        <v>103</v>
      </c>
    </row>
    <row r="3" spans="2:15" x14ac:dyDescent="0.25">
      <c r="B3" t="s">
        <v>104</v>
      </c>
    </row>
    <row r="4" spans="2:15" x14ac:dyDescent="0.25">
      <c r="B4" s="1" t="s">
        <v>107</v>
      </c>
      <c r="C4" s="1"/>
    </row>
    <row r="6" spans="2:15" x14ac:dyDescent="0.25">
      <c r="B6" s="74" t="s">
        <v>1</v>
      </c>
      <c r="C6" s="75"/>
      <c r="D6" s="70" t="s">
        <v>108</v>
      </c>
      <c r="E6" s="73"/>
      <c r="F6" s="70" t="s">
        <v>109</v>
      </c>
      <c r="G6" s="73"/>
      <c r="H6" s="70" t="s">
        <v>110</v>
      </c>
      <c r="I6" s="73"/>
      <c r="J6" s="70" t="s">
        <v>111</v>
      </c>
      <c r="K6" s="73"/>
      <c r="L6" s="70" t="s">
        <v>112</v>
      </c>
      <c r="M6" s="73"/>
      <c r="N6" s="70" t="s">
        <v>7</v>
      </c>
      <c r="O6" s="71"/>
    </row>
    <row r="7" spans="2:15" x14ac:dyDescent="0.25">
      <c r="B7" s="76"/>
      <c r="C7" s="77"/>
      <c r="D7" s="40" t="s">
        <v>5</v>
      </c>
      <c r="E7" s="40" t="s">
        <v>6</v>
      </c>
      <c r="F7" s="40" t="s">
        <v>5</v>
      </c>
      <c r="G7" s="40" t="s">
        <v>6</v>
      </c>
      <c r="H7" s="40" t="s">
        <v>5</v>
      </c>
      <c r="I7" s="40" t="s">
        <v>6</v>
      </c>
      <c r="J7" s="40" t="s">
        <v>5</v>
      </c>
      <c r="K7" s="40" t="s">
        <v>6</v>
      </c>
      <c r="L7" s="54" t="s">
        <v>5</v>
      </c>
      <c r="M7" s="54" t="s">
        <v>6</v>
      </c>
      <c r="N7" s="41"/>
      <c r="O7" s="21"/>
    </row>
    <row r="8" spans="2:15" x14ac:dyDescent="0.25">
      <c r="B8" s="58" t="s">
        <v>67</v>
      </c>
      <c r="C8" s="47"/>
      <c r="D8" s="20">
        <f t="shared" ref="D8:I8" si="0">SUM(D9:D12)</f>
        <v>2907000</v>
      </c>
      <c r="E8" s="20">
        <f t="shared" si="0"/>
        <v>323000</v>
      </c>
      <c r="F8" s="20">
        <f t="shared" si="0"/>
        <v>3789000</v>
      </c>
      <c r="G8" s="20">
        <f t="shared" si="0"/>
        <v>421000</v>
      </c>
      <c r="H8" s="20">
        <f t="shared" si="0"/>
        <v>356400</v>
      </c>
      <c r="I8" s="20">
        <f t="shared" si="0"/>
        <v>39600</v>
      </c>
      <c r="J8" s="20"/>
      <c r="K8" s="20"/>
      <c r="L8" s="20"/>
      <c r="M8" s="20"/>
      <c r="N8" s="20">
        <f>SUM(D8:M8)</f>
        <v>7836000</v>
      </c>
      <c r="O8" s="32">
        <v>1</v>
      </c>
    </row>
    <row r="9" spans="2:15" x14ac:dyDescent="0.25">
      <c r="B9" s="46" t="s">
        <v>68</v>
      </c>
      <c r="C9" s="48"/>
      <c r="D9" s="43">
        <f>2294000-E9</f>
        <v>2064600</v>
      </c>
      <c r="E9" s="43">
        <v>229400</v>
      </c>
      <c r="F9" s="43">
        <f>1570000-G9</f>
        <v>1413000</v>
      </c>
      <c r="G9" s="43">
        <v>157000</v>
      </c>
      <c r="H9" s="43"/>
      <c r="I9" s="43"/>
      <c r="J9" s="30"/>
      <c r="K9" s="30"/>
      <c r="L9" s="30"/>
      <c r="M9" s="30"/>
      <c r="N9" s="43">
        <v>3864000</v>
      </c>
      <c r="O9" s="50"/>
    </row>
    <row r="10" spans="2:15" x14ac:dyDescent="0.25">
      <c r="B10" s="46" t="s">
        <v>69</v>
      </c>
      <c r="C10" s="48"/>
      <c r="D10" s="30"/>
      <c r="E10" s="30"/>
      <c r="F10" s="43">
        <f>540000-G10</f>
        <v>486000</v>
      </c>
      <c r="G10" s="43">
        <v>54000</v>
      </c>
      <c r="H10" s="43">
        <f>396000-I10</f>
        <v>356400</v>
      </c>
      <c r="I10" s="43">
        <v>39600</v>
      </c>
      <c r="J10" s="43"/>
      <c r="K10" s="43"/>
      <c r="L10" s="30"/>
      <c r="M10" s="30"/>
      <c r="N10" s="43">
        <v>936000</v>
      </c>
      <c r="O10" s="50"/>
    </row>
    <row r="11" spans="2:15" x14ac:dyDescent="0.25">
      <c r="B11" s="46" t="s">
        <v>72</v>
      </c>
      <c r="C11" s="24"/>
      <c r="D11" s="16">
        <f>936000-E11</f>
        <v>842400</v>
      </c>
      <c r="E11" s="16">
        <v>93600</v>
      </c>
      <c r="F11" s="43"/>
      <c r="G11" s="43"/>
      <c r="H11" s="43"/>
      <c r="I11" s="43"/>
      <c r="J11" s="16"/>
      <c r="K11" s="16"/>
      <c r="L11" s="16"/>
      <c r="M11" s="16"/>
      <c r="N11" s="43">
        <v>936000</v>
      </c>
      <c r="O11" s="11"/>
    </row>
    <row r="12" spans="2:15" x14ac:dyDescent="0.25">
      <c r="B12" s="46" t="s">
        <v>73</v>
      </c>
      <c r="C12" s="24"/>
      <c r="D12" s="16"/>
      <c r="E12" s="16"/>
      <c r="F12" s="16">
        <f>2100000-G12</f>
        <v>1890000</v>
      </c>
      <c r="G12" s="16">
        <v>210000</v>
      </c>
      <c r="H12" s="16"/>
      <c r="I12" s="16"/>
      <c r="J12" s="16"/>
      <c r="K12" s="16"/>
      <c r="L12" s="16"/>
      <c r="M12" s="16"/>
      <c r="N12" s="43">
        <v>2100000</v>
      </c>
      <c r="O12" s="11"/>
    </row>
    <row r="13" spans="2:15" x14ac:dyDescent="0.25">
      <c r="B13" s="58" t="s">
        <v>76</v>
      </c>
      <c r="C13" s="47"/>
      <c r="D13" s="20"/>
      <c r="E13" s="20"/>
      <c r="F13" s="20"/>
      <c r="G13" s="20"/>
      <c r="H13" s="20">
        <f t="shared" ref="H13:M13" si="1">SUM(H14:H18)</f>
        <v>28921967.699999999</v>
      </c>
      <c r="I13" s="20">
        <f t="shared" si="1"/>
        <v>2617879.2999999998</v>
      </c>
      <c r="J13" s="20">
        <f t="shared" si="1"/>
        <v>21987848.199999999</v>
      </c>
      <c r="K13" s="20">
        <f t="shared" si="1"/>
        <v>1966451.8</v>
      </c>
      <c r="L13" s="20">
        <f t="shared" si="1"/>
        <v>10270984.1</v>
      </c>
      <c r="M13" s="20">
        <f t="shared" si="1"/>
        <v>1214868.8999999999</v>
      </c>
      <c r="N13" s="20">
        <v>66980000</v>
      </c>
      <c r="O13" s="32">
        <v>1</v>
      </c>
    </row>
    <row r="14" spans="2:15" x14ac:dyDescent="0.25">
      <c r="B14" s="46" t="s">
        <v>78</v>
      </c>
      <c r="C14" s="48"/>
      <c r="D14" s="43"/>
      <c r="E14" s="43"/>
      <c r="F14" s="42"/>
      <c r="G14" s="42"/>
      <c r="H14" s="43">
        <f>15836250-I14</f>
        <v>14252625</v>
      </c>
      <c r="I14" s="43">
        <v>1583625</v>
      </c>
      <c r="J14" s="43">
        <f>11659450-K14+4300</f>
        <v>10497805</v>
      </c>
      <c r="K14" s="43">
        <v>1165945</v>
      </c>
      <c r="L14" s="43">
        <f>4500000-M14</f>
        <v>4049570</v>
      </c>
      <c r="M14" s="43">
        <v>450430</v>
      </c>
      <c r="N14" s="43">
        <v>32000000</v>
      </c>
      <c r="O14" s="45"/>
    </row>
    <row r="15" spans="2:15" x14ac:dyDescent="0.25">
      <c r="B15" s="46" t="s">
        <v>82</v>
      </c>
      <c r="C15" s="24"/>
      <c r="D15" s="16"/>
      <c r="E15" s="16"/>
      <c r="F15" s="9"/>
      <c r="G15" s="9"/>
      <c r="H15" s="16">
        <f>12663750-I15</f>
        <v>11903925</v>
      </c>
      <c r="I15" s="16">
        <v>759825</v>
      </c>
      <c r="J15" s="16">
        <f>9840550-K15</f>
        <v>9250117</v>
      </c>
      <c r="K15" s="16">
        <v>590433</v>
      </c>
      <c r="L15" s="16">
        <f>4495700-M15</f>
        <v>4225958</v>
      </c>
      <c r="M15" s="16">
        <v>269742</v>
      </c>
      <c r="N15" s="16">
        <v>27000000</v>
      </c>
      <c r="O15" s="11"/>
    </row>
    <row r="16" spans="2:15" x14ac:dyDescent="0.25">
      <c r="B16" s="46" t="s">
        <v>96</v>
      </c>
      <c r="C16" s="24"/>
      <c r="D16" s="16"/>
      <c r="E16" s="16"/>
      <c r="F16" s="9"/>
      <c r="G16" s="9"/>
      <c r="H16" s="16">
        <f>1597815-I16</f>
        <v>1434019</v>
      </c>
      <c r="I16" s="16">
        <v>163796</v>
      </c>
      <c r="J16" s="16">
        <f>1123570-K16</f>
        <v>1011213</v>
      </c>
      <c r="K16" s="16">
        <v>112357</v>
      </c>
      <c r="L16" s="16">
        <f>938615-M16</f>
        <v>578768</v>
      </c>
      <c r="M16" s="16">
        <v>359847</v>
      </c>
      <c r="N16" s="16">
        <v>3660000</v>
      </c>
      <c r="O16" s="11"/>
    </row>
    <row r="17" spans="2:16" x14ac:dyDescent="0.25">
      <c r="B17" s="46" t="s">
        <v>97</v>
      </c>
      <c r="C17" s="24"/>
      <c r="D17" s="16"/>
      <c r="E17" s="16"/>
      <c r="F17" s="9"/>
      <c r="G17" s="16"/>
      <c r="H17" s="16">
        <f>323056-I17</f>
        <v>290751</v>
      </c>
      <c r="I17" s="16">
        <v>32305</v>
      </c>
      <c r="J17" s="16">
        <f>162190-K17</f>
        <v>145970</v>
      </c>
      <c r="K17" s="16">
        <v>16220</v>
      </c>
      <c r="L17" s="16">
        <f>42754-M17</f>
        <v>38479</v>
      </c>
      <c r="M17" s="16">
        <v>4275</v>
      </c>
      <c r="N17" s="16">
        <v>528000</v>
      </c>
      <c r="O17" s="11"/>
      <c r="P17" s="35"/>
    </row>
    <row r="18" spans="2:16" x14ac:dyDescent="0.25">
      <c r="B18" s="46" t="s">
        <v>84</v>
      </c>
      <c r="C18" s="24"/>
      <c r="D18" s="16"/>
      <c r="E18" s="16"/>
      <c r="F18" s="9"/>
      <c r="G18" s="9"/>
      <c r="H18" s="16">
        <f>1118976-I18</f>
        <v>1040647.7</v>
      </c>
      <c r="I18" s="16">
        <v>78328.3</v>
      </c>
      <c r="J18" s="16">
        <f>1164240-K18</f>
        <v>1082743.2</v>
      </c>
      <c r="K18" s="16">
        <v>81496.800000000003</v>
      </c>
      <c r="L18" s="16">
        <f>1508784-M18</f>
        <v>1378209.1</v>
      </c>
      <c r="M18" s="16">
        <v>130574.9</v>
      </c>
      <c r="N18" s="16">
        <v>3792000</v>
      </c>
      <c r="O18" s="11"/>
    </row>
    <row r="19" spans="2:16" x14ac:dyDescent="0.25">
      <c r="B19" s="58" t="s">
        <v>98</v>
      </c>
      <c r="C19" s="47"/>
      <c r="D19" s="20"/>
      <c r="E19" s="20"/>
      <c r="F19" s="20"/>
      <c r="G19" s="20"/>
      <c r="H19" s="20">
        <f t="shared" ref="H19:M19" si="2">SUM(H20:H23)</f>
        <v>160000</v>
      </c>
      <c r="I19" s="20">
        <f t="shared" si="2"/>
        <v>40000</v>
      </c>
      <c r="J19" s="20">
        <f t="shared" si="2"/>
        <v>1196000</v>
      </c>
      <c r="K19" s="20">
        <f t="shared" si="2"/>
        <v>299000</v>
      </c>
      <c r="L19" s="20">
        <f t="shared" si="2"/>
        <v>2738400</v>
      </c>
      <c r="M19" s="20">
        <f t="shared" si="2"/>
        <v>582600</v>
      </c>
      <c r="N19" s="20">
        <v>5016000</v>
      </c>
      <c r="O19" s="32">
        <v>0.99999999999999989</v>
      </c>
    </row>
    <row r="20" spans="2:16" x14ac:dyDescent="0.25">
      <c r="B20" s="46" t="s">
        <v>99</v>
      </c>
      <c r="C20" s="48"/>
      <c r="D20" s="43"/>
      <c r="E20" s="43"/>
      <c r="F20" s="43"/>
      <c r="G20" s="43"/>
      <c r="H20" s="43"/>
      <c r="I20" s="43"/>
      <c r="J20" s="43"/>
      <c r="K20" s="43"/>
      <c r="L20" s="43">
        <f>1500000-M20</f>
        <v>1200000</v>
      </c>
      <c r="M20" s="43">
        <v>300000</v>
      </c>
      <c r="N20" s="43">
        <v>1500000</v>
      </c>
      <c r="O20" s="50"/>
    </row>
    <row r="21" spans="2:16" x14ac:dyDescent="0.25">
      <c r="B21" s="46" t="s">
        <v>85</v>
      </c>
      <c r="C21" s="48"/>
      <c r="D21" s="16"/>
      <c r="E21" s="16"/>
      <c r="F21" s="16"/>
      <c r="G21" s="16"/>
      <c r="H21" s="16"/>
      <c r="I21" s="16"/>
      <c r="J21" s="43">
        <f>1200000-K21</f>
        <v>960000</v>
      </c>
      <c r="K21" s="43">
        <v>240000</v>
      </c>
      <c r="L21" s="16">
        <f>800000-M21</f>
        <v>640000</v>
      </c>
      <c r="M21" s="16">
        <v>160000</v>
      </c>
      <c r="N21" s="16">
        <v>2000000</v>
      </c>
      <c r="O21" s="11"/>
    </row>
    <row r="22" spans="2:16" x14ac:dyDescent="0.25">
      <c r="B22" s="46" t="s">
        <v>86</v>
      </c>
      <c r="C22" s="24"/>
      <c r="D22" s="16"/>
      <c r="E22" s="16"/>
      <c r="F22" s="16"/>
      <c r="G22" s="16"/>
      <c r="H22" s="43">
        <f>200000-I22</f>
        <v>160000</v>
      </c>
      <c r="I22" s="43">
        <v>40000</v>
      </c>
      <c r="J22" s="16">
        <f>295000-K22</f>
        <v>236000</v>
      </c>
      <c r="K22" s="16">
        <v>59000</v>
      </c>
      <c r="L22" s="16">
        <f>205000-M22</f>
        <v>164000</v>
      </c>
      <c r="M22" s="16">
        <v>41000</v>
      </c>
      <c r="N22" s="16">
        <v>700000</v>
      </c>
      <c r="O22" s="11"/>
    </row>
    <row r="23" spans="2:16" x14ac:dyDescent="0.25">
      <c r="B23" s="46" t="s">
        <v>92</v>
      </c>
      <c r="C23" s="24"/>
      <c r="D23" s="17"/>
      <c r="E23" s="17"/>
      <c r="F23" s="17"/>
      <c r="G23" s="17"/>
      <c r="H23" s="17"/>
      <c r="I23" s="17"/>
      <c r="J23" s="17"/>
      <c r="K23" s="17"/>
      <c r="L23" s="17">
        <v>734400</v>
      </c>
      <c r="M23" s="17">
        <v>81600</v>
      </c>
      <c r="N23" s="17">
        <v>816000</v>
      </c>
      <c r="O23" s="12"/>
    </row>
    <row r="24" spans="2:16" x14ac:dyDescent="0.25">
      <c r="B24" s="58" t="s">
        <v>93</v>
      </c>
      <c r="C24" s="47"/>
      <c r="D24" s="30"/>
      <c r="E24" s="30"/>
      <c r="F24" s="30"/>
      <c r="G24" s="30"/>
      <c r="H24" s="30"/>
      <c r="I24" s="30"/>
      <c r="J24" s="30"/>
      <c r="K24" s="30"/>
      <c r="L24" s="30">
        <f>SUM(L25:L26)</f>
        <v>255000</v>
      </c>
      <c r="M24" s="30">
        <f>SUM(M25:M26)</f>
        <v>45000.000000000007</v>
      </c>
      <c r="N24" s="30">
        <f>SUM(D24:M24)</f>
        <v>300000</v>
      </c>
      <c r="O24" s="50">
        <v>1</v>
      </c>
    </row>
    <row r="25" spans="2:16" x14ac:dyDescent="0.25">
      <c r="B25" s="39"/>
      <c r="C25" s="24" t="s">
        <v>95</v>
      </c>
      <c r="D25" s="16"/>
      <c r="E25" s="16"/>
      <c r="F25" s="16"/>
      <c r="G25" s="16"/>
      <c r="H25" s="16"/>
      <c r="I25" s="16"/>
      <c r="J25" s="16"/>
      <c r="K25" s="16"/>
      <c r="L25" s="16">
        <v>127500</v>
      </c>
      <c r="M25" s="16">
        <v>22500.000000000004</v>
      </c>
      <c r="N25" s="16">
        <v>150000</v>
      </c>
      <c r="O25" s="11"/>
    </row>
    <row r="26" spans="2:16" x14ac:dyDescent="0.25">
      <c r="B26" s="39"/>
      <c r="C26" s="24" t="s">
        <v>94</v>
      </c>
      <c r="D26" s="17"/>
      <c r="E26" s="17"/>
      <c r="F26" s="17"/>
      <c r="G26" s="17"/>
      <c r="H26" s="17"/>
      <c r="I26" s="17"/>
      <c r="J26" s="17"/>
      <c r="K26" s="17"/>
      <c r="L26" s="17">
        <v>127500</v>
      </c>
      <c r="M26" s="17">
        <v>22500.000000000004</v>
      </c>
      <c r="N26" s="17">
        <v>150000</v>
      </c>
      <c r="O26" s="12"/>
    </row>
    <row r="27" spans="2:16" x14ac:dyDescent="0.25">
      <c r="B27" s="58" t="s">
        <v>57</v>
      </c>
      <c r="C27" s="47"/>
      <c r="D27" s="30">
        <f>SUM(D28:D30)</f>
        <v>203480</v>
      </c>
      <c r="E27" s="30">
        <f t="shared" ref="E27:M27" si="3">SUM(E28:E30)</f>
        <v>170120</v>
      </c>
      <c r="F27" s="30">
        <f t="shared" si="3"/>
        <v>203480</v>
      </c>
      <c r="G27" s="30">
        <f t="shared" si="3"/>
        <v>170120</v>
      </c>
      <c r="H27" s="30">
        <f t="shared" si="3"/>
        <v>203480</v>
      </c>
      <c r="I27" s="30">
        <f t="shared" si="3"/>
        <v>170120</v>
      </c>
      <c r="J27" s="30">
        <f t="shared" si="3"/>
        <v>203480</v>
      </c>
      <c r="K27" s="30">
        <f t="shared" si="3"/>
        <v>170120</v>
      </c>
      <c r="L27" s="30">
        <f t="shared" si="3"/>
        <v>203480</v>
      </c>
      <c r="M27" s="30">
        <f t="shared" si="3"/>
        <v>170120</v>
      </c>
      <c r="N27" s="30">
        <f>SUM(D27:M27)</f>
        <v>1868000</v>
      </c>
      <c r="O27" s="50">
        <v>1</v>
      </c>
    </row>
    <row r="28" spans="2:16" x14ac:dyDescent="0.25">
      <c r="B28" s="61"/>
      <c r="C28" s="24" t="s">
        <v>58</v>
      </c>
      <c r="D28" s="43">
        <v>141880</v>
      </c>
      <c r="E28" s="43">
        <v>151720</v>
      </c>
      <c r="F28" s="43">
        <v>141880</v>
      </c>
      <c r="G28" s="43">
        <v>151720</v>
      </c>
      <c r="H28" s="43">
        <v>141880</v>
      </c>
      <c r="I28" s="43">
        <v>151720</v>
      </c>
      <c r="J28" s="43">
        <v>141880</v>
      </c>
      <c r="K28" s="43">
        <v>151720</v>
      </c>
      <c r="L28" s="43">
        <v>141880</v>
      </c>
      <c r="M28" s="43">
        <v>151720</v>
      </c>
      <c r="N28" s="16">
        <f>SUM(D28:M28)</f>
        <v>1468000</v>
      </c>
      <c r="O28" s="50"/>
    </row>
    <row r="29" spans="2:16" x14ac:dyDescent="0.25">
      <c r="B29" s="57"/>
      <c r="C29" s="24" t="s">
        <v>59</v>
      </c>
      <c r="D29" s="43">
        <v>21600</v>
      </c>
      <c r="E29" s="43">
        <v>18400</v>
      </c>
      <c r="F29" s="43">
        <v>21600</v>
      </c>
      <c r="G29" s="43">
        <v>18400</v>
      </c>
      <c r="H29" s="43">
        <v>21600</v>
      </c>
      <c r="I29" s="43">
        <v>18400</v>
      </c>
      <c r="J29" s="43">
        <v>21600</v>
      </c>
      <c r="K29" s="43">
        <v>18400</v>
      </c>
      <c r="L29" s="43">
        <v>21600</v>
      </c>
      <c r="M29" s="43">
        <v>18400</v>
      </c>
      <c r="N29" s="16">
        <f t="shared" ref="N29:N30" si="4">SUM(D29:M29)</f>
        <v>200000</v>
      </c>
      <c r="O29" s="50"/>
    </row>
    <row r="30" spans="2:16" x14ac:dyDescent="0.25">
      <c r="B30" s="7"/>
      <c r="C30" s="25" t="s">
        <v>60</v>
      </c>
      <c r="D30" s="17">
        <v>40000</v>
      </c>
      <c r="E30" s="17"/>
      <c r="F30" s="17">
        <v>40000</v>
      </c>
      <c r="G30" s="17"/>
      <c r="H30" s="17">
        <v>40000</v>
      </c>
      <c r="I30" s="17"/>
      <c r="J30" s="17">
        <v>40000</v>
      </c>
      <c r="K30" s="17"/>
      <c r="L30" s="17">
        <v>40000</v>
      </c>
      <c r="M30" s="17"/>
      <c r="N30" s="17">
        <f t="shared" si="4"/>
        <v>200000</v>
      </c>
      <c r="O30" s="12"/>
    </row>
    <row r="31" spans="2:16" x14ac:dyDescent="0.25">
      <c r="N31" s="22"/>
    </row>
    <row r="32" spans="2:16" x14ac:dyDescent="0.25">
      <c r="B32" s="72" t="s">
        <v>50</v>
      </c>
      <c r="C32" s="72"/>
      <c r="D32" s="26">
        <f t="shared" ref="D32:N32" si="5">D8+D13+D19+D24+D27</f>
        <v>3110480</v>
      </c>
      <c r="E32" s="26">
        <f t="shared" si="5"/>
        <v>493120</v>
      </c>
      <c r="F32" s="26">
        <f t="shared" si="5"/>
        <v>3992480</v>
      </c>
      <c r="G32" s="26">
        <f t="shared" si="5"/>
        <v>591120</v>
      </c>
      <c r="H32" s="26">
        <f t="shared" si="5"/>
        <v>29641847.699999999</v>
      </c>
      <c r="I32" s="26">
        <f t="shared" si="5"/>
        <v>2867599.3</v>
      </c>
      <c r="J32" s="26">
        <f t="shared" si="5"/>
        <v>23387328.199999999</v>
      </c>
      <c r="K32" s="26">
        <f t="shared" si="5"/>
        <v>2435571.7999999998</v>
      </c>
      <c r="L32" s="26">
        <f t="shared" si="5"/>
        <v>13467864.1</v>
      </c>
      <c r="M32" s="26">
        <f t="shared" si="5"/>
        <v>2012588.9</v>
      </c>
      <c r="N32" s="26">
        <f t="shared" si="5"/>
        <v>82000000</v>
      </c>
      <c r="O32" s="27">
        <v>1</v>
      </c>
    </row>
    <row r="34" spans="5:14" x14ac:dyDescent="0.25">
      <c r="N34" s="22"/>
    </row>
    <row r="36" spans="5:14" x14ac:dyDescent="0.25">
      <c r="H36" s="59"/>
      <c r="J36" s="59"/>
    </row>
    <row r="37" spans="5:14" x14ac:dyDescent="0.25">
      <c r="E37" s="35"/>
      <c r="F37" s="60"/>
    </row>
    <row r="38" spans="5:14" x14ac:dyDescent="0.25">
      <c r="F38" s="22"/>
    </row>
  </sheetData>
  <mergeCells count="8">
    <mergeCell ref="N6:O6"/>
    <mergeCell ref="B32:C32"/>
    <mergeCell ref="D6:E6"/>
    <mergeCell ref="F6:G6"/>
    <mergeCell ref="H6:I6"/>
    <mergeCell ref="J6:K6"/>
    <mergeCell ref="B6:C7"/>
    <mergeCell ref="L6:M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382B19342899E14390A098FD4ACE3EB9" ma:contentTypeVersion="0" ma:contentTypeDescription="A content type to manage public (operations) IDB documents" ma:contentTypeScope="" ma:versionID="f73da74d8d699da91f61aea9c0eed97b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6bfe46e4c83422ab72b735076e7988d3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7e3e8b7-b0c0-4a85-90a4-39ae7e6b1e0c}" ma:internalName="TaxCatchAll" ma:showField="CatchAllData" ma:web="1920e0c9-23ea-4319-93c5-bce2be32d0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7e3e8b7-b0c0-4a85-90a4-39ae7e6b1e0c}" ma:internalName="TaxCatchAllLabel" ma:readOnly="true" ma:showField="CatchAllDataLabel" ma:web="1920e0c9-23ea-4319-93c5-bce2be32d0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9c571b2f-e523-4ab2-ba2e-09e151a03ef4" xsi:nil="true"/>
    <Abstract xmlns="9c571b2f-e523-4ab2-ba2e-09e151a03ef4" xsi:nil="true"/>
    <Disclosure_x0020_Activity xmlns="9c571b2f-e523-4ab2-ba2e-09e151a03ef4">Loan Proposal</Disclosure_x0020_Activity>
    <Key_x0020_Document xmlns="9c571b2f-e523-4ab2-ba2e-09e151a03ef4">false</Key_x0020_Document>
    <Division_x0020_or_x0020_Unit xmlns="9c571b2f-e523-4ab2-ba2e-09e151a03ef4">INT/INT</Division_x0020_or_x0020_Unit>
    <Other_x0020_Author xmlns="9c571b2f-e523-4ab2-ba2e-09e151a03ef4" xsi:nil="true"/>
    <Region xmlns="9c571b2f-e523-4ab2-ba2e-09e151a03ef4" xsi:nil="true"/>
    <IDBDocs_x0020_Number xmlns="9c571b2f-e523-4ab2-ba2e-09e151a03ef4">40624898</IDBDocs_x0020_Number>
    <Document_x0020_Author xmlns="9c571b2f-e523-4ab2-ba2e-09e151a03ef4">Larsson, Mikael</Document_x0020_Author>
    <Publication_x0020_Type xmlns="9c571b2f-e523-4ab2-ba2e-09e151a03ef4" xsi:nil="true"/>
    <Operation_x0020_Type xmlns="9c571b2f-e523-4ab2-ba2e-09e151a03ef4" xsi:nil="true"/>
    <TaxCatchAll xmlns="9c571b2f-e523-4ab2-ba2e-09e151a03ef4">
      <Value>2</Value>
      <Value>4</Value>
    </TaxCatchAll>
    <Fiscal_x0020_Year_x0020_IDB xmlns="9c571b2f-e523-4ab2-ba2e-09e151a03ef4">2016</Fiscal_x0020_Year_x0020_IDB>
    <Issue_x0020_Dat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Project_x0020_Number xmlns="9c571b2f-e523-4ab2-ba2e-09e151a03ef4">AR-L1251</Project_x0020_Number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Package_x0020_Code xmlns="9c571b2f-e523-4ab2-ba2e-09e151a03ef4" xsi:nil="true"/>
    <Migration_x0020_Info xmlns="9c571b2f-e523-4ab2-ba2e-09e151a03ef4">&lt;Data&gt;&lt;APPLICATION&gt;MS EXCEL&lt;/APPLICATION&gt;&lt;USER_STAGE&gt;Loan Proposal&lt;/USER_STAGE&gt;&lt;PD_OBJ_TYPE&gt;0&lt;/PD_OBJ_TYPE&gt;&lt;MAKERECORD&gt;N&lt;/MAKERECORD&gt;&lt;/Data&gt;</Migration_x0020_Info>
    <Approval_x0020_Number xmlns="9c571b2f-e523-4ab2-ba2e-09e151a03ef4" xsi:nil="true"/>
    <Access_x0020_to_x0020_Information_x00a0_Policy xmlns="9c571b2f-e523-4ab2-ba2e-09e151a03ef4">Public</Access_x0020_to_x0020_Information_x00a0_Policy>
    <Business_x0020_Area xmlns="9c571b2f-e523-4ab2-ba2e-09e151a03ef4" xsi:nil="true"/>
    <SISCOR_x0020_Number xmlns="9c571b2f-e523-4ab2-ba2e-09e151a03ef4" xsi:nil="true"/>
    <Webtopic xmlns="9c571b2f-e523-4ab2-ba2e-09e151a03ef4">CE-ADN</Webtopic>
    <Identifier xmlns="9c571b2f-e523-4ab2-ba2e-09e151a03ef4"> ANNEX</Identifier>
    <Publishing_x0020_House xmlns="9c571b2f-e523-4ab2-ba2e-09e151a03ef4" xsi:nil="true"/>
    <Document_x0020_Language_x0020_IDB xmlns="9c571b2f-e523-4ab2-ba2e-09e151a03ef4">Spanish</Document_x0020_Language_x0020_IDB>
    <KP_x0020_Topics xmlns="9c571b2f-e523-4ab2-ba2e-09e151a03ef4" xsi:nil="true"/>
    <Phase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e559ffcc31d34167856647188be35015 xmlns="9c571b2f-e523-4ab2-ba2e-09e151a03ef4">
      <Terms xmlns="http://schemas.microsoft.com/office/infopath/2007/PartnerControls"/>
    </e559ffcc31d34167856647188be35015>
    <c456731dbc904a5fb605ec556c33e883 xmlns="9c571b2f-e523-4ab2-ba2e-09e151a03ef4">
      <Terms xmlns="http://schemas.microsoft.com/office/infopath/2007/PartnerControls"/>
    </c456731dbc904a5fb605ec556c33e883>
    <Editor1 xmlns="9c571b2f-e523-4ab2-ba2e-09e151a03ef4" xsi:nil="true"/>
    <j8b96605ee2f4c4e988849e658583fee xmlns="9c571b2f-e523-4ab2-ba2e-09e151a03ef4">
      <Terms xmlns="http://schemas.microsoft.com/office/infopath/2007/PartnerControls"/>
    </j8b96605ee2f4c4e988849e658583fee>
  </documentManagement>
</p:properties>
</file>

<file path=customXml/itemProps1.xml><?xml version="1.0" encoding="utf-8"?>
<ds:datastoreItem xmlns:ds="http://schemas.openxmlformats.org/officeDocument/2006/customXml" ds:itemID="{DE067A22-94D8-42D2-89D6-BBF9341F7DFD}"/>
</file>

<file path=customXml/itemProps2.xml><?xml version="1.0" encoding="utf-8"?>
<ds:datastoreItem xmlns:ds="http://schemas.openxmlformats.org/officeDocument/2006/customXml" ds:itemID="{A3836BBA-D847-4AE1-BE08-F41AA3E25B7D}"/>
</file>

<file path=customXml/itemProps3.xml><?xml version="1.0" encoding="utf-8"?>
<ds:datastoreItem xmlns:ds="http://schemas.openxmlformats.org/officeDocument/2006/customXml" ds:itemID="{41E89FF2-1876-47C9-B19F-C489267D6BB4}"/>
</file>

<file path=customXml/itemProps4.xml><?xml version="1.0" encoding="utf-8"?>
<ds:datastoreItem xmlns:ds="http://schemas.openxmlformats.org/officeDocument/2006/customXml" ds:itemID="{832929B6-DBFE-4AD4-9D00-9AA09AC3BD0A}"/>
</file>

<file path=customXml/itemProps5.xml><?xml version="1.0" encoding="utf-8"?>
<ds:datastoreItem xmlns:ds="http://schemas.openxmlformats.org/officeDocument/2006/customXml" ds:itemID="{A10D9DFD-8FC8-4DD3-AC87-100FEB781A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cuadro 1 (2)</vt:lpstr>
      <vt:lpstr>COSTO DE LA OPERACION</vt:lpstr>
      <vt:lpstr>Costo por actividades</vt:lpstr>
      <vt:lpstr>Costo por año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Enlace Opcional 2_ Presupuesto Detallado</dc:title>
  <dc:creator>Luciano Di Gresia</dc:creator>
  <cp:lastModifiedBy>IADB</cp:lastModifiedBy>
  <cp:lastPrinted>2016-08-31T17:06:17Z</cp:lastPrinted>
  <dcterms:created xsi:type="dcterms:W3CDTF">2016-03-18T13:28:47Z</dcterms:created>
  <dcterms:modified xsi:type="dcterms:W3CDTF">2016-11-14T22:12:31Z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ub_x002d_Sector">
    <vt:lpwstr/>
  </property>
  <property fmtid="{D5CDD505-2E9C-101B-9397-08002B2CF9AE}" pid="4" name="ContentTypeId">
    <vt:lpwstr>0x01010046CF21643EE8D14686A648AA6DAD089200382B19342899E14390A098FD4ACE3EB9</vt:lpwstr>
  </property>
  <property fmtid="{D5CDD505-2E9C-101B-9397-08002B2CF9AE}" pid="5" name="TaxKeywordTaxHTField">
    <vt:lpwstr/>
  </property>
  <property fmtid="{D5CDD505-2E9C-101B-9397-08002B2CF9AE}" pid="6" name="Series Operations IDB">
    <vt:lpwstr>2;#Unclassified|a6dff32e-d477-44cd-a56b-85efe9e0a56c</vt:lpwstr>
  </property>
  <property fmtid="{D5CDD505-2E9C-101B-9397-08002B2CF9AE}" pid="7" name="Sub-Sector">
    <vt:lpwstr/>
  </property>
  <property fmtid="{D5CDD505-2E9C-101B-9397-08002B2CF9AE}" pid="8" name="Country">
    <vt:lpwstr/>
  </property>
  <property fmtid="{D5CDD505-2E9C-101B-9397-08002B2CF9AE}" pid="9" name="Fund IDB">
    <vt:lpwstr/>
  </property>
  <property fmtid="{D5CDD505-2E9C-101B-9397-08002B2CF9AE}" pid="10" name="Series_x0020_Operations_x0020_IDB">
    <vt:lpwstr>2;#Unclassified|a6dff32e-d477-44cd-a56b-85efe9e0a56c</vt:lpwstr>
  </property>
  <property fmtid="{D5CDD505-2E9C-101B-9397-08002B2CF9AE}" pid="11" name="To:">
    <vt:lpwstr/>
  </property>
  <property fmtid="{D5CDD505-2E9C-101B-9397-08002B2CF9AE}" pid="12" name="From:">
    <vt:lpwstr/>
  </property>
  <property fmtid="{D5CDD505-2E9C-101B-9397-08002B2CF9AE}" pid="13" name="Sector IDB">
    <vt:lpwstr/>
  </property>
  <property fmtid="{D5CDD505-2E9C-101B-9397-08002B2CF9AE}" pid="14" name="Function Operations IDB">
    <vt:lpwstr>4;#IDBDocs|cca77002-e150-4b2d-ab1f-1d7a7cdcae16</vt:lpwstr>
  </property>
</Properties>
</file>